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5\Primer trimestre\datos abierto\"/>
    </mc:Choice>
  </mc:AlternateContent>
  <bookViews>
    <workbookView xWindow="0" yWindow="0" windowWidth="8805" windowHeight="2670"/>
  </bookViews>
  <sheets>
    <sheet name="Inventario Materiales Gastable" sheetId="1" r:id="rId1"/>
  </sheets>
  <definedNames>
    <definedName name="_xlnm._FilterDatabase" localSheetId="0" hidden="1">'Inventario Materiales Gastable'!$A$6:$M$842</definedName>
    <definedName name="_xlnm.Print_Area" localSheetId="0">'Inventario Materiales Gastable'!$A$1:$J$852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7" i="1" l="1"/>
  <c r="F11" i="1"/>
  <c r="F18" i="1"/>
  <c r="F28" i="1"/>
  <c r="F32" i="1"/>
  <c r="F36" i="1"/>
  <c r="F40" i="1"/>
  <c r="F44" i="1"/>
  <c r="F52" i="1"/>
  <c r="F57" i="1"/>
  <c r="F70" i="1"/>
  <c r="F72" i="1"/>
  <c r="F73" i="1"/>
  <c r="F78" i="1"/>
  <c r="F84" i="1"/>
  <c r="F86" i="1"/>
  <c r="F87" i="1"/>
  <c r="F88" i="1"/>
  <c r="F100" i="1"/>
  <c r="F116" i="1"/>
  <c r="F118" i="1"/>
  <c r="F120" i="1"/>
  <c r="F123" i="1"/>
  <c r="F124" i="1"/>
  <c r="F125" i="1"/>
  <c r="F126" i="1"/>
  <c r="F129" i="1"/>
  <c r="F130" i="1"/>
  <c r="F131" i="1"/>
  <c r="F134" i="1"/>
  <c r="F135" i="1"/>
  <c r="F139" i="1"/>
  <c r="F140" i="1"/>
  <c r="F141" i="1"/>
  <c r="F142" i="1"/>
  <c r="F149" i="1"/>
  <c r="F161" i="1"/>
  <c r="F162" i="1"/>
  <c r="F164" i="1"/>
  <c r="F173" i="1"/>
  <c r="F175" i="1"/>
  <c r="F176" i="1"/>
  <c r="F178" i="1"/>
  <c r="F185" i="1"/>
  <c r="F192" i="1"/>
  <c r="F194" i="1"/>
  <c r="F200" i="1"/>
  <c r="F210" i="1"/>
  <c r="F213" i="1"/>
  <c r="F215" i="1"/>
  <c r="F242" i="1"/>
  <c r="F247" i="1"/>
  <c r="F249" i="1"/>
  <c r="F250" i="1"/>
  <c r="F251" i="1"/>
  <c r="F252" i="1"/>
  <c r="F259" i="1"/>
  <c r="F264" i="1"/>
  <c r="F265" i="1"/>
  <c r="F267" i="1"/>
  <c r="F268" i="1"/>
  <c r="F270" i="1"/>
  <c r="F273" i="1"/>
  <c r="F274" i="1"/>
  <c r="F284" i="1"/>
  <c r="F287" i="1"/>
  <c r="F294" i="1"/>
  <c r="F295" i="1"/>
  <c r="F297" i="1"/>
  <c r="F302" i="1"/>
  <c r="F303" i="1"/>
  <c r="F304" i="1"/>
  <c r="F305" i="1"/>
  <c r="F316" i="1"/>
  <c r="F325" i="1"/>
  <c r="F327" i="1"/>
  <c r="F353" i="1"/>
  <c r="F354" i="1"/>
  <c r="F357" i="1"/>
  <c r="F358" i="1"/>
  <c r="F360" i="1"/>
  <c r="F361" i="1"/>
  <c r="F362" i="1"/>
  <c r="F363" i="1"/>
  <c r="F366" i="1"/>
  <c r="F370" i="1"/>
  <c r="F373" i="1"/>
  <c r="F374" i="1"/>
  <c r="F375" i="1"/>
  <c r="F376" i="1"/>
  <c r="F378" i="1"/>
  <c r="F379" i="1"/>
  <c r="F384" i="1"/>
  <c r="F385" i="1"/>
  <c r="F386" i="1"/>
  <c r="F387" i="1"/>
  <c r="F388" i="1"/>
  <c r="F392" i="1"/>
  <c r="F397" i="1"/>
  <c r="F403" i="1"/>
  <c r="F404" i="1"/>
  <c r="F418" i="1"/>
  <c r="F421" i="1"/>
  <c r="F422" i="1"/>
  <c r="F423" i="1"/>
  <c r="F425" i="1"/>
  <c r="F426" i="1"/>
  <c r="F428" i="1"/>
  <c r="F432" i="1"/>
  <c r="F433" i="1"/>
  <c r="F434" i="1"/>
  <c r="F444" i="1"/>
  <c r="F446" i="1"/>
  <c r="F449" i="1"/>
  <c r="F453" i="1"/>
  <c r="F454" i="1"/>
  <c r="F459" i="1"/>
  <c r="F461" i="1"/>
  <c r="F462" i="1"/>
  <c r="F464" i="1"/>
  <c r="F471" i="1"/>
  <c r="F478" i="1"/>
  <c r="F479" i="1"/>
  <c r="F481" i="1"/>
  <c r="F486" i="1"/>
  <c r="F490" i="1"/>
  <c r="F494" i="1"/>
  <c r="F495" i="1"/>
  <c r="F497" i="1"/>
  <c r="F499" i="1"/>
  <c r="F500" i="1"/>
  <c r="F501" i="1"/>
  <c r="F502" i="1"/>
  <c r="F503" i="1"/>
  <c r="F506" i="1"/>
  <c r="F510" i="1"/>
  <c r="F511" i="1"/>
  <c r="F519" i="1"/>
  <c r="F521" i="1"/>
  <c r="F522" i="1"/>
  <c r="F523" i="1"/>
  <c r="F527" i="1"/>
  <c r="F529" i="1"/>
  <c r="F530" i="1"/>
  <c r="F532" i="1"/>
  <c r="F537" i="1"/>
  <c r="F539" i="1"/>
  <c r="F541" i="1"/>
  <c r="F557" i="1"/>
  <c r="F559" i="1"/>
  <c r="F561" i="1"/>
  <c r="F562" i="1"/>
  <c r="F566" i="1"/>
  <c r="F567" i="1"/>
  <c r="F568" i="1"/>
  <c r="F570" i="1"/>
  <c r="F576" i="1"/>
  <c r="F582" i="1"/>
  <c r="F584" i="1"/>
  <c r="F585" i="1"/>
  <c r="F586" i="1"/>
  <c r="F587" i="1"/>
  <c r="F588" i="1"/>
  <c r="F591" i="1"/>
  <c r="F598" i="1"/>
  <c r="F603" i="1"/>
  <c r="F604" i="1"/>
  <c r="F612" i="1"/>
  <c r="F627" i="1"/>
  <c r="F629" i="1"/>
  <c r="F631" i="1"/>
  <c r="F638" i="1"/>
  <c r="F639" i="1"/>
  <c r="F648" i="1"/>
  <c r="F662" i="1"/>
  <c r="F663" i="1"/>
  <c r="F665" i="1"/>
  <c r="F667" i="1"/>
  <c r="F668" i="1"/>
  <c r="F671" i="1"/>
  <c r="F675" i="1"/>
  <c r="F676" i="1"/>
  <c r="F677" i="1"/>
  <c r="F679" i="1"/>
  <c r="F684" i="1"/>
  <c r="F686" i="1"/>
  <c r="F687" i="1"/>
  <c r="F689" i="1"/>
  <c r="F691" i="1"/>
  <c r="F697" i="1"/>
  <c r="F699" i="1"/>
  <c r="F705" i="1"/>
  <c r="F714" i="1"/>
  <c r="F715" i="1"/>
  <c r="F721" i="1"/>
  <c r="F723" i="1"/>
  <c r="F724" i="1"/>
  <c r="F729" i="1"/>
  <c r="F739" i="1"/>
  <c r="F740" i="1"/>
  <c r="F747" i="1"/>
  <c r="F749" i="1"/>
  <c r="F750" i="1"/>
  <c r="F751" i="1"/>
  <c r="F758" i="1"/>
  <c r="F759" i="1"/>
  <c r="F761" i="1"/>
  <c r="F762" i="1"/>
  <c r="F763" i="1"/>
  <c r="F764" i="1"/>
  <c r="F770" i="1"/>
  <c r="F771" i="1"/>
  <c r="F782" i="1"/>
  <c r="F785" i="1"/>
  <c r="F788" i="1"/>
  <c r="F789" i="1"/>
  <c r="F806" i="1"/>
  <c r="F807" i="1"/>
  <c r="F820" i="1"/>
  <c r="F826" i="1"/>
  <c r="F838" i="1"/>
  <c r="F839" i="1"/>
  <c r="F842" i="1"/>
  <c r="I843" i="1"/>
  <c r="H7" i="1" l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D21" i="1"/>
  <c r="H21" i="1" s="1"/>
  <c r="J21" i="1" s="1"/>
  <c r="D22" i="1"/>
  <c r="H22" i="1" s="1"/>
  <c r="J22" i="1" s="1"/>
  <c r="H23" i="1"/>
  <c r="J23" i="1" s="1"/>
  <c r="D24" i="1"/>
  <c r="H24" i="1" s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D30" i="1"/>
  <c r="H30" i="1" s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D36" i="1"/>
  <c r="H37" i="1"/>
  <c r="J37" i="1" s="1"/>
  <c r="H38" i="1"/>
  <c r="J38" i="1" s="1"/>
  <c r="H39" i="1"/>
  <c r="J39" i="1" s="1"/>
  <c r="D40" i="1"/>
  <c r="H41" i="1"/>
  <c r="J41" i="1" s="1"/>
  <c r="D42" i="1"/>
  <c r="H42" i="1" s="1"/>
  <c r="J42" i="1" s="1"/>
  <c r="H43" i="1"/>
  <c r="J43" i="1" s="1"/>
  <c r="E44" i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D51" i="1"/>
  <c r="H51" i="1" s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D64" i="1"/>
  <c r="H64" i="1" s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D73" i="1"/>
  <c r="H74" i="1"/>
  <c r="J74" i="1" s="1"/>
  <c r="H75" i="1"/>
  <c r="J75" i="1" s="1"/>
  <c r="H76" i="1"/>
  <c r="J76" i="1" s="1"/>
  <c r="H77" i="1"/>
  <c r="J77" i="1" s="1"/>
  <c r="D78" i="1"/>
  <c r="H79" i="1"/>
  <c r="J79" i="1"/>
  <c r="D80" i="1"/>
  <c r="H80" i="1" s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D86" i="1"/>
  <c r="D87" i="1"/>
  <c r="D88" i="1"/>
  <c r="H88" i="1" s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D114" i="1"/>
  <c r="H114" i="1" s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D124" i="1"/>
  <c r="H125" i="1"/>
  <c r="J125" i="1" s="1"/>
  <c r="D126" i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D134" i="1"/>
  <c r="D135" i="1"/>
  <c r="H136" i="1"/>
  <c r="J136" i="1" s="1"/>
  <c r="H137" i="1"/>
  <c r="J137" i="1"/>
  <c r="H138" i="1"/>
  <c r="J138" i="1" s="1"/>
  <c r="H139" i="1"/>
  <c r="J139" i="1" s="1"/>
  <c r="H140" i="1"/>
  <c r="J140" i="1" s="1"/>
  <c r="D141" i="1"/>
  <c r="D142" i="1"/>
  <c r="D143" i="1"/>
  <c r="H143" i="1" s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D160" i="1"/>
  <c r="H160" i="1" s="1"/>
  <c r="J160" i="1" s="1"/>
  <c r="D161" i="1"/>
  <c r="H162" i="1"/>
  <c r="H163" i="1"/>
  <c r="J163" i="1" s="1"/>
  <c r="H164" i="1"/>
  <c r="J164" i="1" s="1"/>
  <c r="D165" i="1"/>
  <c r="H165" i="1" s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D178" i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D195" i="1"/>
  <c r="H195" i="1" s="1"/>
  <c r="J195" i="1" s="1"/>
  <c r="H196" i="1"/>
  <c r="J196" i="1" s="1"/>
  <c r="H197" i="1"/>
  <c r="J197" i="1" s="1"/>
  <c r="H198" i="1"/>
  <c r="J198" i="1" s="1"/>
  <c r="H199" i="1"/>
  <c r="J199" i="1" s="1"/>
  <c r="D200" i="1"/>
  <c r="H201" i="1"/>
  <c r="J201" i="1" s="1"/>
  <c r="H202" i="1"/>
  <c r="J202" i="1" s="1"/>
  <c r="H203" i="1"/>
  <c r="J203" i="1" s="1"/>
  <c r="H204" i="1"/>
  <c r="J204" i="1" s="1"/>
  <c r="H205" i="1"/>
  <c r="J205" i="1" s="1"/>
  <c r="H200" i="1" l="1"/>
  <c r="J200" i="1" s="1"/>
  <c r="H142" i="1"/>
  <c r="J142" i="1" s="1"/>
  <c r="H44" i="1"/>
  <c r="J44" i="1" s="1"/>
  <c r="H134" i="1"/>
  <c r="J134" i="1" s="1"/>
  <c r="H87" i="1"/>
  <c r="J87" i="1" s="1"/>
  <c r="H78" i="1"/>
  <c r="J78" i="1" s="1"/>
  <c r="H124" i="1"/>
  <c r="J124" i="1" s="1"/>
  <c r="H86" i="1"/>
  <c r="J86" i="1" s="1"/>
  <c r="H135" i="1"/>
  <c r="J135" i="1" s="1"/>
  <c r="H126" i="1"/>
  <c r="J126" i="1" s="1"/>
  <c r="H73" i="1"/>
  <c r="J73" i="1" s="1"/>
  <c r="H36" i="1"/>
  <c r="J36" i="1" s="1"/>
  <c r="H178" i="1"/>
  <c r="J178" i="1" s="1"/>
  <c r="H141" i="1"/>
  <c r="J141" i="1" s="1"/>
  <c r="H40" i="1"/>
  <c r="J40" i="1" s="1"/>
  <c r="H161" i="1"/>
  <c r="J161" i="1" s="1"/>
  <c r="J162" i="1"/>
  <c r="L162" i="1"/>
  <c r="L26" i="1"/>
  <c r="K848" i="1"/>
  <c r="E446" i="1" l="1"/>
  <c r="H539" i="1" l="1"/>
  <c r="H425" i="1"/>
  <c r="J425" i="1" s="1"/>
  <c r="H374" i="1"/>
  <c r="J374" i="1" s="1"/>
  <c r="E363" i="1" l="1"/>
  <c r="E362" i="1"/>
  <c r="H273" i="1" l="1"/>
  <c r="H268" i="1" l="1"/>
  <c r="J268" i="1" s="1"/>
  <c r="H832" i="1" l="1"/>
  <c r="H218" i="1" l="1"/>
  <c r="H216" i="1"/>
  <c r="H217" i="1"/>
  <c r="H456" i="1" l="1"/>
  <c r="H423" i="1" l="1"/>
  <c r="H336" i="1" l="1"/>
  <c r="J336" i="1" s="1"/>
  <c r="H341" i="1" l="1"/>
  <c r="J341" i="1" s="1"/>
  <c r="H241" i="1"/>
  <c r="J241" i="1" s="1"/>
  <c r="H344" i="1" l="1"/>
  <c r="J344" i="1" s="1"/>
  <c r="H358" i="1" l="1"/>
  <c r="H504" i="1"/>
  <c r="J504" i="1" s="1"/>
  <c r="H627" i="1" l="1"/>
  <c r="J627" i="1" s="1"/>
  <c r="H626" i="1"/>
  <c r="J626" i="1" s="1"/>
  <c r="H496" i="1"/>
  <c r="J496" i="1" s="1"/>
  <c r="E361" i="1" l="1"/>
  <c r="E360" i="1" l="1"/>
  <c r="E566" i="1"/>
  <c r="E562" i="1" l="1"/>
  <c r="D360" i="1" l="1"/>
  <c r="H478" i="1" l="1"/>
  <c r="H477" i="1"/>
  <c r="H267" i="1" l="1"/>
  <c r="J267" i="1" s="1"/>
  <c r="H533" i="1" l="1"/>
  <c r="J533" i="1" s="1"/>
  <c r="E284" i="1"/>
  <c r="J539" i="1" l="1"/>
  <c r="H426" i="1" l="1"/>
  <c r="H360" i="1"/>
  <c r="J360" i="1" s="1"/>
  <c r="H684" i="1"/>
  <c r="J684" i="1" s="1"/>
  <c r="H446" i="1" l="1"/>
  <c r="J446" i="1" s="1"/>
  <c r="H270" i="1"/>
  <c r="J270" i="1" s="1"/>
  <c r="H588" i="1" l="1"/>
  <c r="J588" i="1" s="1"/>
  <c r="H210" i="1"/>
  <c r="J210" i="1" s="1"/>
  <c r="H534" i="1" l="1"/>
  <c r="J534" i="1" s="1"/>
  <c r="H484" i="1"/>
  <c r="J484" i="1" s="1"/>
  <c r="H821" i="1"/>
  <c r="J821" i="1" s="1"/>
  <c r="H298" i="1"/>
  <c r="J298" i="1" s="1"/>
  <c r="H467" i="1"/>
  <c r="J467" i="1" s="1"/>
  <c r="H672" i="1"/>
  <c r="J672" i="1" s="1"/>
  <c r="H698" i="1"/>
  <c r="J698" i="1" s="1"/>
  <c r="H271" i="1"/>
  <c r="J271" i="1" s="1"/>
  <c r="H329" i="1"/>
  <c r="J329" i="1" s="1"/>
  <c r="H628" i="1" l="1"/>
  <c r="J628" i="1" s="1"/>
  <c r="H629" i="1"/>
  <c r="J629" i="1" s="1"/>
  <c r="H840" i="1"/>
  <c r="J840" i="1" s="1"/>
  <c r="H839" i="1"/>
  <c r="J839" i="1" s="1"/>
  <c r="H838" i="1"/>
  <c r="J838" i="1" s="1"/>
  <c r="H685" i="1"/>
  <c r="J685" i="1" s="1"/>
  <c r="H557" i="1"/>
  <c r="J557" i="1" s="1"/>
  <c r="H639" i="1" l="1"/>
  <c r="J639" i="1" s="1"/>
  <c r="H560" i="1"/>
  <c r="J560" i="1" s="1"/>
  <c r="H549" i="1"/>
  <c r="J549" i="1" s="1"/>
  <c r="H556" i="1"/>
  <c r="J556" i="1" s="1"/>
  <c r="H555" i="1"/>
  <c r="J555" i="1" s="1"/>
  <c r="H482" i="1"/>
  <c r="J482" i="1" s="1"/>
  <c r="H372" i="1"/>
  <c r="J372" i="1" s="1"/>
  <c r="H789" i="1"/>
  <c r="J789" i="1" s="1"/>
  <c r="H262" i="1"/>
  <c r="J262" i="1" s="1"/>
  <c r="H468" i="1"/>
  <c r="J468" i="1" s="1"/>
  <c r="H443" i="1"/>
  <c r="J443" i="1" s="1"/>
  <c r="H781" i="1"/>
  <c r="J781" i="1" s="1"/>
  <c r="H582" i="1"/>
  <c r="J582" i="1" s="1"/>
  <c r="H583" i="1"/>
  <c r="J583" i="1" s="1"/>
  <c r="H260" i="1"/>
  <c r="J260" i="1" s="1"/>
  <c r="H316" i="1"/>
  <c r="J316" i="1" s="1"/>
  <c r="H290" i="1"/>
  <c r="J290" i="1" s="1"/>
  <c r="H291" i="1"/>
  <c r="J291" i="1" s="1"/>
  <c r="H481" i="1"/>
  <c r="J481" i="1" s="1"/>
  <c r="H421" i="1"/>
  <c r="L421" i="1" l="1"/>
  <c r="J421" i="1"/>
  <c r="H495" i="1" l="1"/>
  <c r="J495" i="1" s="1"/>
  <c r="H253" i="1"/>
  <c r="J253" i="1" s="1"/>
  <c r="H254" i="1"/>
  <c r="J254" i="1" s="1"/>
  <c r="H365" i="1"/>
  <c r="J365" i="1" s="1"/>
  <c r="H251" i="1"/>
  <c r="J251" i="1" s="1"/>
  <c r="H252" i="1"/>
  <c r="J252" i="1" s="1"/>
  <c r="H427" i="1"/>
  <c r="J427" i="1" s="1"/>
  <c r="H352" i="1"/>
  <c r="J352" i="1" s="1"/>
  <c r="H324" i="1"/>
  <c r="J324" i="1" s="1"/>
  <c r="H765" i="1"/>
  <c r="J765" i="1" s="1"/>
  <c r="H476" i="1"/>
  <c r="J476" i="1" s="1"/>
  <c r="H469" i="1" l="1"/>
  <c r="J469" i="1" s="1"/>
  <c r="H249" i="1" l="1"/>
  <c r="L249" i="1" s="1"/>
  <c r="H814" i="1"/>
  <c r="L814" i="1" s="1"/>
  <c r="H816" i="1"/>
  <c r="L816" i="1" s="1"/>
  <c r="H815" i="1"/>
  <c r="L815" i="1" s="1"/>
  <c r="H812" i="1"/>
  <c r="L812" i="1" s="1"/>
  <c r="H813" i="1"/>
  <c r="L813" i="1" s="1"/>
  <c r="H554" i="1"/>
  <c r="L554" i="1" s="1"/>
  <c r="H550" i="1"/>
  <c r="L550" i="1" s="1"/>
  <c r="H551" i="1"/>
  <c r="L551" i="1" s="1"/>
  <c r="H552" i="1"/>
  <c r="L552" i="1" s="1"/>
  <c r="H553" i="1"/>
  <c r="L553" i="1" s="1"/>
  <c r="H433" i="1"/>
  <c r="L433" i="1" s="1"/>
  <c r="H508" i="1"/>
  <c r="H598" i="1" l="1"/>
  <c r="H591" i="1"/>
  <c r="H615" i="1"/>
  <c r="H595" i="1"/>
  <c r="H441" i="1"/>
  <c r="H442" i="1"/>
  <c r="J508" i="1"/>
  <c r="H395" i="1"/>
  <c r="J395" i="1" s="1"/>
  <c r="H288" i="1"/>
  <c r="J288" i="1" s="1"/>
  <c r="H778" i="1" l="1"/>
  <c r="J778" i="1" s="1"/>
  <c r="H777" i="1"/>
  <c r="J777" i="1" s="1"/>
  <c r="H775" i="1"/>
  <c r="J775" i="1" s="1"/>
  <c r="H776" i="1"/>
  <c r="J776" i="1" s="1"/>
  <c r="H470" i="1"/>
  <c r="J470" i="1" s="1"/>
  <c r="H292" i="1"/>
  <c r="J292" i="1" s="1"/>
  <c r="H520" i="1"/>
  <c r="J520" i="1" s="1"/>
  <c r="H448" i="1"/>
  <c r="J448" i="1" s="1"/>
  <c r="H780" i="1"/>
  <c r="J780" i="1" s="1"/>
  <c r="H779" i="1"/>
  <c r="J779" i="1" s="1"/>
  <c r="H377" i="1"/>
  <c r="J377" i="1" s="1"/>
  <c r="H480" i="1"/>
  <c r="J480" i="1" s="1"/>
  <c r="H738" i="1"/>
  <c r="J738" i="1" s="1"/>
  <c r="H224" i="1"/>
  <c r="J224" i="1" s="1"/>
  <c r="H436" i="1"/>
  <c r="J436" i="1" s="1"/>
  <c r="H440" i="1"/>
  <c r="J440" i="1" s="1"/>
  <c r="H430" i="1"/>
  <c r="J430" i="1" s="1"/>
  <c r="H437" i="1"/>
  <c r="J437" i="1" s="1"/>
  <c r="H590" i="1" l="1"/>
  <c r="J590" i="1" s="1"/>
  <c r="H617" i="1"/>
  <c r="J617" i="1" s="1"/>
  <c r="H438" i="1"/>
  <c r="J438" i="1" s="1"/>
  <c r="H435" i="1"/>
  <c r="J435" i="1" s="1"/>
  <c r="H287" i="1" l="1"/>
  <c r="J287" i="1" s="1"/>
  <c r="H537" i="1"/>
  <c r="J537" i="1" s="1"/>
  <c r="H535" i="1"/>
  <c r="J535" i="1" s="1"/>
  <c r="H536" i="1"/>
  <c r="J536" i="1" s="1"/>
  <c r="H378" i="1"/>
  <c r="J378" i="1" s="1"/>
  <c r="H420" i="1"/>
  <c r="H452" i="1"/>
  <c r="H649" i="1"/>
  <c r="L613" i="1" l="1"/>
  <c r="J439" i="1" l="1"/>
  <c r="L439" i="1"/>
  <c r="H439" i="1"/>
  <c r="J452" i="1"/>
  <c r="N379" i="1" l="1"/>
  <c r="J420" i="1" l="1"/>
  <c r="J649" i="1"/>
  <c r="D806" i="1" l="1"/>
  <c r="D444" i="1" l="1"/>
  <c r="H608" i="1" l="1"/>
  <c r="L608" i="1" s="1"/>
  <c r="H599" i="1"/>
  <c r="L599" i="1" s="1"/>
  <c r="L442" i="1"/>
  <c r="L273" i="1"/>
  <c r="L595" i="1"/>
  <c r="L441" i="1"/>
  <c r="L598" i="1"/>
  <c r="L591" i="1"/>
  <c r="L615" i="1"/>
  <c r="H622" i="1"/>
  <c r="L622" i="1" s="1"/>
  <c r="H601" i="1"/>
  <c r="L601" i="1" s="1"/>
  <c r="H278" i="1" l="1"/>
  <c r="H279" i="1"/>
  <c r="H280" i="1"/>
  <c r="H281" i="1"/>
  <c r="H283" i="1"/>
  <c r="H282" i="1"/>
  <c r="H577" i="1"/>
  <c r="H275" i="1"/>
  <c r="H786" i="1"/>
  <c r="H277" i="1"/>
  <c r="H742" i="1"/>
  <c r="H250" i="1"/>
  <c r="H259" i="1"/>
  <c r="H261" i="1"/>
  <c r="H400" i="1"/>
  <c r="H767" i="1"/>
  <c r="H768" i="1"/>
  <c r="H317" i="1"/>
  <c r="H225" i="1"/>
  <c r="H229" i="1"/>
  <c r="H230" i="1"/>
  <c r="H231" i="1"/>
  <c r="H232" i="1"/>
  <c r="H233" i="1"/>
  <c r="H235" i="1"/>
  <c r="H236" i="1"/>
  <c r="H237" i="1"/>
  <c r="H238" i="1"/>
  <c r="H240" i="1"/>
  <c r="H319" i="1"/>
  <c r="H320" i="1"/>
  <c r="H342" i="1"/>
  <c r="H343" i="1"/>
  <c r="H359" i="1"/>
  <c r="H393" i="1"/>
  <c r="H416" i="1"/>
  <c r="H417" i="1"/>
  <c r="H418" i="1"/>
  <c r="H820" i="1"/>
  <c r="H419" i="1"/>
  <c r="H472" i="1"/>
  <c r="H473" i="1"/>
  <c r="H475" i="1"/>
  <c r="H489" i="1"/>
  <c r="H492" i="1"/>
  <c r="H493" i="1"/>
  <c r="H511" i="1"/>
  <c r="H512" i="1"/>
  <c r="H581" i="1"/>
  <c r="H630" i="1"/>
  <c r="H654" i="1"/>
  <c r="H655" i="1"/>
  <c r="H656" i="1"/>
  <c r="H657" i="1"/>
  <c r="H658" i="1"/>
  <c r="H659" i="1"/>
  <c r="H681" i="1"/>
  <c r="H700" i="1"/>
  <c r="H701" i="1"/>
  <c r="H717" i="1"/>
  <c r="H727" i="1"/>
  <c r="H728" i="1"/>
  <c r="H747" i="1"/>
  <c r="H748" i="1"/>
  <c r="H764" i="1"/>
  <c r="H770" i="1"/>
  <c r="H783" i="1"/>
  <c r="H785" i="1"/>
  <c r="H392" i="1"/>
  <c r="H394" i="1"/>
  <c r="H787" i="1"/>
  <c r="H788" i="1"/>
  <c r="H810" i="1"/>
  <c r="H818" i="1"/>
  <c r="H819" i="1"/>
  <c r="H766" i="1"/>
  <c r="H518" i="1"/>
  <c r="H302" i="1"/>
  <c r="H304" i="1"/>
  <c r="H305" i="1"/>
  <c r="H516" i="1"/>
  <c r="H596" i="1"/>
  <c r="H604" i="1"/>
  <c r="H613" i="1"/>
  <c r="J613" i="1" s="1"/>
  <c r="H605" i="1"/>
  <c r="H606" i="1"/>
  <c r="H607" i="1"/>
  <c r="H621" i="1"/>
  <c r="H603" i="1"/>
  <c r="H609" i="1"/>
  <c r="H611" i="1"/>
  <c r="H597" i="1"/>
  <c r="H614" i="1"/>
  <c r="H299" i="1"/>
  <c r="H618" i="1"/>
  <c r="H620" i="1"/>
  <c r="H647" i="1"/>
  <c r="H507" i="1"/>
  <c r="H811" i="1"/>
  <c r="H602" i="1"/>
  <c r="H594" i="1"/>
  <c r="H321" i="1"/>
  <c r="H322" i="1"/>
  <c r="H323" i="1"/>
  <c r="H379" i="1"/>
  <c r="H388" i="1"/>
  <c r="H428" i="1"/>
  <c r="H447" i="1"/>
  <c r="H429" i="1"/>
  <c r="H255" i="1"/>
  <c r="H256" i="1"/>
  <c r="H257" i="1"/>
  <c r="H367" i="1"/>
  <c r="H381" i="1"/>
  <c r="H382" i="1"/>
  <c r="H383" i="1"/>
  <c r="H385" i="1"/>
  <c r="H386" i="1"/>
  <c r="H276" i="1"/>
  <c r="H642" i="1"/>
  <c r="H643" i="1"/>
  <c r="H265" i="1"/>
  <c r="H266" i="1"/>
  <c r="H293" i="1"/>
  <c r="H296" i="1"/>
  <c r="H297" i="1"/>
  <c r="H396" i="1"/>
  <c r="H444" i="1"/>
  <c r="H491" i="1"/>
  <c r="H640" i="1"/>
  <c r="H641" i="1"/>
  <c r="H646" i="1"/>
  <c r="H688" i="1"/>
  <c r="H720" i="1"/>
  <c r="H721" i="1"/>
  <c r="H723" i="1"/>
  <c r="H724" i="1"/>
  <c r="H722" i="1"/>
  <c r="H538" i="1"/>
  <c r="H542" i="1"/>
  <c r="H543" i="1"/>
  <c r="H544" i="1"/>
  <c r="H545" i="1"/>
  <c r="H548" i="1"/>
  <c r="H540" i="1"/>
  <c r="H546" i="1"/>
  <c r="H697" i="1"/>
  <c r="H696" i="1"/>
  <c r="H695" i="1"/>
  <c r="H694" i="1"/>
  <c r="H206" i="1"/>
  <c r="H207" i="1"/>
  <c r="H208" i="1"/>
  <c r="H209" i="1"/>
  <c r="H247" i="1"/>
  <c r="H274" i="1"/>
  <c r="H289" i="1"/>
  <c r="H311" i="1"/>
  <c r="H310" i="1"/>
  <c r="H306" i="1"/>
  <c r="H313" i="1"/>
  <c r="H314" i="1"/>
  <c r="H315" i="1"/>
  <c r="H312" i="1"/>
  <c r="H308" i="1"/>
  <c r="H309" i="1"/>
  <c r="H327" i="1"/>
  <c r="H328" i="1"/>
  <c r="H330" i="1"/>
  <c r="H354" i="1"/>
  <c r="H356" i="1"/>
  <c r="H355" i="1"/>
  <c r="H714" i="1"/>
  <c r="H715" i="1"/>
  <c r="H353" i="1"/>
  <c r="H366" i="1"/>
  <c r="H369" i="1"/>
  <c r="H390" i="1"/>
  <c r="H398" i="1"/>
  <c r="H402" i="1"/>
  <c r="H409" i="1"/>
  <c r="H411" i="1"/>
  <c r="H413" i="1"/>
  <c r="H431" i="1"/>
  <c r="H318" i="1"/>
  <c r="H412" i="1"/>
  <c r="H414" i="1"/>
  <c r="H415" i="1"/>
  <c r="H424" i="1"/>
  <c r="H432" i="1"/>
  <c r="H449" i="1"/>
  <c r="H501" i="1"/>
  <c r="H521" i="1"/>
  <c r="H524" i="1"/>
  <c r="H525" i="1"/>
  <c r="H526" i="1"/>
  <c r="H527" i="1"/>
  <c r="H528" i="1"/>
  <c r="H529" i="1"/>
  <c r="H530" i="1"/>
  <c r="H531" i="1"/>
  <c r="H532" i="1"/>
  <c r="H559" i="1"/>
  <c r="H558" i="1"/>
  <c r="H563" i="1"/>
  <c r="H564" i="1"/>
  <c r="H568" i="1"/>
  <c r="H571" i="1"/>
  <c r="H572" i="1"/>
  <c r="H574" i="1"/>
  <c r="H575" i="1"/>
  <c r="H578" i="1"/>
  <c r="H500" i="1"/>
  <c r="H625" i="1"/>
  <c r="H631" i="1"/>
  <c r="H633" i="1"/>
  <c r="H635" i="1"/>
  <c r="H637" i="1"/>
  <c r="H652" i="1"/>
  <c r="H660" i="1"/>
  <c r="H663" i="1"/>
  <c r="H664" i="1"/>
  <c r="H670" i="1"/>
  <c r="H665" i="1"/>
  <c r="H669" i="1"/>
  <c r="H666" i="1"/>
  <c r="H673" i="1"/>
  <c r="H674" i="1"/>
  <c r="H676" i="1"/>
  <c r="H678" i="1"/>
  <c r="H679" i="1"/>
  <c r="H683" i="1"/>
  <c r="H689" i="1"/>
  <c r="H691" i="1"/>
  <c r="H692" i="1"/>
  <c r="H693" i="1"/>
  <c r="H708" i="1"/>
  <c r="H709" i="1"/>
  <c r="H710" i="1"/>
  <c r="H712" i="1"/>
  <c r="H713" i="1"/>
  <c r="H716" i="1"/>
  <c r="H719" i="1"/>
  <c r="H739" i="1"/>
  <c r="H741" i="1"/>
  <c r="H751" i="1"/>
  <c r="H784" i="1"/>
  <c r="H837" i="1"/>
  <c r="H636" i="1"/>
  <c r="H580" i="1"/>
  <c r="J580" i="1" s="1"/>
  <c r="H565" i="1"/>
  <c r="H410" i="1"/>
  <c r="H833" i="1"/>
  <c r="H831" i="1"/>
  <c r="H830" i="1"/>
  <c r="H824" i="1"/>
  <c r="H707" i="1"/>
  <c r="H215" i="1"/>
  <c r="H220" i="1"/>
  <c r="H219" i="1"/>
  <c r="H221" i="1"/>
  <c r="H222" i="1"/>
  <c r="H223" i="1"/>
  <c r="L223" i="1" s="1"/>
  <c r="H242" i="1"/>
  <c r="H243" i="1"/>
  <c r="H244" i="1"/>
  <c r="H245" i="1"/>
  <c r="H248" i="1"/>
  <c r="H246" i="1"/>
  <c r="H258" i="1"/>
  <c r="H269" i="1"/>
  <c r="H285" i="1"/>
  <c r="H371" i="1"/>
  <c r="H408" i="1"/>
  <c r="H399" i="1"/>
  <c r="H401" i="1"/>
  <c r="H405" i="1"/>
  <c r="H406" i="1"/>
  <c r="H407" i="1"/>
  <c r="H494" i="1"/>
  <c r="H454" i="1"/>
  <c r="H455" i="1"/>
  <c r="H458" i="1"/>
  <c r="H460" i="1"/>
  <c r="H461" i="1"/>
  <c r="H462" i="1"/>
  <c r="H463" i="1"/>
  <c r="H464" i="1"/>
  <c r="H465" i="1"/>
  <c r="H466" i="1"/>
  <c r="H486" i="1"/>
  <c r="H487" i="1"/>
  <c r="H488" i="1"/>
  <c r="H513" i="1"/>
  <c r="H579" i="1"/>
  <c r="H624" i="1"/>
  <c r="H842" i="1"/>
  <c r="H648" i="1"/>
  <c r="H653" i="1"/>
  <c r="H680" i="1"/>
  <c r="H706" i="1"/>
  <c r="H729" i="1"/>
  <c r="H735" i="1"/>
  <c r="H730" i="1"/>
  <c r="H736" i="1"/>
  <c r="H737" i="1"/>
  <c r="H731" i="1"/>
  <c r="H733" i="1"/>
  <c r="H734" i="1"/>
  <c r="H743" i="1"/>
  <c r="H744" i="1"/>
  <c r="H745" i="1"/>
  <c r="H752" i="1"/>
  <c r="H756" i="1"/>
  <c r="H753" i="1"/>
  <c r="H754" i="1"/>
  <c r="H755" i="1"/>
  <c r="H757" i="1"/>
  <c r="H817" i="1"/>
  <c r="H826" i="1"/>
  <c r="H827" i="1"/>
  <c r="H828" i="1"/>
  <c r="H829" i="1"/>
  <c r="H834" i="1"/>
  <c r="H835" i="1"/>
  <c r="H836" i="1"/>
  <c r="H769" i="1"/>
  <c r="H702" i="1"/>
  <c r="H703" i="1"/>
  <c r="H704" i="1"/>
  <c r="H286" i="1"/>
  <c r="H519" i="1"/>
  <c r="H799" i="1"/>
  <c r="H802" i="1"/>
  <c r="H797" i="1"/>
  <c r="H798" i="1"/>
  <c r="H801" i="1"/>
  <c r="H773" i="1"/>
  <c r="H791" i="1"/>
  <c r="H774" i="1"/>
  <c r="H792" i="1"/>
  <c r="H772" i="1"/>
  <c r="H800" i="1"/>
  <c r="H796" i="1"/>
  <c r="H793" i="1"/>
  <c r="H794" i="1"/>
  <c r="H795" i="1"/>
  <c r="H644" i="1"/>
  <c r="H746" i="1"/>
  <c r="H234" i="1"/>
  <c r="H809" i="1"/>
  <c r="H823" i="1"/>
  <c r="H790" i="1"/>
  <c r="J790" i="1" s="1"/>
  <c r="H303" i="1"/>
  <c r="J303" i="1" s="1"/>
  <c r="H600" i="1"/>
  <c r="J600" i="1" s="1"/>
  <c r="H592" i="1"/>
  <c r="J592" i="1" s="1"/>
  <c r="H593" i="1"/>
  <c r="J593" i="1" s="1"/>
  <c r="H272" i="1"/>
  <c r="H284" i="1"/>
  <c r="J284" i="1" s="1"/>
  <c r="H505" i="1"/>
  <c r="H364" i="1"/>
  <c r="H623" i="1"/>
  <c r="H740" i="1"/>
  <c r="H227" i="1"/>
  <c r="H239" i="1"/>
  <c r="H300" i="1"/>
  <c r="H301" i="1"/>
  <c r="H326" i="1"/>
  <c r="H389" i="1"/>
  <c r="J389" i="1" s="1"/>
  <c r="H403" i="1"/>
  <c r="H445" i="1"/>
  <c r="H451" i="1"/>
  <c r="H483" i="1"/>
  <c r="H503" i="1"/>
  <c r="H514" i="1"/>
  <c r="H569" i="1"/>
  <c r="H589" i="1"/>
  <c r="H634" i="1"/>
  <c r="H645" i="1"/>
  <c r="H650" i="1"/>
  <c r="H651" i="1"/>
  <c r="H682" i="1"/>
  <c r="H711" i="1"/>
  <c r="H718" i="1"/>
  <c r="H759" i="1"/>
  <c r="H805" i="1"/>
  <c r="H804" i="1"/>
  <c r="H808" i="1"/>
  <c r="H822" i="1"/>
  <c r="H331" i="1"/>
  <c r="H337" i="1"/>
  <c r="H338" i="1"/>
  <c r="H339" i="1"/>
  <c r="H340" i="1"/>
  <c r="H345" i="1"/>
  <c r="H347" i="1"/>
  <c r="H348" i="1"/>
  <c r="H349" i="1"/>
  <c r="H350" i="1"/>
  <c r="H332" i="1"/>
  <c r="H335" i="1"/>
  <c r="H334" i="1"/>
  <c r="H333" i="1"/>
  <c r="H346" i="1"/>
  <c r="H351" i="1"/>
  <c r="H661" i="1"/>
  <c r="H725" i="1"/>
  <c r="H726" i="1"/>
  <c r="H760" i="1"/>
  <c r="H212" i="1"/>
  <c r="H375" i="1"/>
  <c r="H376" i="1"/>
  <c r="H517" i="1"/>
  <c r="D363" i="1" l="1"/>
  <c r="H363" i="1" s="1"/>
  <c r="D362" i="1" l="1"/>
  <c r="H362" i="1" s="1"/>
  <c r="D361" i="1" l="1"/>
  <c r="H361" i="1" s="1"/>
  <c r="D561" i="1" l="1"/>
  <c r="H561" i="1" s="1"/>
  <c r="D566" i="1" l="1"/>
  <c r="H566" i="1" s="1"/>
  <c r="H453" i="1" l="1"/>
  <c r="D677" i="1" l="1"/>
  <c r="H677" i="1" s="1"/>
  <c r="J823" i="1" l="1"/>
  <c r="J809" i="1"/>
  <c r="J234" i="1"/>
  <c r="J746" i="1"/>
  <c r="J644" i="1"/>
  <c r="J795" i="1"/>
  <c r="J794" i="1"/>
  <c r="J793" i="1"/>
  <c r="J796" i="1"/>
  <c r="J800" i="1"/>
  <c r="J772" i="1"/>
  <c r="J792" i="1"/>
  <c r="J774" i="1"/>
  <c r="J791" i="1"/>
  <c r="J773" i="1"/>
  <c r="J801" i="1"/>
  <c r="J798" i="1"/>
  <c r="J797" i="1"/>
  <c r="J802" i="1"/>
  <c r="J799" i="1"/>
  <c r="J519" i="1"/>
  <c r="J286" i="1"/>
  <c r="J704" i="1"/>
  <c r="J703" i="1"/>
  <c r="J702" i="1"/>
  <c r="D763" i="1"/>
  <c r="J769" i="1"/>
  <c r="J836" i="1"/>
  <c r="J835" i="1"/>
  <c r="J834" i="1"/>
  <c r="J832" i="1"/>
  <c r="J829" i="1"/>
  <c r="J828" i="1"/>
  <c r="J827" i="1"/>
  <c r="J826" i="1"/>
  <c r="D825" i="1"/>
  <c r="J817" i="1"/>
  <c r="J757" i="1"/>
  <c r="J755" i="1"/>
  <c r="J754" i="1"/>
  <c r="J753" i="1"/>
  <c r="J756" i="1"/>
  <c r="J752" i="1"/>
  <c r="J745" i="1"/>
  <c r="J744" i="1"/>
  <c r="J743" i="1"/>
  <c r="J734" i="1"/>
  <c r="J733" i="1"/>
  <c r="D732" i="1"/>
  <c r="J731" i="1"/>
  <c r="J737" i="1"/>
  <c r="J736" i="1"/>
  <c r="J730" i="1"/>
  <c r="J735" i="1"/>
  <c r="J729" i="1"/>
  <c r="J706" i="1"/>
  <c r="J680" i="1"/>
  <c r="J653" i="1"/>
  <c r="J648" i="1"/>
  <c r="J842" i="1"/>
  <c r="J624" i="1"/>
  <c r="J579" i="1"/>
  <c r="J513" i="1"/>
  <c r="D509" i="1"/>
  <c r="J488" i="1"/>
  <c r="J487" i="1"/>
  <c r="J486" i="1"/>
  <c r="J466" i="1"/>
  <c r="J465" i="1"/>
  <c r="J464" i="1"/>
  <c r="J463" i="1"/>
  <c r="J462" i="1"/>
  <c r="J461" i="1"/>
  <c r="J460" i="1"/>
  <c r="D459" i="1"/>
  <c r="J458" i="1"/>
  <c r="J456" i="1"/>
  <c r="J455" i="1"/>
  <c r="J454" i="1"/>
  <c r="J453" i="1"/>
  <c r="J494" i="1"/>
  <c r="J407" i="1"/>
  <c r="J406" i="1"/>
  <c r="J405" i="1"/>
  <c r="J401" i="1"/>
  <c r="J399" i="1"/>
  <c r="J408" i="1"/>
  <c r="J371" i="1"/>
  <c r="J285" i="1"/>
  <c r="J269" i="1"/>
  <c r="J258" i="1"/>
  <c r="J246" i="1"/>
  <c r="J248" i="1"/>
  <c r="J245" i="1"/>
  <c r="J244" i="1"/>
  <c r="J243" i="1"/>
  <c r="J242" i="1"/>
  <c r="J223" i="1"/>
  <c r="J222" i="1"/>
  <c r="J221" i="1"/>
  <c r="J219" i="1"/>
  <c r="J220" i="1"/>
  <c r="J215" i="1"/>
  <c r="D214" i="1"/>
  <c r="J707" i="1"/>
  <c r="J824" i="1"/>
  <c r="J830" i="1"/>
  <c r="J831" i="1"/>
  <c r="J833" i="1"/>
  <c r="J636" i="1"/>
  <c r="J837" i="1"/>
  <c r="J784" i="1"/>
  <c r="J751" i="1"/>
  <c r="D750" i="1"/>
  <c r="J741" i="1"/>
  <c r="J739" i="1"/>
  <c r="J719" i="1"/>
  <c r="J716" i="1"/>
  <c r="J713" i="1"/>
  <c r="J712" i="1"/>
  <c r="J710" i="1"/>
  <c r="J709" i="1"/>
  <c r="J708" i="1"/>
  <c r="J693" i="1"/>
  <c r="J692" i="1"/>
  <c r="J691" i="1"/>
  <c r="D690" i="1"/>
  <c r="J689" i="1"/>
  <c r="J683" i="1"/>
  <c r="J679" i="1"/>
  <c r="J678" i="1"/>
  <c r="J677" i="1"/>
  <c r="J676" i="1"/>
  <c r="D675" i="1"/>
  <c r="J674" i="1"/>
  <c r="J673" i="1"/>
  <c r="D667" i="1"/>
  <c r="D671" i="1"/>
  <c r="J666" i="1"/>
  <c r="J669" i="1"/>
  <c r="D668" i="1"/>
  <c r="J665" i="1"/>
  <c r="J670" i="1"/>
  <c r="J664" i="1"/>
  <c r="J663" i="1"/>
  <c r="D662" i="1"/>
  <c r="J660" i="1"/>
  <c r="J652" i="1"/>
  <c r="J637" i="1"/>
  <c r="J635" i="1"/>
  <c r="J633" i="1"/>
  <c r="J631" i="1"/>
  <c r="J625" i="1"/>
  <c r="J500" i="1"/>
  <c r="J578" i="1"/>
  <c r="J575" i="1"/>
  <c r="J574" i="1"/>
  <c r="J572" i="1"/>
  <c r="J571" i="1"/>
  <c r="J568" i="1"/>
  <c r="D567" i="1"/>
  <c r="J564" i="1"/>
  <c r="J563" i="1"/>
  <c r="J558" i="1"/>
  <c r="J559" i="1"/>
  <c r="J532" i="1"/>
  <c r="J531" i="1"/>
  <c r="J530" i="1"/>
  <c r="J529" i="1"/>
  <c r="J528" i="1"/>
  <c r="J527" i="1"/>
  <c r="J526" i="1"/>
  <c r="J525" i="1"/>
  <c r="J524" i="1"/>
  <c r="D523" i="1"/>
  <c r="J521" i="1"/>
  <c r="J501" i="1"/>
  <c r="D497" i="1"/>
  <c r="J449" i="1"/>
  <c r="D434" i="1"/>
  <c r="J432" i="1"/>
  <c r="J424" i="1"/>
  <c r="J423" i="1"/>
  <c r="D422" i="1"/>
  <c r="J415" i="1"/>
  <c r="J414" i="1"/>
  <c r="J412" i="1"/>
  <c r="J318" i="1"/>
  <c r="J431" i="1"/>
  <c r="J413" i="1"/>
  <c r="J411" i="1"/>
  <c r="J409" i="1"/>
  <c r="J402" i="1"/>
  <c r="J398" i="1"/>
  <c r="J390" i="1"/>
  <c r="D370" i="1"/>
  <c r="J369" i="1"/>
  <c r="J366" i="1"/>
  <c r="J358" i="1"/>
  <c r="D357" i="1"/>
  <c r="J353" i="1"/>
  <c r="J715" i="1"/>
  <c r="J714" i="1"/>
  <c r="J355" i="1"/>
  <c r="J356" i="1"/>
  <c r="J354" i="1"/>
  <c r="J330" i="1"/>
  <c r="J328" i="1"/>
  <c r="J327" i="1"/>
  <c r="J309" i="1"/>
  <c r="J308" i="1"/>
  <c r="J312" i="1"/>
  <c r="D307" i="1"/>
  <c r="J315" i="1"/>
  <c r="J314" i="1"/>
  <c r="J313" i="1"/>
  <c r="J306" i="1"/>
  <c r="J310" i="1"/>
  <c r="J311" i="1"/>
  <c r="J289" i="1"/>
  <c r="J274" i="1"/>
  <c r="J247" i="1"/>
  <c r="J209" i="1"/>
  <c r="J208" i="1"/>
  <c r="J207" i="1"/>
  <c r="J206" i="1"/>
  <c r="J694" i="1"/>
  <c r="J695" i="1"/>
  <c r="J696" i="1"/>
  <c r="J697" i="1"/>
  <c r="J546" i="1"/>
  <c r="J540" i="1"/>
  <c r="J548" i="1"/>
  <c r="J545" i="1"/>
  <c r="J544" i="1"/>
  <c r="J543" i="1"/>
  <c r="J542" i="1"/>
  <c r="D541" i="1"/>
  <c r="J538" i="1"/>
  <c r="J722" i="1"/>
  <c r="J724" i="1"/>
  <c r="J723" i="1"/>
  <c r="J721" i="1"/>
  <c r="J720" i="1"/>
  <c r="J688" i="1"/>
  <c r="J646" i="1"/>
  <c r="J641" i="1"/>
  <c r="J640" i="1"/>
  <c r="D587" i="1"/>
  <c r="D584" i="1"/>
  <c r="J566" i="1"/>
  <c r="D562" i="1"/>
  <c r="H562" i="1" s="1"/>
  <c r="J561" i="1"/>
  <c r="D515" i="1"/>
  <c r="D510" i="1"/>
  <c r="J491" i="1"/>
  <c r="D490" i="1"/>
  <c r="J478" i="1"/>
  <c r="J477" i="1"/>
  <c r="J444" i="1"/>
  <c r="D397" i="1"/>
  <c r="J396" i="1"/>
  <c r="J363" i="1"/>
  <c r="J362" i="1"/>
  <c r="J361" i="1"/>
  <c r="J297" i="1"/>
  <c r="J296" i="1"/>
  <c r="D294" i="1"/>
  <c r="J293" i="1"/>
  <c r="D295" i="1"/>
  <c r="J266" i="1"/>
  <c r="J265" i="1"/>
  <c r="D264" i="1"/>
  <c r="J643" i="1"/>
  <c r="J642" i="1"/>
  <c r="J517" i="1"/>
  <c r="J376" i="1"/>
  <c r="J375" i="1"/>
  <c r="D373" i="1"/>
  <c r="D213" i="1"/>
  <c r="D211" i="1"/>
  <c r="J212" i="1"/>
  <c r="D263" i="1"/>
  <c r="J760" i="1"/>
  <c r="J726" i="1"/>
  <c r="J725" i="1"/>
  <c r="J661" i="1"/>
  <c r="D576" i="1"/>
  <c r="J351" i="1"/>
  <c r="J346" i="1"/>
  <c r="J333" i="1"/>
  <c r="J334" i="1"/>
  <c r="J335" i="1"/>
  <c r="J332" i="1"/>
  <c r="J350" i="1"/>
  <c r="J349" i="1"/>
  <c r="J348" i="1"/>
  <c r="J347" i="1"/>
  <c r="J345" i="1"/>
  <c r="J340" i="1"/>
  <c r="J339" i="1"/>
  <c r="J338" i="1"/>
  <c r="J337" i="1"/>
  <c r="J331" i="1"/>
  <c r="D807" i="1"/>
  <c r="D841" i="1"/>
  <c r="J822" i="1"/>
  <c r="J808" i="1"/>
  <c r="J804" i="1"/>
  <c r="D803" i="1"/>
  <c r="J805" i="1"/>
  <c r="J759" i="1"/>
  <c r="D758" i="1"/>
  <c r="J718" i="1"/>
  <c r="J711" i="1"/>
  <c r="D502" i="1"/>
  <c r="D699" i="1"/>
  <c r="J682" i="1"/>
  <c r="J651" i="1"/>
  <c r="J650" i="1"/>
  <c r="J645" i="1"/>
  <c r="J634" i="1"/>
  <c r="D632" i="1"/>
  <c r="J589" i="1"/>
  <c r="J569" i="1"/>
  <c r="D547" i="1"/>
  <c r="J514" i="1"/>
  <c r="J503" i="1"/>
  <c r="J485" i="1"/>
  <c r="J483" i="1"/>
  <c r="D479" i="1"/>
  <c r="D471" i="1"/>
  <c r="J451" i="1"/>
  <c r="D450" i="1"/>
  <c r="J445" i="1"/>
  <c r="D404" i="1"/>
  <c r="J403" i="1"/>
  <c r="J326" i="1"/>
  <c r="J301" i="1"/>
  <c r="J300" i="1"/>
  <c r="J239" i="1"/>
  <c r="D228" i="1"/>
  <c r="J227" i="1"/>
  <c r="J740" i="1"/>
  <c r="J623" i="1"/>
  <c r="J364" i="1"/>
  <c r="J505" i="1"/>
  <c r="D506" i="1"/>
  <c r="J386" i="1"/>
  <c r="J385" i="1"/>
  <c r="D384" i="1"/>
  <c r="H384" i="1" s="1"/>
  <c r="J383" i="1"/>
  <c r="J382" i="1"/>
  <c r="D380" i="1"/>
  <c r="H380" i="1" s="1"/>
  <c r="J381" i="1"/>
  <c r="D368" i="1"/>
  <c r="H368" i="1" s="1"/>
  <c r="J367" i="1"/>
  <c r="J257" i="1"/>
  <c r="J256" i="1"/>
  <c r="J255" i="1"/>
  <c r="J429" i="1"/>
  <c r="J447" i="1"/>
  <c r="J428" i="1"/>
  <c r="J388" i="1"/>
  <c r="J379" i="1"/>
  <c r="J323" i="1"/>
  <c r="J322" i="1"/>
  <c r="J321" i="1"/>
  <c r="D771" i="1"/>
  <c r="H771" i="1" s="1"/>
  <c r="J594" i="1"/>
  <c r="J602" i="1"/>
  <c r="J811" i="1"/>
  <c r="J507" i="1"/>
  <c r="J647" i="1"/>
  <c r="J620" i="1"/>
  <c r="H619" i="1"/>
  <c r="J618" i="1"/>
  <c r="J299" i="1"/>
  <c r="D616" i="1"/>
  <c r="H616" i="1" s="1"/>
  <c r="J614" i="1"/>
  <c r="D612" i="1"/>
  <c r="H612" i="1" s="1"/>
  <c r="J597" i="1"/>
  <c r="J611" i="1"/>
  <c r="J609" i="1"/>
  <c r="J603" i="1"/>
  <c r="J621" i="1"/>
  <c r="J607" i="1"/>
  <c r="J606" i="1"/>
  <c r="J605" i="1"/>
  <c r="J604" i="1"/>
  <c r="J596" i="1"/>
  <c r="D610" i="1"/>
  <c r="J516" i="1"/>
  <c r="J305" i="1"/>
  <c r="J304" i="1"/>
  <c r="J302" i="1"/>
  <c r="D686" i="1"/>
  <c r="D638" i="1"/>
  <c r="J518" i="1"/>
  <c r="D687" i="1"/>
  <c r="J766" i="1"/>
  <c r="J819" i="1"/>
  <c r="J818" i="1"/>
  <c r="J810" i="1"/>
  <c r="J788" i="1"/>
  <c r="J787" i="1"/>
  <c r="J394" i="1"/>
  <c r="J392" i="1"/>
  <c r="J785" i="1"/>
  <c r="J783" i="1"/>
  <c r="J770" i="1"/>
  <c r="J764" i="1"/>
  <c r="D749" i="1"/>
  <c r="J748" i="1"/>
  <c r="J747" i="1"/>
  <c r="J728" i="1"/>
  <c r="J727" i="1"/>
  <c r="J717" i="1"/>
  <c r="J701" i="1"/>
  <c r="J700" i="1"/>
  <c r="J681" i="1"/>
  <c r="J659" i="1"/>
  <c r="J658" i="1"/>
  <c r="J657" i="1"/>
  <c r="J656" i="1"/>
  <c r="J655" i="1"/>
  <c r="J654" i="1"/>
  <c r="J630" i="1"/>
  <c r="J581" i="1"/>
  <c r="J512" i="1"/>
  <c r="J511" i="1"/>
  <c r="J493" i="1"/>
  <c r="J492" i="1"/>
  <c r="J489" i="1"/>
  <c r="J475" i="1"/>
  <c r="D474" i="1"/>
  <c r="J473" i="1"/>
  <c r="J472" i="1"/>
  <c r="J419" i="1"/>
  <c r="J820" i="1"/>
  <c r="J418" i="1"/>
  <c r="J417" i="1"/>
  <c r="J416" i="1"/>
  <c r="J393" i="1"/>
  <c r="D391" i="1"/>
  <c r="J359" i="1"/>
  <c r="J343" i="1"/>
  <c r="J342" i="1"/>
  <c r="J320" i="1"/>
  <c r="J319" i="1"/>
  <c r="J240" i="1"/>
  <c r="J238" i="1"/>
  <c r="J237" i="1"/>
  <c r="J236" i="1"/>
  <c r="J235" i="1"/>
  <c r="J233" i="1"/>
  <c r="J232" i="1"/>
  <c r="J231" i="1"/>
  <c r="J230" i="1"/>
  <c r="J229" i="1"/>
  <c r="D226" i="1"/>
  <c r="J225" i="1"/>
  <c r="J317" i="1"/>
  <c r="J768" i="1"/>
  <c r="J767" i="1"/>
  <c r="D761" i="1"/>
  <c r="D762" i="1"/>
  <c r="D705" i="1"/>
  <c r="J400" i="1"/>
  <c r="D325" i="1"/>
  <c r="J261" i="1"/>
  <c r="J259" i="1"/>
  <c r="J250" i="1"/>
  <c r="J742" i="1"/>
  <c r="J277" i="1"/>
  <c r="J786" i="1"/>
  <c r="J275" i="1"/>
  <c r="J577" i="1"/>
  <c r="J282" i="1"/>
  <c r="J283" i="1"/>
  <c r="J281" i="1"/>
  <c r="J280" i="1"/>
  <c r="J279" i="1"/>
  <c r="J278" i="1"/>
  <c r="J276" i="1"/>
  <c r="H474" i="1" l="1"/>
  <c r="J474" i="1" s="1"/>
  <c r="H749" i="1"/>
  <c r="J749" i="1" s="1"/>
  <c r="H325" i="1"/>
  <c r="J325" i="1" s="1"/>
  <c r="H391" i="1"/>
  <c r="J391" i="1" s="1"/>
  <c r="H610" i="1"/>
  <c r="J610" i="1" s="1"/>
  <c r="H705" i="1"/>
  <c r="J705" i="1" s="1"/>
  <c r="H762" i="1"/>
  <c r="J762" i="1" s="1"/>
  <c r="H687" i="1"/>
  <c r="J687" i="1" s="1"/>
  <c r="H761" i="1"/>
  <c r="J761" i="1" s="1"/>
  <c r="H638" i="1"/>
  <c r="J638" i="1" s="1"/>
  <c r="H226" i="1"/>
  <c r="J226" i="1" s="1"/>
  <c r="H686" i="1"/>
  <c r="J686" i="1" s="1"/>
  <c r="J380" i="1"/>
  <c r="H699" i="1"/>
  <c r="J699" i="1" s="1"/>
  <c r="H807" i="1"/>
  <c r="J807" i="1" s="1"/>
  <c r="H510" i="1"/>
  <c r="J510" i="1" s="1"/>
  <c r="H307" i="1"/>
  <c r="J307" i="1" s="1"/>
  <c r="H498" i="1"/>
  <c r="J498" i="1" s="1"/>
  <c r="H662" i="1"/>
  <c r="J662" i="1" s="1"/>
  <c r="H675" i="1"/>
  <c r="J675" i="1" s="1"/>
  <c r="H570" i="1"/>
  <c r="J570" i="1" s="1"/>
  <c r="H459" i="1"/>
  <c r="J459" i="1" s="1"/>
  <c r="H502" i="1"/>
  <c r="J502" i="1" s="1"/>
  <c r="H806" i="1"/>
  <c r="J806" i="1" s="1"/>
  <c r="H515" i="1"/>
  <c r="J515" i="1" s="1"/>
  <c r="H357" i="1"/>
  <c r="J357" i="1" s="1"/>
  <c r="H499" i="1"/>
  <c r="J499" i="1" s="1"/>
  <c r="H763" i="1"/>
  <c r="J763" i="1" s="1"/>
  <c r="H263" i="1"/>
  <c r="J263" i="1" s="1"/>
  <c r="H732" i="1"/>
  <c r="L732" i="1" s="1"/>
  <c r="L848" i="1" s="1"/>
  <c r="J384" i="1"/>
  <c r="H547" i="1"/>
  <c r="J547" i="1" s="1"/>
  <c r="J562" i="1"/>
  <c r="H825" i="1"/>
  <c r="J825" i="1" s="1"/>
  <c r="H758" i="1"/>
  <c r="J758" i="1" s="1"/>
  <c r="H522" i="1"/>
  <c r="J522" i="1" s="1"/>
  <c r="H404" i="1"/>
  <c r="J404" i="1" s="1"/>
  <c r="H264" i="1"/>
  <c r="J264" i="1" s="1"/>
  <c r="H397" i="1"/>
  <c r="J397" i="1" s="1"/>
  <c r="H584" i="1"/>
  <c r="J584" i="1" s="1"/>
  <c r="H370" i="1"/>
  <c r="J370" i="1" s="1"/>
  <c r="H422" i="1"/>
  <c r="J422" i="1" s="1"/>
  <c r="H523" i="1"/>
  <c r="J523" i="1" s="1"/>
  <c r="H668" i="1"/>
  <c r="J668" i="1" s="1"/>
  <c r="H214" i="1"/>
  <c r="J214" i="1" s="1"/>
  <c r="J612" i="1"/>
  <c r="H387" i="1"/>
  <c r="J387" i="1" s="1"/>
  <c r="H632" i="1"/>
  <c r="J632" i="1" s="1"/>
  <c r="J426" i="1"/>
  <c r="H585" i="1"/>
  <c r="J585" i="1" s="1"/>
  <c r="J771" i="1"/>
  <c r="H506" i="1"/>
  <c r="J506" i="1" s="1"/>
  <c r="H450" i="1"/>
  <c r="J450" i="1" s="1"/>
  <c r="H803" i="1"/>
  <c r="J803" i="1" s="1"/>
  <c r="H586" i="1"/>
  <c r="J586" i="1" s="1"/>
  <c r="H541" i="1"/>
  <c r="J541" i="1" s="1"/>
  <c r="H567" i="1"/>
  <c r="J567" i="1" s="1"/>
  <c r="H690" i="1"/>
  <c r="J690" i="1" s="1"/>
  <c r="J616" i="1"/>
  <c r="H211" i="1"/>
  <c r="J211" i="1" s="1"/>
  <c r="J843" i="1" s="1"/>
  <c r="H295" i="1"/>
  <c r="J295" i="1" s="1"/>
  <c r="H587" i="1"/>
  <c r="J587" i="1" s="1"/>
  <c r="H671" i="1"/>
  <c r="J671" i="1" s="1"/>
  <c r="H750" i="1"/>
  <c r="J750" i="1" s="1"/>
  <c r="H471" i="1"/>
  <c r="J471" i="1" s="1"/>
  <c r="H576" i="1"/>
  <c r="J576" i="1" s="1"/>
  <c r="H213" i="1"/>
  <c r="J213" i="1" s="1"/>
  <c r="H434" i="1"/>
  <c r="J434" i="1" s="1"/>
  <c r="H667" i="1"/>
  <c r="J667" i="1" s="1"/>
  <c r="J368" i="1"/>
  <c r="H228" i="1"/>
  <c r="J228" i="1" s="1"/>
  <c r="H479" i="1"/>
  <c r="J479" i="1" s="1"/>
  <c r="H373" i="1"/>
  <c r="J373" i="1" s="1"/>
  <c r="H294" i="1"/>
  <c r="J294" i="1" s="1"/>
  <c r="H490" i="1"/>
  <c r="J490" i="1" s="1"/>
  <c r="H782" i="1"/>
  <c r="J782" i="1" s="1"/>
  <c r="H457" i="1"/>
  <c r="J457" i="1" s="1"/>
  <c r="J619" i="1"/>
  <c r="H841" i="1"/>
  <c r="J841" i="1" s="1"/>
  <c r="H497" i="1"/>
  <c r="J497" i="1" s="1"/>
  <c r="H573" i="1"/>
  <c r="J573" i="1" s="1"/>
  <c r="H509" i="1"/>
  <c r="J509" i="1" s="1"/>
</calcChain>
</file>

<file path=xl/sharedStrings.xml><?xml version="1.0" encoding="utf-8"?>
<sst xmlns="http://schemas.openxmlformats.org/spreadsheetml/2006/main" count="2733" uniqueCount="1742">
  <si>
    <t xml:space="preserve">Acuario Nacional </t>
  </si>
  <si>
    <t>Inventario Inicial</t>
  </si>
  <si>
    <t>Salida</t>
  </si>
  <si>
    <t>Precio Unitario</t>
  </si>
  <si>
    <t>Valores RD$</t>
  </si>
  <si>
    <t>Categoria</t>
  </si>
  <si>
    <t>13/12/2023</t>
  </si>
  <si>
    <t>Dispensador de Jabon Liquido</t>
  </si>
  <si>
    <t>Accesorios de baños</t>
  </si>
  <si>
    <t xml:space="preserve">Dispensador de servilleta </t>
  </si>
  <si>
    <t>Dispensador de servilleta 393</t>
  </si>
  <si>
    <t xml:space="preserve">Dispensador de servilleta 545 </t>
  </si>
  <si>
    <t xml:space="preserve">Dispensador de servilleta familia </t>
  </si>
  <si>
    <t>Dispensador papel jumbo, Role</t>
  </si>
  <si>
    <t>Dispensador papel jumbo supply dept</t>
  </si>
  <si>
    <t>Perchero de tres Ganchos</t>
  </si>
  <si>
    <t>Dispensador de Gel en metal</t>
  </si>
  <si>
    <t>Toallero, Olympia</t>
  </si>
  <si>
    <t>Dispensador de papel higienico, Kimberlyn Clarck</t>
  </si>
  <si>
    <t>Tapa de dispensador</t>
  </si>
  <si>
    <t>Cocina</t>
  </si>
  <si>
    <t xml:space="preserve">Cucharas desechables plastifar de 25   und.                              </t>
  </si>
  <si>
    <t>Cuchillos desechables plastifar de 22 und.</t>
  </si>
  <si>
    <t>Juego de cuchillo Mustad</t>
  </si>
  <si>
    <t>Servilletas, paquetes Niveo</t>
  </si>
  <si>
    <t>Tenedores desechables flexi, paquete de 25 unidades</t>
  </si>
  <si>
    <t>Alambre de Abeto 400 pies color blanco</t>
  </si>
  <si>
    <t>Electricidad</t>
  </si>
  <si>
    <t>Alambre de corriente No. 12, 500 Pies negro, Rollos</t>
  </si>
  <si>
    <t>Alambre Estándar No. 3,  200 pies, Rollo</t>
  </si>
  <si>
    <t>Alambre Estándar No. 4, 500 pies, Rollo</t>
  </si>
  <si>
    <t>Alambre Estándar No. 6, Negro, rollo</t>
  </si>
  <si>
    <t>Alambre No. 2, de 100 pie</t>
  </si>
  <si>
    <t>Alambre Topflex V-K 300 pie No. 18</t>
  </si>
  <si>
    <t>Barrilla de tierra, Bronce</t>
  </si>
  <si>
    <t>Base de control, SOCKET</t>
  </si>
  <si>
    <t>Bombillo ELECLUZ</t>
  </si>
  <si>
    <t>Bombillas Lighting International MH- BT</t>
  </si>
  <si>
    <t>Bombillo espiral, Yuxin</t>
  </si>
  <si>
    <t>Bombillo Led, Rudo 15 W</t>
  </si>
  <si>
    <t>Bombillo Let, EZLIGHT de 15W</t>
  </si>
  <si>
    <t>Braker de CDM1-225 L, Delixi</t>
  </si>
  <si>
    <t>Braker de control, HIMEL</t>
  </si>
  <si>
    <t>Braker Poles de 3 - R100 A 125 S</t>
  </si>
  <si>
    <t xml:space="preserve">Braker Sasanin 225 V </t>
  </si>
  <si>
    <t xml:space="preserve">Braker trifacico de 225 Ampere, DELEXI 600 W </t>
  </si>
  <si>
    <t xml:space="preserve">Braker trifacico, customer oriemtal manufactura 125 ampere </t>
  </si>
  <si>
    <t xml:space="preserve">Braker trifacico, SACE TMAX  de 32 Ampere </t>
  </si>
  <si>
    <t xml:space="preserve">Breaker sencillo fino de 15 Ampere, General Electric </t>
  </si>
  <si>
    <t>Breaker de 20, fino</t>
  </si>
  <si>
    <t>Breaker doble de 32 Ampere, Himel, HDB3WN2C32</t>
  </si>
  <si>
    <t>Breaker  doble de 30 AM, General Electric, THQL2130,</t>
  </si>
  <si>
    <t>Breaker Sencillo grueso, General Electric ,THQL120</t>
  </si>
  <si>
    <t>Breaker sencillo de 20 Ampere. Himel HDB3WA1C20</t>
  </si>
  <si>
    <t>Breaker sencillo 16 Ampere. Himel, HDB3WA1C16</t>
  </si>
  <si>
    <t>Estaño</t>
  </si>
  <si>
    <t>Cable de aislado de acero , Pie</t>
  </si>
  <si>
    <t>Caja 2 x4, Craunot</t>
  </si>
  <si>
    <t>Caja de control 400 x 300 x 200 MM, Argos</t>
  </si>
  <si>
    <t>Caja de registro</t>
  </si>
  <si>
    <t>Caja de alambrado de electricidad</t>
  </si>
  <si>
    <t>Conctactores de 32 amperes a 220 TYJ</t>
  </si>
  <si>
    <t>Conduflex de 3/4, manguera plastica, rollo de 200 pies</t>
  </si>
  <si>
    <t xml:space="preserve">Conectore 3/4 Topaz  electric </t>
  </si>
  <si>
    <t>Conectores 220 TYJ</t>
  </si>
  <si>
    <t>Conectores cruvos de 1 pulgada</t>
  </si>
  <si>
    <t>Conectores de 1 Topaz  eclectric</t>
  </si>
  <si>
    <t>Conectores de alambre</t>
  </si>
  <si>
    <t>Contactor de 32 A 220 V</t>
  </si>
  <si>
    <t>Contactore 18 ampere a 220 CNC</t>
  </si>
  <si>
    <t>Contactores de 50 amperes a 220, Hynndai</t>
  </si>
  <si>
    <t xml:space="preserve">Contactores, himel 150 ampere </t>
  </si>
  <si>
    <t>Control de aire acondicionado universal</t>
  </si>
  <si>
    <t>Extension de 14.5 metro</t>
  </si>
  <si>
    <t>Extension magnetica Truper</t>
  </si>
  <si>
    <t>Filtro de bronce de 4</t>
  </si>
  <si>
    <t>Filtro de bronce de 6</t>
  </si>
  <si>
    <t>Fotocelda Smart Life 50/60 HZ</t>
  </si>
  <si>
    <t>Interrruptor, Levinton</t>
  </si>
  <si>
    <t>Interruptor de 2, Ticino</t>
  </si>
  <si>
    <t>Lampara de color de 100W</t>
  </si>
  <si>
    <t>Luces de control, Piboto</t>
  </si>
  <si>
    <t>28/12/2020</t>
  </si>
  <si>
    <t>Luces Led 100 W, Rudo</t>
  </si>
  <si>
    <t>Luces Led 400 W, Rudo</t>
  </si>
  <si>
    <t>Luces Led 50W a 10W</t>
  </si>
  <si>
    <t>Manguera de nivel 3/8, Truper, rollo de 100 metros</t>
  </si>
  <si>
    <t>Mantenedor de carga 12 V</t>
  </si>
  <si>
    <t>Mantenedor de carga 24 V</t>
  </si>
  <si>
    <t>Monitores de face ( Timer)</t>
  </si>
  <si>
    <t>Monitores de fase Littelisse</t>
  </si>
  <si>
    <t>Piboton para caja de control</t>
  </si>
  <si>
    <t>Plot de bateria, Baterry Terminal, Pares</t>
  </si>
  <si>
    <t>Relay de control, CHNT</t>
  </si>
  <si>
    <t xml:space="preserve">Relay termico 30/40 </t>
  </si>
  <si>
    <t>Relay termico de 25 -40 Ampere</t>
  </si>
  <si>
    <t>Relay termico de 30 -40 Ampere</t>
  </si>
  <si>
    <t>Relay termico de 7 -10 Ampere</t>
  </si>
  <si>
    <t>Relay Tosun</t>
  </si>
  <si>
    <t>Riley de control cura CHNT DE 10 UND.</t>
  </si>
  <si>
    <t>Selector de control galaxy</t>
  </si>
  <si>
    <t>Sensor de movimiento, Fulgore</t>
  </si>
  <si>
    <t>Socalos de goma</t>
  </si>
  <si>
    <t>Swicth selector de control , CHNT</t>
  </si>
  <si>
    <t xml:space="preserve">SWicth selector de control , Elite </t>
  </si>
  <si>
    <t>Tapa Interrruptor, Levinton</t>
  </si>
  <si>
    <t>Tapa Toma corriente, Levinton</t>
  </si>
  <si>
    <t>Terminales de sillitas para cable de acero</t>
  </si>
  <si>
    <t>Timbre, round bell</t>
  </si>
  <si>
    <t>Interruptor doble, BTICINO</t>
  </si>
  <si>
    <t xml:space="preserve">Toma corriente, BTICINO </t>
  </si>
  <si>
    <t xml:space="preserve">Toma corriente, LEVITON </t>
  </si>
  <si>
    <t>Transformadores de control Winston 100 vBA</t>
  </si>
  <si>
    <t>Tubo de lampara T8</t>
  </si>
  <si>
    <t>Temporizador, Ginebre</t>
  </si>
  <si>
    <t>Herramientas/Pintura</t>
  </si>
  <si>
    <t>Brocha de 1 Iber</t>
  </si>
  <si>
    <t>Brochas de 3, Iber</t>
  </si>
  <si>
    <t>Brochas de 3, Bufalo</t>
  </si>
  <si>
    <t>25/04/2024</t>
  </si>
  <si>
    <t>Brochas de 4, Colima</t>
  </si>
  <si>
    <t>Porta Rolo, Lancon</t>
  </si>
  <si>
    <t>Rolo Lancon, antigota 9 x 5/16</t>
  </si>
  <si>
    <t>Espatula plastica de 4, Roma</t>
  </si>
  <si>
    <t>Espatulas 10 CM, Atlas</t>
  </si>
  <si>
    <t>Espatulas 8 CM, Atlas</t>
  </si>
  <si>
    <t>Lija de agua de 2000</t>
  </si>
  <si>
    <t>Mortero para recibrimiento, Zika</t>
  </si>
  <si>
    <t>Claer West</t>
  </si>
  <si>
    <t>Pintura mate tropical, color verde fresco, cubeta</t>
  </si>
  <si>
    <t>Pintura Popular, Azul 05,Epoxica, Galones</t>
  </si>
  <si>
    <t>Pintura Tropical, Azul 05,Epoxica, Galones</t>
  </si>
  <si>
    <t>Pintura Popular, Crema 51, Epoxica, Galones</t>
  </si>
  <si>
    <t>Pintura Popular, Negro 00, Epoxica, Galones</t>
  </si>
  <si>
    <t>Pintura Satinada Crema 13 B 3 D, Cubeta</t>
  </si>
  <si>
    <t>Pintura Tropical Amarillo Canario, Galones</t>
  </si>
  <si>
    <t>Pintura tropical Satinada, color Arena 74, Cubeta</t>
  </si>
  <si>
    <t>Pintura Tropical, Azul Royal 69, Galones</t>
  </si>
  <si>
    <t>Pintura Tropical, Bronce oscuro No. 19</t>
  </si>
  <si>
    <t>Pintura tropical, color Azul Alba, cubeta</t>
  </si>
  <si>
    <t>Pintura Tropical, Ferrer Galones</t>
  </si>
  <si>
    <t>Recubrimiento de pintura Popular, Epoxiguard</t>
  </si>
  <si>
    <t>Masilla Acrilica Cano, cartucho</t>
  </si>
  <si>
    <t>Barra, Color Oleo, Winson Newton</t>
  </si>
  <si>
    <t>Trementina, Claudett</t>
  </si>
  <si>
    <t xml:space="preserve">Pintura Epoxita, color Ladrillo </t>
  </si>
  <si>
    <t xml:space="preserve">Bata medical desechable </t>
  </si>
  <si>
    <t>Equipos de proteccion y seguridad</t>
  </si>
  <si>
    <t>Casco de seguirdad</t>
  </si>
  <si>
    <t xml:space="preserve">Faja truper L </t>
  </si>
  <si>
    <t xml:space="preserve">Faja truper M </t>
  </si>
  <si>
    <t xml:space="preserve">Faja truper XL </t>
  </si>
  <si>
    <t xml:space="preserve">Guantes  de proteccion ECO pares </t>
  </si>
  <si>
    <t>Linda, color mamey</t>
  </si>
  <si>
    <t xml:space="preserve">Cubierta de zapatos American piezas </t>
  </si>
  <si>
    <t>Cubierta de zapatos Blue cross  piezas</t>
  </si>
  <si>
    <t>Cubre Zapatos  Luz med piezas</t>
  </si>
  <si>
    <t>Gorro para cirujanos blue cross und.</t>
  </si>
  <si>
    <t>Gorro para enfermeras azul  und.</t>
  </si>
  <si>
    <t>Guantes Nipro Glove, cajas de 100 und.</t>
  </si>
  <si>
    <t xml:space="preserve">Guantes Gross Med Latex, Cajas Size M </t>
  </si>
  <si>
    <t>Guantes Nitrile Glove, Size S. Caja</t>
  </si>
  <si>
    <t>Guantes Ontex glove L, Cajas de 100 und.</t>
  </si>
  <si>
    <t xml:space="preserve">Guantes Ontex gloves S, Cajas de 100 und. </t>
  </si>
  <si>
    <t>Guantes Quirurgicos L  . Safe Care Cajas</t>
  </si>
  <si>
    <t xml:space="preserve">Guantes Quirurgicos, Size M, Safe Care, Cajas </t>
  </si>
  <si>
    <t>Mascarillas desechables , Safare Care, Caja de 50 unidades</t>
  </si>
  <si>
    <t>Mascarillas desechables , N95, paquetes</t>
  </si>
  <si>
    <t>Gafas quirurgicas und.</t>
  </si>
  <si>
    <t>Ferreteria               Herramientas</t>
  </si>
  <si>
    <t>Abrazadera de 2</t>
  </si>
  <si>
    <t>Abrazadera de 3/4</t>
  </si>
  <si>
    <t>Agarradera de metal 1 1/2</t>
  </si>
  <si>
    <t>Pinzas de liniero, klein Tools,  und.</t>
  </si>
  <si>
    <t>Arandela 3/8</t>
  </si>
  <si>
    <t>Bolla blanca</t>
  </si>
  <si>
    <t>Candado Yale 110 - 60 (60MM)</t>
  </si>
  <si>
    <t xml:space="preserve">Carpa </t>
  </si>
  <si>
    <t>Cemento blanco fundas de 2 libras</t>
  </si>
  <si>
    <t>Cerradura con Llave Master Safe</t>
  </si>
  <si>
    <t>Cerradura de barra, LootCraft</t>
  </si>
  <si>
    <t>Cierre de puerta areo, Yale</t>
  </si>
  <si>
    <t>Clavo de 4, dulce. Libra</t>
  </si>
  <si>
    <t>Clavo de acero, libra</t>
  </si>
  <si>
    <t>Conector Sillita</t>
  </si>
  <si>
    <t>Contra canasta Ez-Flo</t>
  </si>
  <si>
    <t>Esmeril Fino, cubeta</t>
  </si>
  <si>
    <t>Esmeril Grueso, Cubeta</t>
  </si>
  <si>
    <t>Felpa para Puerta</t>
  </si>
  <si>
    <t xml:space="preserve">Juegos de detornilladores Inc-co,  Cada juego  trae 10 </t>
  </si>
  <si>
    <t xml:space="preserve">Limpiador de contacto Wurth </t>
  </si>
  <si>
    <t>Llave ajustable de 10 MM Truper</t>
  </si>
  <si>
    <t>Llave ajustable de 12 MM Truper</t>
  </si>
  <si>
    <t>Lona reforzada truper 1.5mx2m und.</t>
  </si>
  <si>
    <t xml:space="preserve">Maceta, Master </t>
  </si>
  <si>
    <t>Malla cedaso, rollo</t>
  </si>
  <si>
    <t>Manguera de gas, color rojo metros</t>
  </si>
  <si>
    <t>Martillo trupper</t>
  </si>
  <si>
    <t>Montaje de 3 bolas, Marpac</t>
  </si>
  <si>
    <t>Palometa Blanca</t>
  </si>
  <si>
    <t>Pasador de 5/8 a 1.6 CM</t>
  </si>
  <si>
    <t>Pinsa de presion de 10MM,Pretul</t>
  </si>
  <si>
    <t xml:space="preserve">Polo de baterias, Pretul </t>
  </si>
  <si>
    <t xml:space="preserve">Porta candado </t>
  </si>
  <si>
    <t>Receive Lock 5/8, Diamate</t>
  </si>
  <si>
    <t>Regilete Foy</t>
  </si>
  <si>
    <t>Regilete metal</t>
  </si>
  <si>
    <t>Rollo de cinta doble cara 3M</t>
  </si>
  <si>
    <t xml:space="preserve">Segueta Bellota </t>
  </si>
  <si>
    <t>Marco de segueta, Stanley de 12</t>
  </si>
  <si>
    <t>Slip resistente, rollo, 3 M</t>
  </si>
  <si>
    <t>Solser Union 1/4, Refrigeracion</t>
  </si>
  <si>
    <t>Tarugo Azul de 1</t>
  </si>
  <si>
    <t>Tarugo mamey de 1 1/2</t>
  </si>
  <si>
    <t>Tornillo de 2</t>
  </si>
  <si>
    <t xml:space="preserve">Tornillo 3/8 Truper </t>
  </si>
  <si>
    <t>Tornillo separadores 2 MM, truper</t>
  </si>
  <si>
    <t>Tuerca 3/8</t>
  </si>
  <si>
    <t>Visagra de gabinetes</t>
  </si>
  <si>
    <t>Tornillo Diablito de 3/4</t>
  </si>
  <si>
    <t>Tornillo Diablito de 1/2</t>
  </si>
  <si>
    <t xml:space="preserve">Aceite Compos Industriales </t>
  </si>
  <si>
    <t>Lubricantes</t>
  </si>
  <si>
    <t>Filtro aire PA 2806 Baldwin</t>
  </si>
  <si>
    <t>Filtro BF 892, Baldwin</t>
  </si>
  <si>
    <t>Filtro BF 970, Baldwin</t>
  </si>
  <si>
    <t>Filtro BT 259, Baldwin</t>
  </si>
  <si>
    <t>Filtro coolant Sakira WG 5706</t>
  </si>
  <si>
    <t>Filtro de Gasoil element - 10</t>
  </si>
  <si>
    <t>Filtro Fleetguard FF211</t>
  </si>
  <si>
    <t>Filtro gasoil Hastings FF 996</t>
  </si>
  <si>
    <t>Filtro Hastings LF 364</t>
  </si>
  <si>
    <t>Filtro PA 1712 (BALDWIN)</t>
  </si>
  <si>
    <t>29/03/2019</t>
  </si>
  <si>
    <t>Filtro Baldwin B99,</t>
  </si>
  <si>
    <t>Filtro Baldwin BT230</t>
  </si>
  <si>
    <t>Filtro Baldwin BF957 D</t>
  </si>
  <si>
    <t>Filtro Baldwin BD 103</t>
  </si>
  <si>
    <t>29/08/2019</t>
  </si>
  <si>
    <t>Filtro FF996  (HASTINGS)</t>
  </si>
  <si>
    <t>Filtro vegetal</t>
  </si>
  <si>
    <t>Repsol Insdutrial C.</t>
  </si>
  <si>
    <t>Suplemento Oil Baradahl No. 1</t>
  </si>
  <si>
    <t>Suplemento Oil Baradahl No. 2</t>
  </si>
  <si>
    <t>Tcfil Max Prp PSL-300</t>
  </si>
  <si>
    <t>Degreaser D4</t>
  </si>
  <si>
    <t>Agua de bateria</t>
  </si>
  <si>
    <t>Cepillo alambre Angelito</t>
  </si>
  <si>
    <t>Mantenimiento      Limpieza</t>
  </si>
  <si>
    <t xml:space="preserve">Cepillo alambre color amarillo </t>
  </si>
  <si>
    <t>Cepillo alambre Fecin</t>
  </si>
  <si>
    <t>Cloro estabilizado, galon de 3 libras</t>
  </si>
  <si>
    <t>Cloro estabilizado, Aqua Klean tabletas</t>
  </si>
  <si>
    <t>Cloro Klinaccion, galon</t>
  </si>
  <si>
    <t>20/09/2024</t>
  </si>
  <si>
    <t>Mota para brillo, #7</t>
  </si>
  <si>
    <t>Ratrillo Rojo de hierro</t>
  </si>
  <si>
    <t>Ratrillo verde de hierro</t>
  </si>
  <si>
    <t>Ace compadre de 30 libra saco.</t>
  </si>
  <si>
    <t>Ambientador AIRWICKI, fragancia Lavanda</t>
  </si>
  <si>
    <t>Ambientador AIRWICKI, fragancia vainilla</t>
  </si>
  <si>
    <t>Ambientador Glade, Clean Liner</t>
  </si>
  <si>
    <t>Barredoras cortas, negra</t>
  </si>
  <si>
    <t xml:space="preserve">Barredoras Duro </t>
  </si>
  <si>
    <t>Brillo gordo</t>
  </si>
  <si>
    <t xml:space="preserve">Brillos Extra fuerte, La maquina </t>
  </si>
  <si>
    <t>Brillos fibra Scotch Brite, Verde</t>
  </si>
  <si>
    <t xml:space="preserve">Brillos La maquina, paq.  EL DURO </t>
  </si>
  <si>
    <t>Cepillo de alambre Truper</t>
  </si>
  <si>
    <t>24/07/2024</t>
  </si>
  <si>
    <t>Cepillo Plachita</t>
  </si>
  <si>
    <t>Desinfectante Akoo, Bebe</t>
  </si>
  <si>
    <t>Desinfectante Virkon</t>
  </si>
  <si>
    <t>26/06/2024</t>
  </si>
  <si>
    <t>Escoba Dora</t>
  </si>
  <si>
    <t>Escoba Kika</t>
  </si>
  <si>
    <t>Escoba Sunny</t>
  </si>
  <si>
    <t>Escoba, Samba</t>
  </si>
  <si>
    <t>Fundas negra de 55 Galones</t>
  </si>
  <si>
    <t>Fundas negras, 60 Galones</t>
  </si>
  <si>
    <t>Fundasnegras, 65 Galones</t>
  </si>
  <si>
    <t>Jabon de cuaba liquido, Jarabacoa multiuso</t>
  </si>
  <si>
    <t>Jabon Tork</t>
  </si>
  <si>
    <t>Limpiador de ceramica, Mude, Decaline</t>
  </si>
  <si>
    <t>Lysol Clean galon</t>
  </si>
  <si>
    <t>Manguera Kelos 5/8,  3/4, 100 Pie</t>
  </si>
  <si>
    <t>Manguera Kelos 5/8,  3/4, 50 Pie</t>
  </si>
  <si>
    <t>Mopa abrillantadora</t>
  </si>
  <si>
    <t>Papel de Baño BLIC</t>
  </si>
  <si>
    <t>Papel de Baño Natura</t>
  </si>
  <si>
    <t>Papel Toalla</t>
  </si>
  <si>
    <t xml:space="preserve">Piedra perfumada Inodoro, Arom, Frutas silvestre </t>
  </si>
  <si>
    <t>Piedra perfumada Inodoro, Arom, Jardin Lavanda</t>
  </si>
  <si>
    <t>Piedra perfumada Inodoro, Arom, Pradera Popurri</t>
  </si>
  <si>
    <t>Piedra perfumada Inodoro, Arom, Vainilla</t>
  </si>
  <si>
    <t xml:space="preserve">Ratrillo de hierro, Truper con sus palos </t>
  </si>
  <si>
    <t>Ratrillo mamey, plasticos</t>
  </si>
  <si>
    <t>Recogedor de agua</t>
  </si>
  <si>
    <t xml:space="preserve">Saca agua, Brava pequeños </t>
  </si>
  <si>
    <t xml:space="preserve">Suape kika # 32 </t>
  </si>
  <si>
    <t>Suape linda # 32</t>
  </si>
  <si>
    <t>Suape mop # 32</t>
  </si>
  <si>
    <t>Suape Rayon #36</t>
  </si>
  <si>
    <t xml:space="preserve">Palo de escoba amarillo </t>
  </si>
  <si>
    <t xml:space="preserve">Palo escoba kika </t>
  </si>
  <si>
    <t>Palo para mapo</t>
  </si>
  <si>
    <t>Palo rastrillo bellota</t>
  </si>
  <si>
    <t xml:space="preserve">Palo rastrillo truper </t>
  </si>
  <si>
    <t xml:space="preserve">Palo recogedor de agua  </t>
  </si>
  <si>
    <t>Palos gris con amarillos</t>
  </si>
  <si>
    <t>Safacon de 240 Litros Negro,con rueda Duralon</t>
  </si>
  <si>
    <t xml:space="preserve">Safacon de 240 Litros Negro </t>
  </si>
  <si>
    <t>Safacon de 100 Litros negro, Duralon</t>
  </si>
  <si>
    <t>Materiales de oficina</t>
  </si>
  <si>
    <t xml:space="preserve">Bandas de gomas rubbers bands en cajitas (Woker) </t>
  </si>
  <si>
    <t>18/10/2022</t>
  </si>
  <si>
    <t>Bandas de gomas velez en cajitas</t>
  </si>
  <si>
    <t>Barra de silicon caliente gruesa pointer und.</t>
  </si>
  <si>
    <t>17/12/2021</t>
  </si>
  <si>
    <t xml:space="preserve">Binder clip billetero de 51 mm, Printek, Caja </t>
  </si>
  <si>
    <t>Binder clips Dl DINGLI, 19MM</t>
  </si>
  <si>
    <t>Binder clips Dl DINGLI, 25 MM</t>
  </si>
  <si>
    <t>Binder clips Dl DINGLI, 32 MM</t>
  </si>
  <si>
    <t>Boligrafo corona negro und.</t>
  </si>
  <si>
    <t>Boligrafo Eco negro und.</t>
  </si>
  <si>
    <t>Boligrafo Eco rojo  und.</t>
  </si>
  <si>
    <t xml:space="preserve">Boligrafo Talbot Azul, Caja </t>
  </si>
  <si>
    <t>Boligrafo Beifa Azul, caja</t>
  </si>
  <si>
    <t>Borrador blanco, Pointer</t>
  </si>
  <si>
    <t>Calculadore casio AX-12b</t>
  </si>
  <si>
    <t>Carpeta para archivar blanca 3 "</t>
  </si>
  <si>
    <t>Carpeta para archivar blanca 5 ", 3 D</t>
  </si>
  <si>
    <t xml:space="preserve">CD normal </t>
  </si>
  <si>
    <t xml:space="preserve">Chincheta talbot plastica de 100 und 19 cajas </t>
  </si>
  <si>
    <t>Chincheta, Velmer, caja</t>
  </si>
  <si>
    <t>Chinchetas studmark 9mm, Cajas</t>
  </si>
  <si>
    <t>Cinta de maquinas de escribir Nakajima WTP 150, und.</t>
  </si>
  <si>
    <t>Cinta para maquina de oficina Ribbons</t>
  </si>
  <si>
    <t>Cinta Adhesiva 3/4 x 36 Highland</t>
  </si>
  <si>
    <t>Clip billetero 25mm, Talbot</t>
  </si>
  <si>
    <t xml:space="preserve">Clip billetero 41 MM,  Pointer </t>
  </si>
  <si>
    <t>Clips Billetero 51mm, Artesco</t>
  </si>
  <si>
    <t>Clips mariposa No. 1 Studmark</t>
  </si>
  <si>
    <t>Clips mariposa, Paper Clamp No. 1</t>
  </si>
  <si>
    <t>Clips mariposa, Paper Clamp No. 2</t>
  </si>
  <si>
    <t>Corrector liquido, Stabilo</t>
  </si>
  <si>
    <t>Dispensador de cinta pegante Talbot</t>
  </si>
  <si>
    <t>Engrapadora de pinza metalica de 20 hojas, Studmark</t>
  </si>
  <si>
    <t>Espiral para encuadernacion,  Velmer, 10 mm und.</t>
  </si>
  <si>
    <t xml:space="preserve">Espiral para encuadernacion 12  mm und. </t>
  </si>
  <si>
    <t xml:space="preserve">Espiral  para encuadernacion 16 mm und. </t>
  </si>
  <si>
    <t xml:space="preserve">Espiral para encuadernacion,  Velmer, 38 mm </t>
  </si>
  <si>
    <t>Espiral para encuadernacion,  Velmer, 51mm, und.</t>
  </si>
  <si>
    <t>Espiral para encuadernacion,  Velmer, 8mm, und.</t>
  </si>
  <si>
    <t>Espiral No. 11 rings lette size por und.</t>
  </si>
  <si>
    <t xml:space="preserve">Espiral para encuadernacion,  Velmer, 14 mm </t>
  </si>
  <si>
    <t>Espiral No. 19 rings lette size por und.</t>
  </si>
  <si>
    <t xml:space="preserve">Espiral No. 32 mm und </t>
  </si>
  <si>
    <t xml:space="preserve">Felpa sarasa und. </t>
  </si>
  <si>
    <t>felpa uni-ball und.</t>
  </si>
  <si>
    <t>Fieltro mann und.</t>
  </si>
  <si>
    <t>Sobre manila Amarillo 8 1/2 x 11</t>
  </si>
  <si>
    <t>Sobre manila Amarillo 8 1/2 x 13</t>
  </si>
  <si>
    <t>Folders Rojo con bolsillo</t>
  </si>
  <si>
    <t>Gancho Para archivar , Talbot 70 MM, Caja</t>
  </si>
  <si>
    <t>Grapadora Bostitch</t>
  </si>
  <si>
    <t xml:space="preserve">Grapadora Swingline </t>
  </si>
  <si>
    <t>Infrared Themometer</t>
  </si>
  <si>
    <t>Jaladore marpec</t>
  </si>
  <si>
    <t>Juego geometrico ponter juego.</t>
  </si>
  <si>
    <t xml:space="preserve">Kores cinta para maquina de escribir </t>
  </si>
  <si>
    <t>Label para pendaflex, Kleer Fax</t>
  </si>
  <si>
    <t>Labels &amp; Ink Jet Labels, White shipping labels 2 x 4</t>
  </si>
  <si>
    <t xml:space="preserve">Letter size, 2 x 4, Labels Herma </t>
  </si>
  <si>
    <t>Etiquetas Laser, 2 3/4 x 2 3/4x  7x7 CM</t>
  </si>
  <si>
    <t xml:space="preserve">Labels &amp; Ink Jet Labels, CD/ DVD </t>
  </si>
  <si>
    <t>Laminating Pouch Film 229 x 292MM</t>
  </si>
  <si>
    <t>Lamiting  Film, 229mm x 292mm, Velmer</t>
  </si>
  <si>
    <t>Laser Ink Jet labels, 1 x 25/8, Maco Hojas</t>
  </si>
  <si>
    <t xml:space="preserve">Libreta de Raya 5 X 8 </t>
  </si>
  <si>
    <t>Libro Record 500 paginas</t>
  </si>
  <si>
    <t>Liquid Paper, Paper Mate</t>
  </si>
  <si>
    <t>Marcadores de pizarra negro und.</t>
  </si>
  <si>
    <t>Marcadores permanentes sislo negros und.</t>
  </si>
  <si>
    <t>Nota adhesiva  solute ch 2x3 amarillo und.</t>
  </si>
  <si>
    <t>Nota adhesiva office 3x3 amarillo  und.</t>
  </si>
  <si>
    <t xml:space="preserve">Nota adhesivas  2 x 3 Printex stickey, amarillo </t>
  </si>
  <si>
    <t>Notas  Adhesiva talbot  3x2 color amarillo luminico und.</t>
  </si>
  <si>
    <t>Notas  Adhsiva 3x3 und. Colores</t>
  </si>
  <si>
    <t>Notas adhesivas 3x2  talbot color naranja neon und.</t>
  </si>
  <si>
    <t>Notas adhesivas 3x2 talbot color Azul neon und.</t>
  </si>
  <si>
    <t>Notas adhesivas 3x2 talbot color limoncillo neon und.</t>
  </si>
  <si>
    <t>Notas adhesivas 3x2 talbot color rosado neon und.</t>
  </si>
  <si>
    <t>Notas adhesivas 3x2 talbot color verde  neon und.</t>
  </si>
  <si>
    <t>Notas adhesivas 50x76mm amarillo, Milan,  und.</t>
  </si>
  <si>
    <t>Nustra, Grapas</t>
  </si>
  <si>
    <t>Papel Carbon, Shunchuan color negro</t>
  </si>
  <si>
    <t>Papel carbon, Pointer, color azul</t>
  </si>
  <si>
    <t>Papel de hilo 8.5x11 paq.</t>
  </si>
  <si>
    <t>Papel de lamina 8.5 x 11, Hewlett Packard</t>
  </si>
  <si>
    <t>Paper Clips 33MM, Printek</t>
  </si>
  <si>
    <t>Paper clips 50MM, Printek</t>
  </si>
  <si>
    <t>Peganmento, Goma blanca, Aztec</t>
  </si>
  <si>
    <t>Pelicula de diapositiva para copiadoras 81/2 X 11, 3M, Unidades</t>
  </si>
  <si>
    <t>Pendaflex Ever Print Classifiacation, Letter Size</t>
  </si>
  <si>
    <t>Pendaflex und.</t>
  </si>
  <si>
    <t>Perforadora de dos hoyos,  Printek</t>
  </si>
  <si>
    <t>Plastico aderente, plastic wrap 12 x 2000 Rollo</t>
  </si>
  <si>
    <t>Pointer post-it 7.3x123 amarilla und.</t>
  </si>
  <si>
    <t>POP-UPINDEX  UND.</t>
  </si>
  <si>
    <t>Porta cinta 3mm</t>
  </si>
  <si>
    <t>Porta Lapiz, Redondo negro</t>
  </si>
  <si>
    <t xml:space="preserve">Reglas pointer </t>
  </si>
  <si>
    <t>Removedor de grapas, Bostitch</t>
  </si>
  <si>
    <t>Resaltadores pelika mamey und.</t>
  </si>
  <si>
    <t>Resaltadores pelika verde und.</t>
  </si>
  <si>
    <t>Resaltadores printek mamey und.</t>
  </si>
  <si>
    <t>Resaltadores printek negro  und.</t>
  </si>
  <si>
    <t>Resaltadores printek rosado und.</t>
  </si>
  <si>
    <t>Resma de papel 8 1/2 x 11, color crema</t>
  </si>
  <si>
    <t>Resma de papel 8 1/2 x14</t>
  </si>
  <si>
    <t xml:space="preserve">Resma de papel Info Print cajas de 10 resma </t>
  </si>
  <si>
    <t>Resma de papel Navegator 8 1/2 x 14</t>
  </si>
  <si>
    <t>Resma de papel Premiun 8 1/2 x 14</t>
  </si>
  <si>
    <t>Resma de papel timbrado, Institucional, Resma</t>
  </si>
  <si>
    <t>26/04/2024</t>
  </si>
  <si>
    <t>Rollo de maquina sumadora, und.</t>
  </si>
  <si>
    <t>Saca grapa, Homensing</t>
  </si>
  <si>
    <t>Sacagrapa, Nustar</t>
  </si>
  <si>
    <t>Sacapuntas con base und.</t>
  </si>
  <si>
    <t>Sacapuntas de hierro und.</t>
  </si>
  <si>
    <t>Sacapuntas sencillo und.</t>
  </si>
  <si>
    <t>Silicon liquido, Facela 500 ML</t>
  </si>
  <si>
    <t>Silicon liquido, Pointer 500 ML</t>
  </si>
  <si>
    <t>Silicon liquido, Pointer 60 ML</t>
  </si>
  <si>
    <t>23/02/2024</t>
  </si>
  <si>
    <t xml:space="preserve">Sobre blanco peq. Unidades </t>
  </si>
  <si>
    <t>Sobre de manila blanco und.</t>
  </si>
  <si>
    <t>Sobre Manila, Timbrado blanco und.</t>
  </si>
  <si>
    <t>Solutech, Grapas</t>
  </si>
  <si>
    <t>Talonario de Requisicion de Materiales</t>
  </si>
  <si>
    <t>Tape Dueto Abro, color Gris</t>
  </si>
  <si>
    <t>Tijeras printek und.</t>
  </si>
  <si>
    <t>Tinta Giraplica color azul, Pelican</t>
  </si>
  <si>
    <t>Pegamento UHU, und.</t>
  </si>
  <si>
    <t>26/06/204</t>
  </si>
  <si>
    <t>Porta Lapiz, cuadrado negro</t>
  </si>
  <si>
    <t>Photo Paper 8.5 x 11, Fotofinish</t>
  </si>
  <si>
    <t>Papel fotografico, Glossy Ink Jet Paper, 8.5 x 11 , Hojas</t>
  </si>
  <si>
    <t>Label CD/DVD, 8.5 x 11, Key Media, hojas</t>
  </si>
  <si>
    <t>Banquetas plastica, color azul</t>
  </si>
  <si>
    <t>Plasticos</t>
  </si>
  <si>
    <t>Botellones de agua Planeta Azul de polibicarbonato</t>
  </si>
  <si>
    <t>Adaptador 1/2 macho</t>
  </si>
  <si>
    <t>Plomeria</t>
  </si>
  <si>
    <t>17/12/2018</t>
  </si>
  <si>
    <t>Adaptador Macho de 1</t>
  </si>
  <si>
    <t>Adaptador 1 1/2 macho</t>
  </si>
  <si>
    <t>Adaptador Macho de 2</t>
  </si>
  <si>
    <t>Adaptador Macho de 3/4</t>
  </si>
  <si>
    <t>Adaptador hembra de  1/2</t>
  </si>
  <si>
    <t>Adaptadores Hembra 3/4</t>
  </si>
  <si>
    <t>Adaptador hembra de 1</t>
  </si>
  <si>
    <t>Adaptador hembra de 1 1/2</t>
  </si>
  <si>
    <t>Adaptador hembra de 2</t>
  </si>
  <si>
    <t>Union Universal de 1/2</t>
  </si>
  <si>
    <t xml:space="preserve">Union Universal de 1 </t>
  </si>
  <si>
    <t>Union  Universal de 2</t>
  </si>
  <si>
    <t>Bushin Inodoro</t>
  </si>
  <si>
    <t>Cera de inodoro</t>
  </si>
  <si>
    <t>Codo 1/2</t>
  </si>
  <si>
    <t>Codo de 1</t>
  </si>
  <si>
    <t>Codo de 3 PVC</t>
  </si>
  <si>
    <t>Copli de  3/4</t>
  </si>
  <si>
    <t>Copli de 1/2</t>
  </si>
  <si>
    <t>Copli de 2</t>
  </si>
  <si>
    <t>Coplin 1 PVC</t>
  </si>
  <si>
    <t>Couplig de 1 1/2</t>
  </si>
  <si>
    <t xml:space="preserve">Coplin de 3 </t>
  </si>
  <si>
    <t>Cubrefaldo de ducha</t>
  </si>
  <si>
    <t>Detapador de tuberia</t>
  </si>
  <si>
    <t>Juego de cifon Cocina</t>
  </si>
  <si>
    <t>Juego de valvula de entrada</t>
  </si>
  <si>
    <t>Junta Dreicer de 6</t>
  </si>
  <si>
    <t>Junta Dreise de 3</t>
  </si>
  <si>
    <t>Llave de bola 3 LD Taiwan</t>
  </si>
  <si>
    <t xml:space="preserve">Llave de chorro PVC    </t>
  </si>
  <si>
    <t>Llave de ducha PVC</t>
  </si>
  <si>
    <t>Llave de paso de 1/2</t>
  </si>
  <si>
    <t>Llave de paso de 2</t>
  </si>
  <si>
    <t>Llave de paso de 3</t>
  </si>
  <si>
    <t>Llave de paso de 3/4</t>
  </si>
  <si>
    <t>Llave de paso PVC de 1</t>
  </si>
  <si>
    <t>Llave de paso PVC de 1 1/2</t>
  </si>
  <si>
    <t>Llave para inodoro de presion ZURN</t>
  </si>
  <si>
    <t>Llave sencilla lavamanos, Aquitiva</t>
  </si>
  <si>
    <t>Manguera de lavamano de metal</t>
  </si>
  <si>
    <t>Mezcladora para lavamanos Smart Life</t>
  </si>
  <si>
    <t>Monomano para lavamanos, Lukan</t>
  </si>
  <si>
    <t>Perita</t>
  </si>
  <si>
    <t>Pistola de Pintar, Truper</t>
  </si>
  <si>
    <t>Wet Dry Cemento PVC para tubo, 32 ONZ Lanco</t>
  </si>
  <si>
    <t>Regulador de inodoro</t>
  </si>
  <si>
    <t>Resumidero cuadrado 4x4</t>
  </si>
  <si>
    <t>Shower Hand, Universal Shower</t>
  </si>
  <si>
    <t xml:space="preserve">T de 3 </t>
  </si>
  <si>
    <t xml:space="preserve">T de drenaje de 4 </t>
  </si>
  <si>
    <t>T de manguera 3/4</t>
  </si>
  <si>
    <t>Tapa de inodoro grande, INTER</t>
  </si>
  <si>
    <t>Tapa de inodoro grande, pequeña</t>
  </si>
  <si>
    <t>Tapa de inodoro IBER</t>
  </si>
  <si>
    <t>Tapones de lavamano</t>
  </si>
  <si>
    <t>Tapones hembra de 1 1/2</t>
  </si>
  <si>
    <t>Tapones hembra de 1.</t>
  </si>
  <si>
    <t>Tapones hembra de 1/2</t>
  </si>
  <si>
    <t>Tapones hembra de 3/4</t>
  </si>
  <si>
    <t>Tubo de drenaje de 6</t>
  </si>
  <si>
    <t>Union de 1</t>
  </si>
  <si>
    <t>Union Dreser Fresser 1</t>
  </si>
  <si>
    <t>Union Dreser Fresser de 1 1/2</t>
  </si>
  <si>
    <t>Union Dreser Fresser de 1/2</t>
  </si>
  <si>
    <t xml:space="preserve">Union Dreser Fresser de 3/4 </t>
  </si>
  <si>
    <t xml:space="preserve">Union Universal de 1  </t>
  </si>
  <si>
    <t>Union Universal de 2</t>
  </si>
  <si>
    <t xml:space="preserve">Union Universal de 3/4 </t>
  </si>
  <si>
    <t>Terminal macho, metal</t>
  </si>
  <si>
    <t>Teflon 3/4 x 15 mts</t>
  </si>
  <si>
    <t>Clan o Abrazadora de 3</t>
  </si>
  <si>
    <t>Clan o Abrazadora de 6</t>
  </si>
  <si>
    <t>Señalizacion</t>
  </si>
  <si>
    <t>Señalizacion de piso mojado, color amarillo</t>
  </si>
  <si>
    <t>Señalizacion roja</t>
  </si>
  <si>
    <t>Cinta de Precaucion de 100 Metros</t>
  </si>
  <si>
    <t>Señalizacion, color amarillo</t>
  </si>
  <si>
    <t>Adaptadores de blutu</t>
  </si>
  <si>
    <t>Suministro de Tecnologia</t>
  </si>
  <si>
    <t>DVD Maxell  und.</t>
  </si>
  <si>
    <t>Mouse Pad</t>
  </si>
  <si>
    <t>Toner LaserJet Q2612A</t>
  </si>
  <si>
    <t>Toner Queen LaserJet C7115A</t>
  </si>
  <si>
    <t xml:space="preserve">Toner LaserJet HP CF230A </t>
  </si>
  <si>
    <t>Toner LaserJet HP W2020A, 414 A</t>
  </si>
  <si>
    <t xml:space="preserve">Toner LaserJet Q5949A </t>
  </si>
  <si>
    <t xml:space="preserve">Thoner Laser Jet CE5005A </t>
  </si>
  <si>
    <t>Toner Cartridge GPR 54</t>
  </si>
  <si>
    <t>Thoner Laser Jet CE5005A Queen</t>
  </si>
  <si>
    <t>Toner Cartridge GPR-22</t>
  </si>
  <si>
    <t xml:space="preserve">Thoner Katun Perfomace </t>
  </si>
  <si>
    <t>Toner Laser Jet Queen Q5949A</t>
  </si>
  <si>
    <t>Toner Epson 664 Amarilla</t>
  </si>
  <si>
    <t>Toner Epson 664 Cian</t>
  </si>
  <si>
    <t>Toner Epson 664 Magenta</t>
  </si>
  <si>
    <t>Rauter</t>
  </si>
  <si>
    <t>Tapa de jacka nexxt und.</t>
  </si>
  <si>
    <t xml:space="preserve">Bata Medica M </t>
  </si>
  <si>
    <t>Uniforme</t>
  </si>
  <si>
    <t>Bata Medica XL</t>
  </si>
  <si>
    <t xml:space="preserve">Bata medica L Azul </t>
  </si>
  <si>
    <t>Bata Medica,  Blanca con Azul</t>
  </si>
  <si>
    <t>Conjunto de medico Azul XL</t>
  </si>
  <si>
    <t>Traje bio-degradable und.</t>
  </si>
  <si>
    <t>Uniforme pantalon M color verde y azul</t>
  </si>
  <si>
    <t>Toner Cartridge 6R914</t>
  </si>
  <si>
    <t>************OBSERVACIÓN**********</t>
  </si>
  <si>
    <t>REALIZADO POR :</t>
  </si>
  <si>
    <t>AN0001</t>
  </si>
  <si>
    <t>AN0002</t>
  </si>
  <si>
    <t>AN0003</t>
  </si>
  <si>
    <t>AN0004</t>
  </si>
  <si>
    <t>AN0005</t>
  </si>
  <si>
    <t>AN0006</t>
  </si>
  <si>
    <t>AN0007</t>
  </si>
  <si>
    <t>AN0008</t>
  </si>
  <si>
    <t>AN0009</t>
  </si>
  <si>
    <t>AN0010</t>
  </si>
  <si>
    <t>AN0011</t>
  </si>
  <si>
    <t>AN0012</t>
  </si>
  <si>
    <t>AN0013</t>
  </si>
  <si>
    <t>AN0014</t>
  </si>
  <si>
    <t>AN0015</t>
  </si>
  <si>
    <t>AN0016</t>
  </si>
  <si>
    <t>AN0017</t>
  </si>
  <si>
    <t>AN0018</t>
  </si>
  <si>
    <t>AN0019</t>
  </si>
  <si>
    <t>AN0020</t>
  </si>
  <si>
    <t>AN0021</t>
  </si>
  <si>
    <t>AN0022</t>
  </si>
  <si>
    <t>AN0023</t>
  </si>
  <si>
    <t>AN0024</t>
  </si>
  <si>
    <t>AN0025</t>
  </si>
  <si>
    <t>AN0026</t>
  </si>
  <si>
    <t>AN0027</t>
  </si>
  <si>
    <t>AN0028</t>
  </si>
  <si>
    <t>AN0029</t>
  </si>
  <si>
    <t>AN0030</t>
  </si>
  <si>
    <t>AN0031</t>
  </si>
  <si>
    <t>AN0032</t>
  </si>
  <si>
    <t>AN0033</t>
  </si>
  <si>
    <t>AN0034</t>
  </si>
  <si>
    <t>AN0035</t>
  </si>
  <si>
    <t>AN0036</t>
  </si>
  <si>
    <t>AN0037</t>
  </si>
  <si>
    <t>AN0038</t>
  </si>
  <si>
    <t>AN0039</t>
  </si>
  <si>
    <t>AN0040</t>
  </si>
  <si>
    <t>AN0041</t>
  </si>
  <si>
    <t>AN0042</t>
  </si>
  <si>
    <t>AN0043</t>
  </si>
  <si>
    <t>AN0044</t>
  </si>
  <si>
    <t>AN0045</t>
  </si>
  <si>
    <t>AN0046</t>
  </si>
  <si>
    <t>AN0047</t>
  </si>
  <si>
    <t>AN0048</t>
  </si>
  <si>
    <t>AN0049</t>
  </si>
  <si>
    <t>AN0050</t>
  </si>
  <si>
    <t>AN0051</t>
  </si>
  <si>
    <t>AN0052</t>
  </si>
  <si>
    <t>AN0053</t>
  </si>
  <si>
    <t>AN0054</t>
  </si>
  <si>
    <t>AN0055</t>
  </si>
  <si>
    <t>AN0056</t>
  </si>
  <si>
    <t>AN0057</t>
  </si>
  <si>
    <t>AN0058</t>
  </si>
  <si>
    <t>AN0059</t>
  </si>
  <si>
    <t>AN0060</t>
  </si>
  <si>
    <t>AN0061</t>
  </si>
  <si>
    <t>AN0062</t>
  </si>
  <si>
    <t>AN0063</t>
  </si>
  <si>
    <t>AN0064</t>
  </si>
  <si>
    <t>AN0065</t>
  </si>
  <si>
    <t>AN0066</t>
  </si>
  <si>
    <t>AN0067</t>
  </si>
  <si>
    <t>AN0068</t>
  </si>
  <si>
    <t>AN0069</t>
  </si>
  <si>
    <t>AN0070</t>
  </si>
  <si>
    <t>AN0071</t>
  </si>
  <si>
    <t>AN0072</t>
  </si>
  <si>
    <t>AN0073</t>
  </si>
  <si>
    <t>AN0074</t>
  </si>
  <si>
    <t>AN0075</t>
  </si>
  <si>
    <t>AN0076</t>
  </si>
  <si>
    <t>AN0077</t>
  </si>
  <si>
    <t>AN0078</t>
  </si>
  <si>
    <t>AN0079</t>
  </si>
  <si>
    <t>AN0080</t>
  </si>
  <si>
    <t>AN0081</t>
  </si>
  <si>
    <t>AN0082</t>
  </si>
  <si>
    <t>AN0083</t>
  </si>
  <si>
    <t>AN0084</t>
  </si>
  <si>
    <t>AN0085</t>
  </si>
  <si>
    <t>AN0086</t>
  </si>
  <si>
    <t>AN0087</t>
  </si>
  <si>
    <t>AN0088</t>
  </si>
  <si>
    <t>AN0089</t>
  </si>
  <si>
    <t>AN0090</t>
  </si>
  <si>
    <t>AN0091</t>
  </si>
  <si>
    <t>AN0092</t>
  </si>
  <si>
    <t>AN0093</t>
  </si>
  <si>
    <t>AN0094</t>
  </si>
  <si>
    <t>AN0095</t>
  </si>
  <si>
    <t>AN0096</t>
  </si>
  <si>
    <t>AN0097</t>
  </si>
  <si>
    <t>AN0098</t>
  </si>
  <si>
    <t>AN0099</t>
  </si>
  <si>
    <t>AN0100</t>
  </si>
  <si>
    <t>AN0101</t>
  </si>
  <si>
    <t>AN0102</t>
  </si>
  <si>
    <t>AN0103</t>
  </si>
  <si>
    <t>AN0104</t>
  </si>
  <si>
    <t>AN0105</t>
  </si>
  <si>
    <t>AN0106</t>
  </si>
  <si>
    <t>AN0107</t>
  </si>
  <si>
    <t>AN0108</t>
  </si>
  <si>
    <t>AN0109</t>
  </si>
  <si>
    <t>AN0110</t>
  </si>
  <si>
    <t>AN0111</t>
  </si>
  <si>
    <t>AN0112</t>
  </si>
  <si>
    <t>AN0113</t>
  </si>
  <si>
    <t>AN0114</t>
  </si>
  <si>
    <t>AN0115</t>
  </si>
  <si>
    <t>AN0116</t>
  </si>
  <si>
    <t>AN0117</t>
  </si>
  <si>
    <t>AN0118</t>
  </si>
  <si>
    <t>AN0119</t>
  </si>
  <si>
    <t>AN0120</t>
  </si>
  <si>
    <t>AN0121</t>
  </si>
  <si>
    <t>AN0122</t>
  </si>
  <si>
    <t>AN0123</t>
  </si>
  <si>
    <t>AN0124</t>
  </si>
  <si>
    <t>AN0125</t>
  </si>
  <si>
    <t>AN0126</t>
  </si>
  <si>
    <t>AN0127</t>
  </si>
  <si>
    <t>AN0128</t>
  </si>
  <si>
    <t>AN0129</t>
  </si>
  <si>
    <t>AN0130</t>
  </si>
  <si>
    <t>AN0131</t>
  </si>
  <si>
    <t>AN0132</t>
  </si>
  <si>
    <t>AN0133</t>
  </si>
  <si>
    <t>AN0134</t>
  </si>
  <si>
    <t>AN0135</t>
  </si>
  <si>
    <t>AN0136</t>
  </si>
  <si>
    <t>AN0137</t>
  </si>
  <si>
    <t>AN0138</t>
  </si>
  <si>
    <t>AN0139</t>
  </si>
  <si>
    <t>AN0140</t>
  </si>
  <si>
    <t>AN0141</t>
  </si>
  <si>
    <t>AN0142</t>
  </si>
  <si>
    <t>AN0143</t>
  </si>
  <si>
    <t>AN0144</t>
  </si>
  <si>
    <t>AN0145</t>
  </si>
  <si>
    <t>AN0146</t>
  </si>
  <si>
    <t>AN0147</t>
  </si>
  <si>
    <t>AN0148</t>
  </si>
  <si>
    <t>AN0149</t>
  </si>
  <si>
    <t>AN0150</t>
  </si>
  <si>
    <t>AN0151</t>
  </si>
  <si>
    <t>AN0152</t>
  </si>
  <si>
    <t>AN0153</t>
  </si>
  <si>
    <t>AN0154</t>
  </si>
  <si>
    <t>AN0155</t>
  </si>
  <si>
    <t>AN0156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</si>
  <si>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</si>
  <si>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</si>
  <si>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</si>
  <si>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</si>
  <si>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</si>
  <si>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</si>
  <si>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</si>
  <si>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</si>
  <si>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AN0165</t>
  </si>
  <si>
    <t>AN0166</t>
  </si>
  <si>
    <t>AN0167</t>
  </si>
  <si>
    <t>AN0168</t>
  </si>
  <si>
    <t>AN0169</t>
  </si>
  <si>
    <t>AN0170</t>
  </si>
  <si>
    <t>AN0171</t>
  </si>
  <si>
    <t>AN0172</t>
  </si>
  <si>
    <t>AN0173</t>
  </si>
  <si>
    <t>AN0174</t>
  </si>
  <si>
    <t>AN0175</t>
  </si>
  <si>
    <t>AN0176</t>
  </si>
  <si>
    <t>AN0177</t>
  </si>
  <si>
    <t>AN0178</t>
  </si>
  <si>
    <t>AN0179</t>
  </si>
  <si>
    <t>AN0180</t>
  </si>
  <si>
    <t>AN0181</t>
  </si>
  <si>
    <t>AN0182</t>
  </si>
  <si>
    <t>AN0183</t>
  </si>
  <si>
    <t>AN0184</t>
  </si>
  <si>
    <t>AN0185</t>
  </si>
  <si>
    <t>AN0186</t>
  </si>
  <si>
    <t>AN0187</t>
  </si>
  <si>
    <t>AN0188</t>
  </si>
  <si>
    <t>AN0189</t>
  </si>
  <si>
    <t>AN0190</t>
  </si>
  <si>
    <t>AN0191</t>
  </si>
  <si>
    <t>AN0192</t>
  </si>
  <si>
    <t>AN0193</t>
  </si>
  <si>
    <t>AN0194</t>
  </si>
  <si>
    <t>AN0195</t>
  </si>
  <si>
    <t>AN0196</t>
  </si>
  <si>
    <t>AN0197</t>
  </si>
  <si>
    <t>AN0198</t>
  </si>
  <si>
    <t>AN0199</t>
  </si>
  <si>
    <t>AN0200</t>
  </si>
  <si>
    <t>AN0201</t>
  </si>
  <si>
    <t>AN0202</t>
  </si>
  <si>
    <t>AN0203</t>
  </si>
  <si>
    <t>AN0204</t>
  </si>
  <si>
    <t>AN0205</t>
  </si>
  <si>
    <t>AN0206</t>
  </si>
  <si>
    <t>AN0207</t>
  </si>
  <si>
    <t>AN0208</t>
  </si>
  <si>
    <t>AN0210</t>
  </si>
  <si>
    <t>AN0211</t>
  </si>
  <si>
    <t>AN0212</t>
  </si>
  <si>
    <t>AN0213</t>
  </si>
  <si>
    <t>AN0214</t>
  </si>
  <si>
    <t>AN0215</t>
  </si>
  <si>
    <t>AN0216</t>
  </si>
  <si>
    <t>AN0217</t>
  </si>
  <si>
    <t>AN0218</t>
  </si>
  <si>
    <t>AN0219</t>
  </si>
  <si>
    <t>AN0220</t>
  </si>
  <si>
    <t>AN0221</t>
  </si>
  <si>
    <t>AN0222</t>
  </si>
  <si>
    <t>AN0223</t>
  </si>
  <si>
    <t>AN0224</t>
  </si>
  <si>
    <t>AN0225</t>
  </si>
  <si>
    <t>AN0226</t>
  </si>
  <si>
    <t>AN0227</t>
  </si>
  <si>
    <t>AN0228</t>
  </si>
  <si>
    <t>AN0229</t>
  </si>
  <si>
    <t>AN0230</t>
  </si>
  <si>
    <t>AN0231</t>
  </si>
  <si>
    <t>AN0232</t>
  </si>
  <si>
    <t>AN0233</t>
  </si>
  <si>
    <t>AN0234</t>
  </si>
  <si>
    <t>AN0235</t>
  </si>
  <si>
    <t>AN0236</t>
  </si>
  <si>
    <t>AN0237</t>
  </si>
  <si>
    <t>AN0238</t>
  </si>
  <si>
    <t>AN0239</t>
  </si>
  <si>
    <t>AN0240</t>
  </si>
  <si>
    <t>AN0241</t>
  </si>
  <si>
    <t>AN0242</t>
  </si>
  <si>
    <t>AN0243</t>
  </si>
  <si>
    <t>AN0244</t>
  </si>
  <si>
    <t>AN0245</t>
  </si>
  <si>
    <t>AN0246</t>
  </si>
  <si>
    <t>AN0247</t>
  </si>
  <si>
    <t>AN0248</t>
  </si>
  <si>
    <t>AN0249</t>
  </si>
  <si>
    <t>AN0250</t>
  </si>
  <si>
    <t>AN0251</t>
  </si>
  <si>
    <t>AN0252</t>
  </si>
  <si>
    <t>AN0253</t>
  </si>
  <si>
    <t>AN0254</t>
  </si>
  <si>
    <t>AN0255</t>
  </si>
  <si>
    <t>AN0256</t>
  </si>
  <si>
    <t>AN0257</t>
  </si>
  <si>
    <t>AN0258</t>
  </si>
  <si>
    <t>AN0259</t>
  </si>
  <si>
    <t>AN0260</t>
  </si>
  <si>
    <t>AN0261</t>
  </si>
  <si>
    <t>AN0262</t>
  </si>
  <si>
    <t>AN0263</t>
  </si>
  <si>
    <t>AN0264</t>
  </si>
  <si>
    <t>AN0265</t>
  </si>
  <si>
    <t>AN0266</t>
  </si>
  <si>
    <t>AN0267</t>
  </si>
  <si>
    <t>AN0268</t>
  </si>
  <si>
    <t>AN0269</t>
  </si>
  <si>
    <t>AN0270</t>
  </si>
  <si>
    <t>AN0271</t>
  </si>
  <si>
    <t>AN0272</t>
  </si>
  <si>
    <t>AN0273</t>
  </si>
  <si>
    <t>AN0274</t>
  </si>
  <si>
    <t>AN0275</t>
  </si>
  <si>
    <t>AN0276</t>
  </si>
  <si>
    <t>AN0277</t>
  </si>
  <si>
    <t>AN0278</t>
  </si>
  <si>
    <t>AN0279</t>
  </si>
  <si>
    <t>AN0280</t>
  </si>
  <si>
    <t>AN0281</t>
  </si>
  <si>
    <t>AN0282</t>
  </si>
  <si>
    <t>AN0283</t>
  </si>
  <si>
    <t>AN0284</t>
  </si>
  <si>
    <t>AN0285</t>
  </si>
  <si>
    <t>AN0286</t>
  </si>
  <si>
    <t>AN0287</t>
  </si>
  <si>
    <t>AN0288</t>
  </si>
  <si>
    <t>AN0289</t>
  </si>
  <si>
    <t>AN0290</t>
  </si>
  <si>
    <t>AN0291</t>
  </si>
  <si>
    <t>AN0292</t>
  </si>
  <si>
    <t>AN0293</t>
  </si>
  <si>
    <t>AN0294</t>
  </si>
  <si>
    <t>AN0295</t>
  </si>
  <si>
    <t>AN0296</t>
  </si>
  <si>
    <t>AN0297</t>
  </si>
  <si>
    <t>AN0298</t>
  </si>
  <si>
    <t>AN0299</t>
  </si>
  <si>
    <t>AN0300</t>
  </si>
  <si>
    <t>AN0301</t>
  </si>
  <si>
    <t>AN0302</t>
  </si>
  <si>
    <t>AN0303</t>
  </si>
  <si>
    <t>AN0304</t>
  </si>
  <si>
    <t>AN0305</t>
  </si>
  <si>
    <t>AN0306</t>
  </si>
  <si>
    <t>AN0307</t>
  </si>
  <si>
    <t>AN0308</t>
  </si>
  <si>
    <t>AN0309</t>
  </si>
  <si>
    <t>AN0310</t>
  </si>
  <si>
    <t>AN0311</t>
  </si>
  <si>
    <t>AN0312</t>
  </si>
  <si>
    <t>AN0313</t>
  </si>
  <si>
    <t>AN0314</t>
  </si>
  <si>
    <t>AN0315</t>
  </si>
  <si>
    <t>AN0316</t>
  </si>
  <si>
    <t>AN0317</t>
  </si>
  <si>
    <t>AN0318</t>
  </si>
  <si>
    <t>AN0319</t>
  </si>
  <si>
    <t>AN0320</t>
  </si>
  <si>
    <t>AN0321</t>
  </si>
  <si>
    <t>AN0322</t>
  </si>
  <si>
    <t>AN0323</t>
  </si>
  <si>
    <t>AN0324</t>
  </si>
  <si>
    <t>AN0325</t>
  </si>
  <si>
    <t>AN0326</t>
  </si>
  <si>
    <t>AN0327</t>
  </si>
  <si>
    <t>AN0328</t>
  </si>
  <si>
    <t>AN0329</t>
  </si>
  <si>
    <t>AN0330</t>
  </si>
  <si>
    <t>AN0331</t>
  </si>
  <si>
    <t>AN0332</t>
  </si>
  <si>
    <t>AN0333</t>
  </si>
  <si>
    <t>AN0334</t>
  </si>
  <si>
    <t>AN0335</t>
  </si>
  <si>
    <t>AN0336</t>
  </si>
  <si>
    <t>AN0337</t>
  </si>
  <si>
    <t>AN0338</t>
  </si>
  <si>
    <t>AN0339</t>
  </si>
  <si>
    <t>AN0340</t>
  </si>
  <si>
    <t>AN0341</t>
  </si>
  <si>
    <t>AN0342</t>
  </si>
  <si>
    <t>AN0343</t>
  </si>
  <si>
    <t>AN0344</t>
  </si>
  <si>
    <t>AN0345</t>
  </si>
  <si>
    <t>AN0346</t>
  </si>
  <si>
    <t>AN0347</t>
  </si>
  <si>
    <t>AN0348</t>
  </si>
  <si>
    <t>AN0349</t>
  </si>
  <si>
    <t>AN0350</t>
  </si>
  <si>
    <t>AN0351</t>
  </si>
  <si>
    <t>AN0352</t>
  </si>
  <si>
    <t>AN0353</t>
  </si>
  <si>
    <t>AN0354</t>
  </si>
  <si>
    <t>AN0355</t>
  </si>
  <si>
    <t>AN0356</t>
  </si>
  <si>
    <t>AN0357</t>
  </si>
  <si>
    <t>AN0358</t>
  </si>
  <si>
    <t>AN0359</t>
  </si>
  <si>
    <t>AN0360</t>
  </si>
  <si>
    <t>AN0361</t>
  </si>
  <si>
    <t>AN0362</t>
  </si>
  <si>
    <t>AN0363</t>
  </si>
  <si>
    <t>AN0364</t>
  </si>
  <si>
    <t>AN0365</t>
  </si>
  <si>
    <t>AN0366</t>
  </si>
  <si>
    <t>AN0367</t>
  </si>
  <si>
    <t>AN0368</t>
  </si>
  <si>
    <t>AN0369</t>
  </si>
  <si>
    <t>AN0370</t>
  </si>
  <si>
    <t>AN0371</t>
  </si>
  <si>
    <t>AN0372</t>
  </si>
  <si>
    <t>AN0373</t>
  </si>
  <si>
    <t>AN0374</t>
  </si>
  <si>
    <t>AN0375</t>
  </si>
  <si>
    <t>AN0376</t>
  </si>
  <si>
    <t>AN0377</t>
  </si>
  <si>
    <t>AN0378</t>
  </si>
  <si>
    <t>AN0379</t>
  </si>
  <si>
    <t>AN0380</t>
  </si>
  <si>
    <t>AN0381</t>
  </si>
  <si>
    <t>AN0382</t>
  </si>
  <si>
    <t>AN0383</t>
  </si>
  <si>
    <t>AN0384</t>
  </si>
  <si>
    <t>AN0385</t>
  </si>
  <si>
    <t>AN0386</t>
  </si>
  <si>
    <t>AN0387</t>
  </si>
  <si>
    <t>AN0388</t>
  </si>
  <si>
    <t>AN0389</t>
  </si>
  <si>
    <t>AN0390</t>
  </si>
  <si>
    <t>AN0391</t>
  </si>
  <si>
    <t>AN0392</t>
  </si>
  <si>
    <t>AN0393</t>
  </si>
  <si>
    <t>AN0394</t>
  </si>
  <si>
    <t>AN0395</t>
  </si>
  <si>
    <t>AN0396</t>
  </si>
  <si>
    <t>AN0397</t>
  </si>
  <si>
    <t>AN0398</t>
  </si>
  <si>
    <t>AN0399</t>
  </si>
  <si>
    <t>AN0400</t>
  </si>
  <si>
    <t>AN0401</t>
  </si>
  <si>
    <t>AN0402</t>
  </si>
  <si>
    <t>AN0403</t>
  </si>
  <si>
    <t>AN0404</t>
  </si>
  <si>
    <t>AN0405</t>
  </si>
  <si>
    <t>AN0406</t>
  </si>
  <si>
    <t>AN0407</t>
  </si>
  <si>
    <t>AN0408</t>
  </si>
  <si>
    <t>AN0409</t>
  </si>
  <si>
    <t>AN0410</t>
  </si>
  <si>
    <t>AN0411</t>
  </si>
  <si>
    <t>AN0412</t>
  </si>
  <si>
    <t>AN0413</t>
  </si>
  <si>
    <t>AN0414</t>
  </si>
  <si>
    <t>AN0415</t>
  </si>
  <si>
    <t>AN0416</t>
  </si>
  <si>
    <t>AN0417</t>
  </si>
  <si>
    <t>AN0418</t>
  </si>
  <si>
    <t>AN0419</t>
  </si>
  <si>
    <t>AN0420</t>
  </si>
  <si>
    <t>AN0421</t>
  </si>
  <si>
    <t>AN0422</t>
  </si>
  <si>
    <t>AN0423</t>
  </si>
  <si>
    <t>AN0424</t>
  </si>
  <si>
    <t>AN0425</t>
  </si>
  <si>
    <t>AN0426</t>
  </si>
  <si>
    <t>AN0427</t>
  </si>
  <si>
    <t>AN0428</t>
  </si>
  <si>
    <t>AN0429</t>
  </si>
  <si>
    <t>AN0430</t>
  </si>
  <si>
    <t>AN0431</t>
  </si>
  <si>
    <t>AN0432</t>
  </si>
  <si>
    <t>AN0433</t>
  </si>
  <si>
    <t>AN0434</t>
  </si>
  <si>
    <t>AN0435</t>
  </si>
  <si>
    <t>AN0436</t>
  </si>
  <si>
    <t>AN0437</t>
  </si>
  <si>
    <t>AN0438</t>
  </si>
  <si>
    <t>AN0439</t>
  </si>
  <si>
    <t>AN0440</t>
  </si>
  <si>
    <t>AN0441</t>
  </si>
  <si>
    <t>AN0442</t>
  </si>
  <si>
    <t>AN0443</t>
  </si>
  <si>
    <t>AN0444</t>
  </si>
  <si>
    <t>AN0445</t>
  </si>
  <si>
    <t>AN0446</t>
  </si>
  <si>
    <t>AN0447</t>
  </si>
  <si>
    <t>AN0448</t>
  </si>
  <si>
    <t>AN0449</t>
  </si>
  <si>
    <t>AN0450</t>
  </si>
  <si>
    <t>AN0451</t>
  </si>
  <si>
    <t>AN0452</t>
  </si>
  <si>
    <t>AN0453</t>
  </si>
  <si>
    <t>AN0454</t>
  </si>
  <si>
    <t>AN0455</t>
  </si>
  <si>
    <t>AN0456</t>
  </si>
  <si>
    <t>AN0457</t>
  </si>
  <si>
    <t>AN0458</t>
  </si>
  <si>
    <t>AN0459</t>
  </si>
  <si>
    <t>AN0460</t>
  </si>
  <si>
    <t>AN0461</t>
  </si>
  <si>
    <t>AN0462</t>
  </si>
  <si>
    <t>AN0463</t>
  </si>
  <si>
    <t>AN0464</t>
  </si>
  <si>
    <t>AN0465</t>
  </si>
  <si>
    <t>AN0466</t>
  </si>
  <si>
    <t>AN0467</t>
  </si>
  <si>
    <t>AN0468</t>
  </si>
  <si>
    <t>AN0469</t>
  </si>
  <si>
    <t>AN0470</t>
  </si>
  <si>
    <t>AN0471</t>
  </si>
  <si>
    <t>AN0472</t>
  </si>
  <si>
    <t>AN0473</t>
  </si>
  <si>
    <t>AN0474</t>
  </si>
  <si>
    <t>AN0475</t>
  </si>
  <si>
    <t>AN0476</t>
  </si>
  <si>
    <t>AN0477</t>
  </si>
  <si>
    <t>AN0478</t>
  </si>
  <si>
    <t>AN0479</t>
  </si>
  <si>
    <t>AN0480</t>
  </si>
  <si>
    <t>AN0481</t>
  </si>
  <si>
    <t>AN0482</t>
  </si>
  <si>
    <t>AN0483</t>
  </si>
  <si>
    <t>AN0484</t>
  </si>
  <si>
    <t>AN0485</t>
  </si>
  <si>
    <t>AN0486</t>
  </si>
  <si>
    <t>AN0487</t>
  </si>
  <si>
    <t>AN0488</t>
  </si>
  <si>
    <t>AN0489</t>
  </si>
  <si>
    <t>AN0490</t>
  </si>
  <si>
    <t>AN0491</t>
  </si>
  <si>
    <t>AN0492</t>
  </si>
  <si>
    <t>AN0493</t>
  </si>
  <si>
    <t>AN0494</t>
  </si>
  <si>
    <t>AN0495</t>
  </si>
  <si>
    <t>AN0496</t>
  </si>
  <si>
    <t>AN0497</t>
  </si>
  <si>
    <t>AN0498</t>
  </si>
  <si>
    <t>AN0499</t>
  </si>
  <si>
    <t>AN0500</t>
  </si>
  <si>
    <t>AN0501</t>
  </si>
  <si>
    <t>AN0502</t>
  </si>
  <si>
    <t>AN0503</t>
  </si>
  <si>
    <t>AN0504</t>
  </si>
  <si>
    <t>AN0505</t>
  </si>
  <si>
    <t>AN0506</t>
  </si>
  <si>
    <t>AN0507</t>
  </si>
  <si>
    <t>AN0508</t>
  </si>
  <si>
    <t>AN0509</t>
  </si>
  <si>
    <t>AN0510</t>
  </si>
  <si>
    <t>AN0511</t>
  </si>
  <si>
    <t>AN0512</t>
  </si>
  <si>
    <t>AN0513</t>
  </si>
  <si>
    <t>AN0514</t>
  </si>
  <si>
    <t>AN0515</t>
  </si>
  <si>
    <t>AN0516</t>
  </si>
  <si>
    <t>AN0517</t>
  </si>
  <si>
    <t>AN0518</t>
  </si>
  <si>
    <t>AN0519</t>
  </si>
  <si>
    <t>AN0520</t>
  </si>
  <si>
    <t>AN0521</t>
  </si>
  <si>
    <t>AN0522</t>
  </si>
  <si>
    <t>AN0523</t>
  </si>
  <si>
    <t>AN0524</t>
  </si>
  <si>
    <t>AN0525</t>
  </si>
  <si>
    <t>AN0526</t>
  </si>
  <si>
    <t>AN0527</t>
  </si>
  <si>
    <t>AN0528</t>
  </si>
  <si>
    <t>AN0529</t>
  </si>
  <si>
    <t>AN0530</t>
  </si>
  <si>
    <t>AN0531</t>
  </si>
  <si>
    <t>AN0532</t>
  </si>
  <si>
    <t>AN0533</t>
  </si>
  <si>
    <t>AN0534</t>
  </si>
  <si>
    <t>AN0535</t>
  </si>
  <si>
    <t>AN0536</t>
  </si>
  <si>
    <t>AN0537</t>
  </si>
  <si>
    <t>AN0538</t>
  </si>
  <si>
    <t>AN0539</t>
  </si>
  <si>
    <t>AN0540</t>
  </si>
  <si>
    <t>AN0541</t>
  </si>
  <si>
    <t>AN0542</t>
  </si>
  <si>
    <t>AN0543</t>
  </si>
  <si>
    <t>AN0544</t>
  </si>
  <si>
    <t>AN0545</t>
  </si>
  <si>
    <t>AN0546</t>
  </si>
  <si>
    <t>AN0547</t>
  </si>
  <si>
    <t>AN0548</t>
  </si>
  <si>
    <t>AN0549</t>
  </si>
  <si>
    <t>AN0550</t>
  </si>
  <si>
    <t>AN0551</t>
  </si>
  <si>
    <t>AN0552</t>
  </si>
  <si>
    <t>AN0553</t>
  </si>
  <si>
    <t>AN0554</t>
  </si>
  <si>
    <t>AN0555</t>
  </si>
  <si>
    <t>AN0556</t>
  </si>
  <si>
    <t>AN0557</t>
  </si>
  <si>
    <t>AN0558</t>
  </si>
  <si>
    <t>AN0559</t>
  </si>
  <si>
    <t>AN0560</t>
  </si>
  <si>
    <t>AN0561</t>
  </si>
  <si>
    <t>AN0562</t>
  </si>
  <si>
    <t>AN0563</t>
  </si>
  <si>
    <t>AN0564</t>
  </si>
  <si>
    <t>AN0565</t>
  </si>
  <si>
    <t>AN0566</t>
  </si>
  <si>
    <t>AN0567</t>
  </si>
  <si>
    <t>AN0568</t>
  </si>
  <si>
    <t>AN0569</t>
  </si>
  <si>
    <t>AN0570</t>
  </si>
  <si>
    <t>AN0571</t>
  </si>
  <si>
    <t>AN0572</t>
  </si>
  <si>
    <t>AN0573</t>
  </si>
  <si>
    <t>AN0574</t>
  </si>
  <si>
    <t>AN0575</t>
  </si>
  <si>
    <t>AN0576</t>
  </si>
  <si>
    <t>AN0577</t>
  </si>
  <si>
    <t>AN0578</t>
  </si>
  <si>
    <t>AN0579</t>
  </si>
  <si>
    <t>AN0580</t>
  </si>
  <si>
    <t>AN0581</t>
  </si>
  <si>
    <t>AN0582</t>
  </si>
  <si>
    <t>AN0583</t>
  </si>
  <si>
    <t>AN0584</t>
  </si>
  <si>
    <t>AN0585</t>
  </si>
  <si>
    <t>AN0586</t>
  </si>
  <si>
    <t>AN0587</t>
  </si>
  <si>
    <t>AN0588</t>
  </si>
  <si>
    <t>AN0589</t>
  </si>
  <si>
    <t>AN0590</t>
  </si>
  <si>
    <t>AN0591</t>
  </si>
  <si>
    <t>AN0592</t>
  </si>
  <si>
    <t>AN0593</t>
  </si>
  <si>
    <t>AN0594</t>
  </si>
  <si>
    <t>AN0595</t>
  </si>
  <si>
    <t>AN0596</t>
  </si>
  <si>
    <t>AN0597</t>
  </si>
  <si>
    <t>AN0598</t>
  </si>
  <si>
    <t>AN0599</t>
  </si>
  <si>
    <t>AN0600</t>
  </si>
  <si>
    <t>AN0601</t>
  </si>
  <si>
    <t>AN0602</t>
  </si>
  <si>
    <t>AN0603</t>
  </si>
  <si>
    <t>AN0604</t>
  </si>
  <si>
    <t>AN0605</t>
  </si>
  <si>
    <t>AN0606</t>
  </si>
  <si>
    <t>AN0607</t>
  </si>
  <si>
    <t>AN0608</t>
  </si>
  <si>
    <t>AN0609</t>
  </si>
  <si>
    <t>AN0610</t>
  </si>
  <si>
    <t>AN0611</t>
  </si>
  <si>
    <t>AN0612</t>
  </si>
  <si>
    <t>AN0613</t>
  </si>
  <si>
    <t>AN0614</t>
  </si>
  <si>
    <t>AN0615</t>
  </si>
  <si>
    <t>AN0616</t>
  </si>
  <si>
    <t>AN0617</t>
  </si>
  <si>
    <t>AN0618</t>
  </si>
  <si>
    <t>AN0619</t>
  </si>
  <si>
    <t>AN0620</t>
  </si>
  <si>
    <t>AN0621</t>
  </si>
  <si>
    <t>AN0622</t>
  </si>
  <si>
    <t>AN0623</t>
  </si>
  <si>
    <t>AN0624</t>
  </si>
  <si>
    <t>AN0625</t>
  </si>
  <si>
    <t>AN0626</t>
  </si>
  <si>
    <t>AN0627</t>
  </si>
  <si>
    <t>AN0628</t>
  </si>
  <si>
    <t>AN0629</t>
  </si>
  <si>
    <t>AN0630</t>
  </si>
  <si>
    <t>AN0631</t>
  </si>
  <si>
    <t>AN0632</t>
  </si>
  <si>
    <t>AN0633</t>
  </si>
  <si>
    <t>AN0634</t>
  </si>
  <si>
    <t>AN0635</t>
  </si>
  <si>
    <t>AN0636</t>
  </si>
  <si>
    <t>AN0637</t>
  </si>
  <si>
    <t>AN0638</t>
  </si>
  <si>
    <t>AN0639</t>
  </si>
  <si>
    <t>AN0640</t>
  </si>
  <si>
    <t>AN0641</t>
  </si>
  <si>
    <t>AN0642</t>
  </si>
  <si>
    <t>AN0643</t>
  </si>
  <si>
    <t>AN0644</t>
  </si>
  <si>
    <t>AN0645</t>
  </si>
  <si>
    <t>AN0646</t>
  </si>
  <si>
    <t>AN0647</t>
  </si>
  <si>
    <t>AN0648</t>
  </si>
  <si>
    <t>AN0649</t>
  </si>
  <si>
    <t>AN0650</t>
  </si>
  <si>
    <t>AN0651</t>
  </si>
  <si>
    <t>AN0652</t>
  </si>
  <si>
    <t>AN0653</t>
  </si>
  <si>
    <t>AN0654</t>
  </si>
  <si>
    <t>AN0655</t>
  </si>
  <si>
    <t>Enc. Division de contabilidad</t>
  </si>
  <si>
    <t>Llave bronce de chorro 3/4 (AquaMAX)</t>
  </si>
  <si>
    <t>Reduccion 3/4 a 1/2</t>
  </si>
  <si>
    <t>Penetrante Spray Anti Rust (W 40)</t>
  </si>
  <si>
    <t>Thinner, galones (Tropical)</t>
  </si>
  <si>
    <t>Pintura Popular Amarillo Canario Epoxita</t>
  </si>
  <si>
    <t>Juegos de  destornilladores electricos Truper</t>
  </si>
  <si>
    <t>Candado Yale 110-50 (50MM)</t>
  </si>
  <si>
    <t>UNITYPE, maquina de escribir (cinta para impresoras)</t>
  </si>
  <si>
    <t xml:space="preserve">Suape Lunbrang </t>
  </si>
  <si>
    <t xml:space="preserve">Tairra Cable Ties 3.6 x 12 </t>
  </si>
  <si>
    <t>Espatula plastica Truper</t>
  </si>
  <si>
    <t xml:space="preserve">Hilo redondo para desbrozadora para chaper 262m, TRUPER </t>
  </si>
  <si>
    <t>AN0656</t>
  </si>
  <si>
    <t>AN0657</t>
  </si>
  <si>
    <t>AN0658</t>
  </si>
  <si>
    <t>Capa para agua de adulto Donacion</t>
  </si>
  <si>
    <t>Lija ultra fina #100</t>
  </si>
  <si>
    <t>Lija ultra fina #1500</t>
  </si>
  <si>
    <t>Pintura</t>
  </si>
  <si>
    <t>AN0659</t>
  </si>
  <si>
    <t>AN0660</t>
  </si>
  <si>
    <t>AN0661</t>
  </si>
  <si>
    <t>AN0662</t>
  </si>
  <si>
    <t>AN0663</t>
  </si>
  <si>
    <t>AN0664</t>
  </si>
  <si>
    <t>AN0665</t>
  </si>
  <si>
    <t>AN0666</t>
  </si>
  <si>
    <t>AN0667</t>
  </si>
  <si>
    <t>AN0668</t>
  </si>
  <si>
    <t>AN0669</t>
  </si>
  <si>
    <t>AN0670</t>
  </si>
  <si>
    <t>Pintura Epoxica Azul Oscuro</t>
  </si>
  <si>
    <t>Pintura Epoxica Rojo Chino</t>
  </si>
  <si>
    <t>AN0671</t>
  </si>
  <si>
    <t>AN0672</t>
  </si>
  <si>
    <t>AN0673</t>
  </si>
  <si>
    <t>AN0674</t>
  </si>
  <si>
    <t>Compras</t>
  </si>
  <si>
    <t>Pintura Popular Verde 04, Epoxica, Galones</t>
  </si>
  <si>
    <t>DOWSIL 795 BLACK SILICON (305 ML)</t>
  </si>
  <si>
    <t>Valores  Donaciones RD$</t>
  </si>
  <si>
    <t>Precio Unitario Donaciones RD$</t>
  </si>
  <si>
    <t>Donacion</t>
  </si>
  <si>
    <t>Pintura verde Oscuro 04, Epoxica Popular</t>
  </si>
  <si>
    <t>Disolventes de pinturas Epoxica, Galones</t>
  </si>
  <si>
    <t>Disolventes de pinturas Epoxica, Popular Galones</t>
  </si>
  <si>
    <t>Pintura Epoxita, color Rojo 10 Popular</t>
  </si>
  <si>
    <t>Brochas de 3, Beno</t>
  </si>
  <si>
    <t>Tenedores desechables plastifar, paquete de 25 unidades</t>
  </si>
  <si>
    <t>Reflector LED 500W con supresor de picos, KVA</t>
  </si>
  <si>
    <t>AN0675</t>
  </si>
  <si>
    <t>AN0676</t>
  </si>
  <si>
    <t>Lente Safecare, Lente de seguridad</t>
  </si>
  <si>
    <t>AN0677</t>
  </si>
  <si>
    <t>Anillo de cera de 3 a 4, EZ FLO</t>
  </si>
  <si>
    <t>Llave bronce de chorro 1/2, Aquumax</t>
  </si>
  <si>
    <t>Conector plastico para manguera, Truper</t>
  </si>
  <si>
    <t>Palo derecogedor de basura Reyna</t>
  </si>
  <si>
    <t>Palo recogedor de basura linda</t>
  </si>
  <si>
    <t>Clips Binder 41 mm, (LUOTUD)</t>
  </si>
  <si>
    <t>Mota, Lancon de 9 x 1 1/4</t>
  </si>
  <si>
    <t>Pintura Popular, Azul 93 positivo acrilico mate</t>
  </si>
  <si>
    <t>Esmalte Industrial Tropical, Azul Royal, Galones</t>
  </si>
  <si>
    <t>Pintura Popular Epoxica Blanco 50 con catalizador, galones</t>
  </si>
  <si>
    <t xml:space="preserve">Pintura Popular Epoxica Blanco 50 </t>
  </si>
  <si>
    <t>Pintura Popular Crema 51, Epoxica, Galones</t>
  </si>
  <si>
    <t>Pintura Popular Epoxita, color Rojo 10</t>
  </si>
  <si>
    <t>Pintura Tropical, Terra cota 38, Galones</t>
  </si>
  <si>
    <t>Pintura Amarillo Canario 13, Epoxica Popular</t>
  </si>
  <si>
    <t xml:space="preserve">Folders  Manila File, color verdes,  cajas </t>
  </si>
  <si>
    <t>Folders Xcelent,  color rosado cajas</t>
  </si>
  <si>
    <t>Marcadores para pizarra Studmark, Azules und.</t>
  </si>
  <si>
    <t>Marcadores pizarra Pointer rojos und.</t>
  </si>
  <si>
    <t>Pendaflex 8 1/2 x 14</t>
  </si>
  <si>
    <t>Resaltadore Pelika Azul und.</t>
  </si>
  <si>
    <t>Resaltadores Printek permanente negro und.</t>
  </si>
  <si>
    <t>Resaltadores Permanente Printek, azul  und.</t>
  </si>
  <si>
    <t>Resaltadores Pizarra printek rojo und.</t>
  </si>
  <si>
    <t>Resaltadores Pizarra Printex verde und.</t>
  </si>
  <si>
    <t>Resma de papel Ofis Notas,  8 1/2 x11. Fardo de 5 Unidades</t>
  </si>
  <si>
    <t>Marcadores Permanete Studmark azules und.</t>
  </si>
  <si>
    <t>Pintura Tropical  de  Señalizacion, Amarilla, Galones</t>
  </si>
  <si>
    <t>Pintura Tropical, Azul 53 Claro,Epoxica Galones</t>
  </si>
  <si>
    <t>Pintura Tropical, Azul Claro 53, Epoxica Galones</t>
  </si>
  <si>
    <t>Llave de chorro PVC 1/2, SH Premiun</t>
  </si>
  <si>
    <t>Manguera de lavamano de 3/8 x 16, Yare</t>
  </si>
  <si>
    <t>Manguera de lavamano de 3/8 x 20, Yare</t>
  </si>
  <si>
    <t>Ducha de Regadera Zeta Batch</t>
  </si>
  <si>
    <t>Griferia para fregaderos de 8, Lukan</t>
  </si>
  <si>
    <t>Kit p/tanque inodoro completo Coflex</t>
  </si>
  <si>
    <t>Junta Dreicer de 2</t>
  </si>
  <si>
    <t xml:space="preserve">T  PVC, de 1 </t>
  </si>
  <si>
    <t xml:space="preserve">T PVC de 1 1/2 </t>
  </si>
  <si>
    <t xml:space="preserve">T PVC de 2 </t>
  </si>
  <si>
    <t>T  de PVC 1/2</t>
  </si>
  <si>
    <t xml:space="preserve">T PVC  3/4 </t>
  </si>
  <si>
    <t>Boquilla de fregadero, 4 1/2, SH PRIMER</t>
  </si>
  <si>
    <t>Boquilla de lavamano, SH PRIMER 1 1/4</t>
  </si>
  <si>
    <t>Sifon sencillos para  lavamano, Aquavita</t>
  </si>
  <si>
    <t>Boquilla de Inodoro, SLOAN</t>
  </si>
  <si>
    <t>Boquilla Inodoro, Sloan V 551 A</t>
  </si>
  <si>
    <t>Boquilla de fregadero, EZ FLO</t>
  </si>
  <si>
    <t>AN0678</t>
  </si>
  <si>
    <t>AN0679</t>
  </si>
  <si>
    <t>AN0680</t>
  </si>
  <si>
    <t>AN0681</t>
  </si>
  <si>
    <t>Cemento Pegatod Gris 50 LBS (FDA)</t>
  </si>
  <si>
    <t>Ferreteria/Herramienta</t>
  </si>
  <si>
    <t xml:space="preserve">Ferreteria </t>
  </si>
  <si>
    <t>Guante Reforz. Obrero GU-Teca-R, Truper</t>
  </si>
  <si>
    <t>Pala de corte 8 1/4 (21CM), Truper</t>
  </si>
  <si>
    <t>AN0682</t>
  </si>
  <si>
    <t>AN0683</t>
  </si>
  <si>
    <t>AN0684</t>
  </si>
  <si>
    <t>Pala Cuadrada Y9 C/mango Prestul</t>
  </si>
  <si>
    <t>Pala Redonda C/mango Prestul</t>
  </si>
  <si>
    <t>Enchufe C/Tierra Macho 110V 515PV plastico, Levinton</t>
  </si>
  <si>
    <t>Aguarras, Tropical, Galones</t>
  </si>
  <si>
    <t>Pintura Acrilica, Blanco Hueso, King</t>
  </si>
  <si>
    <t>AN0685</t>
  </si>
  <si>
    <t>AN0686</t>
  </si>
  <si>
    <t>AN0687</t>
  </si>
  <si>
    <t>Pintura Tropical, Barniz Plus F-10</t>
  </si>
  <si>
    <t xml:space="preserve">Llave Angular de dos salidas </t>
  </si>
  <si>
    <t>Lija de agua 800, Orientcraf</t>
  </si>
  <si>
    <t>Lija de agua 1000, Orientcraf</t>
  </si>
  <si>
    <t>Lija de agua 2500, Norrton Microfina</t>
  </si>
  <si>
    <t>Lija de agua No. 1500</t>
  </si>
  <si>
    <t>Lija de agua 2000, Orientcraf</t>
  </si>
  <si>
    <t>AN0688</t>
  </si>
  <si>
    <t>AN0689</t>
  </si>
  <si>
    <t>AN0690</t>
  </si>
  <si>
    <t>AN0691</t>
  </si>
  <si>
    <t>AN0692</t>
  </si>
  <si>
    <t>AN0693</t>
  </si>
  <si>
    <t>AN0694</t>
  </si>
  <si>
    <t>Codo PVC drenaje 6 x 90</t>
  </si>
  <si>
    <t>Caja metalica 2x4 americana con Ko de 1/2</t>
  </si>
  <si>
    <t>Ferreteria y Herramienta</t>
  </si>
  <si>
    <t>AN0695</t>
  </si>
  <si>
    <t>AN0696</t>
  </si>
  <si>
    <t>AN0697</t>
  </si>
  <si>
    <t>AN0698</t>
  </si>
  <si>
    <t>AN0699</t>
  </si>
  <si>
    <t>AN0700</t>
  </si>
  <si>
    <t>Equipo de Proteccion y  seguridad</t>
  </si>
  <si>
    <t>Brazo Hidraulico 40-80KG para puerta paleado, Hermex</t>
  </si>
  <si>
    <t>Tijera para Jardin dos manos T19, Truper</t>
  </si>
  <si>
    <t>Tijera para Jardin dos manos T17, Truper</t>
  </si>
  <si>
    <t>Linterna Led 2000lm recargable 13x8, Truper</t>
  </si>
  <si>
    <t xml:space="preserve">Nevera de playa 16 LTS, IGOO </t>
  </si>
  <si>
    <t>Escalera F vidrio T/ Tijera 8</t>
  </si>
  <si>
    <t>Herramienta</t>
  </si>
  <si>
    <t>Lona plastica 40 x 60, color azul</t>
  </si>
  <si>
    <t>Cable Ties 4x 300, Nylon, color Blanco</t>
  </si>
  <si>
    <t>Cable Ties 5 x 250 MM, Rudo, color Blanco</t>
  </si>
  <si>
    <t>Cable Ties 8 x 500 Nylon color Negro</t>
  </si>
  <si>
    <t>Tie Wrap de 12" Volteck Truper, color negro</t>
  </si>
  <si>
    <t>Tie Wrap de 12" Fontaner, color negro</t>
  </si>
  <si>
    <t>Tie Wrap de 18 x 350</t>
  </si>
  <si>
    <t>Tie Wrap de 16"  5 x 400 Nylon, color negro</t>
  </si>
  <si>
    <t>AN0701</t>
  </si>
  <si>
    <t>AN0702</t>
  </si>
  <si>
    <t>AN0703</t>
  </si>
  <si>
    <t>AN0704</t>
  </si>
  <si>
    <t>AN0705</t>
  </si>
  <si>
    <t>AN0706</t>
  </si>
  <si>
    <t>AN0707</t>
  </si>
  <si>
    <t>AN0708</t>
  </si>
  <si>
    <t>AN0709</t>
  </si>
  <si>
    <t xml:space="preserve">Titac  doble sencillo, WINLLE </t>
  </si>
  <si>
    <t>Enchufe C/Tierra Macho 250V  plastico, Levinton</t>
  </si>
  <si>
    <t>AN0710</t>
  </si>
  <si>
    <t>AN0711</t>
  </si>
  <si>
    <t>Interruptor Triple</t>
  </si>
  <si>
    <t>Mezcla para pañete ( Funda de 42.5 KG</t>
  </si>
  <si>
    <t>Ferreteria/ Construccion</t>
  </si>
  <si>
    <t>Pintura Popular Azul 05, popular con catalizador</t>
  </si>
  <si>
    <t>AN0712</t>
  </si>
  <si>
    <t>AN0713</t>
  </si>
  <si>
    <t>AN0714</t>
  </si>
  <si>
    <t>AN0715</t>
  </si>
  <si>
    <t>AN0716</t>
  </si>
  <si>
    <t>AN0717</t>
  </si>
  <si>
    <t>AN0718</t>
  </si>
  <si>
    <t>AN0719</t>
  </si>
  <si>
    <t>AN0720</t>
  </si>
  <si>
    <t>AN0721</t>
  </si>
  <si>
    <t>AN0722</t>
  </si>
  <si>
    <t>AN0723</t>
  </si>
  <si>
    <t>AN0724</t>
  </si>
  <si>
    <t>AN0725</t>
  </si>
  <si>
    <t>AN0726</t>
  </si>
  <si>
    <t>AN0727</t>
  </si>
  <si>
    <t>AN0728</t>
  </si>
  <si>
    <t>AN0729</t>
  </si>
  <si>
    <t>AN0730</t>
  </si>
  <si>
    <t>AN0731</t>
  </si>
  <si>
    <t>AN0732</t>
  </si>
  <si>
    <t>AN0733</t>
  </si>
  <si>
    <t>AN0734</t>
  </si>
  <si>
    <t>AN0735</t>
  </si>
  <si>
    <t>AN0736</t>
  </si>
  <si>
    <t>Crayones de cera (pelikan)</t>
  </si>
  <si>
    <t>T-SHIRT (L)</t>
  </si>
  <si>
    <t>T-SHIRT (S)</t>
  </si>
  <si>
    <t>T-SHIRT (M)</t>
  </si>
  <si>
    <t>T-SHIRT  (14)</t>
  </si>
  <si>
    <t>T-SHIRT  (16)</t>
  </si>
  <si>
    <t>Libretas Infantiles de colorear para niños</t>
  </si>
  <si>
    <t>Rolo Mota Smart Life</t>
  </si>
  <si>
    <t>Bolas Navideñas azules 6\1 LGM07-00</t>
  </si>
  <si>
    <t>Bola Navidad doradas 6\1 LGM-032V</t>
  </si>
  <si>
    <t>Lona Gris Reforzada 4x6 Truper</t>
  </si>
  <si>
    <t>Luz Led Nav. Alambre blanco</t>
  </si>
  <si>
    <t>Telar 26cm 9m 100/1</t>
  </si>
  <si>
    <t>Falda para arbol de fibra de poliester 69cm 96/1</t>
  </si>
  <si>
    <t>Pantalones  (34)</t>
  </si>
  <si>
    <t>Pantalones   (30)</t>
  </si>
  <si>
    <t>Pantalones   (32)</t>
  </si>
  <si>
    <t>Pantalones   (40)</t>
  </si>
  <si>
    <t>Pantalones   (42)</t>
  </si>
  <si>
    <t>Arbol Navideño, hoja blanca</t>
  </si>
  <si>
    <t>Flor Navideña doradas y plateadas</t>
  </si>
  <si>
    <t>Bolas Navideñas plateadas 6/1</t>
  </si>
  <si>
    <t>Bolas Navideñas doradas 6/1</t>
  </si>
  <si>
    <t>Adorno Navidad tipo ramas</t>
  </si>
  <si>
    <t>Lazoz Navidad doradas y plateadas</t>
  </si>
  <si>
    <t>Cubeta de pintura semigloss pro fragil 86</t>
  </si>
  <si>
    <t>AN0737</t>
  </si>
  <si>
    <t>AN0738</t>
  </si>
  <si>
    <t>AN0739</t>
  </si>
  <si>
    <t>AN0740</t>
  </si>
  <si>
    <t>AN0741</t>
  </si>
  <si>
    <t>Faldo de azucar Modelo</t>
  </si>
  <si>
    <t>Clavo de 3, libras</t>
  </si>
  <si>
    <t>Clavo de 2, dulce. Libra</t>
  </si>
  <si>
    <t xml:space="preserve">Escoba Linda. </t>
  </si>
  <si>
    <t>Abrazadera de 1</t>
  </si>
  <si>
    <t>AN0742</t>
  </si>
  <si>
    <t>AN0743</t>
  </si>
  <si>
    <t>AN0744</t>
  </si>
  <si>
    <t>AN0745</t>
  </si>
  <si>
    <t>Lamparas LED Ceiling 110-120V 50/60Hz 15w</t>
  </si>
  <si>
    <t>Carretilla 5.5 Truper M/Madera Ruda Antiponchable</t>
  </si>
  <si>
    <t>Escalera F vidrio T/ Tijera 6</t>
  </si>
  <si>
    <t>AN0746</t>
  </si>
  <si>
    <t>AN0747</t>
  </si>
  <si>
    <t>AN0748</t>
  </si>
  <si>
    <t>AN0749</t>
  </si>
  <si>
    <t>Escalera F vidrio T/ Tijera 12</t>
  </si>
  <si>
    <t>Cubeta de pintura Pro Fragil 86,  Popular</t>
  </si>
  <si>
    <t>Cubeta de pintura Supra Satin Deep</t>
  </si>
  <si>
    <t>Cubeta de pintura Acrilica Blanco Pro Blanco P-50</t>
  </si>
  <si>
    <t>Caja de registro 6 x 6 x 4, plastica</t>
  </si>
  <si>
    <t>Caja de breaker de 8 a 16 circuitos</t>
  </si>
  <si>
    <t>Cuchillo de carniceria de 7. en acero</t>
  </si>
  <si>
    <t>Chaira de 10, redonda para afilar cuchillo</t>
  </si>
  <si>
    <t>Piedra de amolar cuchillo de 6</t>
  </si>
  <si>
    <t>AN0750</t>
  </si>
  <si>
    <t>AN0751</t>
  </si>
  <si>
    <t>AN0752</t>
  </si>
  <si>
    <t>Pico de 5 libra, mango fibra de vidrio de 36</t>
  </si>
  <si>
    <t>Tijera para podar de 8 1/2</t>
  </si>
  <si>
    <t>Lima Triangular de 8 pulgadas con hacer endurecido</t>
  </si>
  <si>
    <t>Cincel plano 3/4 x 12</t>
  </si>
  <si>
    <t>Cincel plano 3/4 x 8</t>
  </si>
  <si>
    <t>Cincel plano 3/4 x 6</t>
  </si>
  <si>
    <t>Llaves PVC de 2, sin rosca</t>
  </si>
  <si>
    <t>Cemento PVC de uso industrial Latas de 1/4 azul</t>
  </si>
  <si>
    <t>Curva electrica de 1/2 en PVC</t>
  </si>
  <si>
    <t>Alambre milimetro No. 12 color blanco, pies</t>
  </si>
  <si>
    <t xml:space="preserve">Machete tipo burriquito de 14 </t>
  </si>
  <si>
    <t>Guante de Jardineria, Size M</t>
  </si>
  <si>
    <t>Cincel Plano 3/4 x 10</t>
  </si>
  <si>
    <t>Cincel Punta 3/4 x 12</t>
  </si>
  <si>
    <t>AN0753</t>
  </si>
  <si>
    <t>AN0754</t>
  </si>
  <si>
    <t>AN0755</t>
  </si>
  <si>
    <t>AN0756</t>
  </si>
  <si>
    <t>AN0757</t>
  </si>
  <si>
    <t>AN0758</t>
  </si>
  <si>
    <t>AN0759</t>
  </si>
  <si>
    <t>AN0760</t>
  </si>
  <si>
    <t>AN0761</t>
  </si>
  <si>
    <t>AN0762</t>
  </si>
  <si>
    <t>AN0763</t>
  </si>
  <si>
    <t>AN0764</t>
  </si>
  <si>
    <t>AN0765</t>
  </si>
  <si>
    <t>AN0766</t>
  </si>
  <si>
    <t>AN0767</t>
  </si>
  <si>
    <t>AN0768</t>
  </si>
  <si>
    <t>AN0769</t>
  </si>
  <si>
    <t>AN0770</t>
  </si>
  <si>
    <t>AN0771</t>
  </si>
  <si>
    <t>Chacabana para hombres manga larga</t>
  </si>
  <si>
    <t>Camisas unisex manga corta</t>
  </si>
  <si>
    <t>Camisas manga larga para damas, tipo Bahamas</t>
  </si>
  <si>
    <t>Camisas  manga corta para hombre, tipo Bahamas</t>
  </si>
  <si>
    <t>Camisas manga corta para damas, tipo Bahamas</t>
  </si>
  <si>
    <t>Camisas  manga larga para hombre, tipo Bahamas</t>
  </si>
  <si>
    <t>AN0772</t>
  </si>
  <si>
    <t>AN0773</t>
  </si>
  <si>
    <t>Camisa para hombres, manga corta, logo institucional</t>
  </si>
  <si>
    <t>Camisa para hombres, manga larga, logo institucional</t>
  </si>
  <si>
    <t>Camisa para hombres, manga larga, color blanco</t>
  </si>
  <si>
    <t xml:space="preserve">Pantalones formales para hombre color negro </t>
  </si>
  <si>
    <t>Pantalones formales para hombre azul tergal</t>
  </si>
  <si>
    <t>Camisas Unisex maga larga azul tergal</t>
  </si>
  <si>
    <t xml:space="preserve">Pantalon de hombre, Jeans para hombre </t>
  </si>
  <si>
    <t>Chaquetas para damas manga larga color negro</t>
  </si>
  <si>
    <t>AN0774</t>
  </si>
  <si>
    <t>AN0775</t>
  </si>
  <si>
    <t>AN0776</t>
  </si>
  <si>
    <t>AN0777</t>
  </si>
  <si>
    <t>AN0778</t>
  </si>
  <si>
    <t>AN0779</t>
  </si>
  <si>
    <t>AN0780</t>
  </si>
  <si>
    <t>AN0781</t>
  </si>
  <si>
    <t>AN0782</t>
  </si>
  <si>
    <t>Uniformes</t>
  </si>
  <si>
    <t>Ferreteria</t>
  </si>
  <si>
    <t>AN0783</t>
  </si>
  <si>
    <t>Rastrillos plasticos con mango, diente fuerte color verde</t>
  </si>
  <si>
    <t>Teipi Electrico Scotch, 33+  3/4 IN X 66 FT (22 YD) X .007 IN 19mm x 20,1</t>
  </si>
  <si>
    <t>AN0784</t>
  </si>
  <si>
    <t>AN0785</t>
  </si>
  <si>
    <t>AN0786</t>
  </si>
  <si>
    <t>AN0787</t>
  </si>
  <si>
    <t>AN0788</t>
  </si>
  <si>
    <t>AN0789</t>
  </si>
  <si>
    <t>AN0790</t>
  </si>
  <si>
    <t>AN0791</t>
  </si>
  <si>
    <t>20/12/2024</t>
  </si>
  <si>
    <t xml:space="preserve">Cremora en polvo para café de 32oz                                    </t>
  </si>
  <si>
    <t>Papel aluminio de 2/1</t>
  </si>
  <si>
    <t xml:space="preserve">Te Frio en polvo varios sabores 4 C </t>
  </si>
  <si>
    <t>Vasos biodegradables 10oz 20 paq. 50/1</t>
  </si>
  <si>
    <t>Vasos biodegradables 12oz 20 paq. 50/1</t>
  </si>
  <si>
    <t>Vasos cónicos de papel de  25paq.  200/1</t>
  </si>
  <si>
    <t>Platos Foam hondo</t>
  </si>
  <si>
    <t>19/12/2024</t>
  </si>
  <si>
    <t xml:space="preserve">Fibra de vidrio yda </t>
  </si>
  <si>
    <t>Brocha # 2 azules Good Year</t>
  </si>
  <si>
    <t xml:space="preserve">Almohadilla velmer und. Para sello </t>
  </si>
  <si>
    <t>Almohadilla para terminación</t>
  </si>
  <si>
    <t>AN0792</t>
  </si>
  <si>
    <t>AN0793</t>
  </si>
  <si>
    <t>AN0794</t>
  </si>
  <si>
    <t>AN0795</t>
  </si>
  <si>
    <t>AN0796</t>
  </si>
  <si>
    <t>AN0797</t>
  </si>
  <si>
    <t>AN0798</t>
  </si>
  <si>
    <t>Disco de paño de cabuya, 5x 3/8</t>
  </si>
  <si>
    <t>Secante, botella de 1 litro</t>
  </si>
  <si>
    <t>Resina gal</t>
  </si>
  <si>
    <t>Llave tipo mariposa PVC de 4</t>
  </si>
  <si>
    <t>Tubo pvc drenaje 6x19</t>
  </si>
  <si>
    <t>Mandil delantal de 49 cm x 84 cm x 25 cm</t>
  </si>
  <si>
    <t>Rolo de pulir de 41 x 25 mm</t>
  </si>
  <si>
    <t>AN0799</t>
  </si>
  <si>
    <t>AN0800</t>
  </si>
  <si>
    <t>AN0801</t>
  </si>
  <si>
    <t>AN0802</t>
  </si>
  <si>
    <t>13/12/2024</t>
  </si>
  <si>
    <t>Microfiber Tower, lanilla amarilla (Toallitas) 30/1</t>
  </si>
  <si>
    <t>AN0803</t>
  </si>
  <si>
    <t>AN0804</t>
  </si>
  <si>
    <t>AN0805</t>
  </si>
  <si>
    <t>AN0806</t>
  </si>
  <si>
    <t>AN0807</t>
  </si>
  <si>
    <t>AN0808</t>
  </si>
  <si>
    <t xml:space="preserve">Piedras de olor para baño, aroma variados </t>
  </si>
  <si>
    <t>Detergente en polvo, saco de 30 libras (Evelyn)</t>
  </si>
  <si>
    <t>16/12/2024</t>
  </si>
  <si>
    <t>Limpiador y desincrustante de ceramicas en galones</t>
  </si>
  <si>
    <t>Ambientador en apray (fragancias variadas) frazcos de 8onz (227g) (glade)</t>
  </si>
  <si>
    <t xml:space="preserve">Rollo Termico 3 1/8 42 MTS </t>
  </si>
  <si>
    <t>AN0809</t>
  </si>
  <si>
    <t>Fundas negra de 30 galones</t>
  </si>
  <si>
    <t>27/12/2024</t>
  </si>
  <si>
    <t>27/12/2020</t>
  </si>
  <si>
    <t>Brillo gris la maquina, Scotch Brite 3M</t>
  </si>
  <si>
    <t>AN0810</t>
  </si>
  <si>
    <t>Palo de escoba Linda</t>
  </si>
  <si>
    <t>Decoracion</t>
  </si>
  <si>
    <t>Overol manga corta  (size M)</t>
  </si>
  <si>
    <t>Overol manga corta  (size L)</t>
  </si>
  <si>
    <t>AN0811</t>
  </si>
  <si>
    <t>Tornillo 1 de 1 1/2</t>
  </si>
  <si>
    <t>Bota de goma unisex, color negro #39</t>
  </si>
  <si>
    <t>Bota de goma unisex, color negro #40</t>
  </si>
  <si>
    <t>Bota de goma unisex, color negro #41</t>
  </si>
  <si>
    <t>Bota de goma unisex, color negro #42</t>
  </si>
  <si>
    <t>Bota de goma unisex, color negro #43</t>
  </si>
  <si>
    <t xml:space="preserve">Lapiz de carbon Hb, Beifa cajas </t>
  </si>
  <si>
    <t>AN0209</t>
  </si>
  <si>
    <t>AN0812</t>
  </si>
  <si>
    <t>Platos Foam No 9</t>
  </si>
  <si>
    <t>Galon de pintura Esmalte Gris Oscuro 08</t>
  </si>
  <si>
    <t>Safacon Negro Pequeño Printek</t>
  </si>
  <si>
    <t>Tabla con gancho printex und.</t>
  </si>
  <si>
    <t>.</t>
  </si>
  <si>
    <t>Cloro al 99.9% galones (Bio Aroma)</t>
  </si>
  <si>
    <t>Guantes Quirurgicos  S .  Safe Care,  cajas</t>
  </si>
  <si>
    <t>Cable Ties 8 x 300, Nylon color Negro</t>
  </si>
  <si>
    <t>Machete ancho 18, corneta MOCHA color ladrillo</t>
  </si>
  <si>
    <t>17/12/2024</t>
  </si>
  <si>
    <t>Bateria Duracel D12 Cop pertop und.</t>
  </si>
  <si>
    <t>Bateria Duracell AA</t>
  </si>
  <si>
    <t>Bateria Duracell AAA UND.</t>
  </si>
  <si>
    <t>Bateria ProCell AA,  und.</t>
  </si>
  <si>
    <t>Borra blanca pointer und.</t>
  </si>
  <si>
    <t xml:space="preserve">Tape de goma 3m </t>
  </si>
  <si>
    <t>Brocha de 1 1/2, colima</t>
  </si>
  <si>
    <t>Brocha de 2, colima</t>
  </si>
  <si>
    <t>Lampara Emergency Led R- 2L, (120 / 277V), SAF</t>
  </si>
  <si>
    <t>Tubo Florecente T8 de 17 W, OSRAM</t>
  </si>
  <si>
    <t>Lampara Led 18w  125x18x17, ILUKON</t>
  </si>
  <si>
    <t>Lampara 400 W IP66, RUDO</t>
  </si>
  <si>
    <t>Lampara LED panel light, 3W Rudo</t>
  </si>
  <si>
    <t>Guantes Truper pares size L</t>
  </si>
  <si>
    <t>manual</t>
  </si>
  <si>
    <t>AN0813</t>
  </si>
  <si>
    <t>Almohadilla para Maus</t>
  </si>
  <si>
    <t>AN0814</t>
  </si>
  <si>
    <t>Marcador permanente Artline</t>
  </si>
  <si>
    <t>Platos #6 Plastifar blanco</t>
  </si>
  <si>
    <t>AN0815</t>
  </si>
  <si>
    <t>AN0816</t>
  </si>
  <si>
    <t>Tape Invinsible  Highand</t>
  </si>
  <si>
    <t>14/2/2025</t>
  </si>
  <si>
    <t>AN0817</t>
  </si>
  <si>
    <t>Mascarilla LUZ MED</t>
  </si>
  <si>
    <t>Folders amarillo 8 1/2 x 11, Xcelent, paquetes de 50 unidades</t>
  </si>
  <si>
    <t>Folders Blanco con bolsillo</t>
  </si>
  <si>
    <t>Folders Crema,  8 1/2 x 13</t>
  </si>
  <si>
    <t>AN0818</t>
  </si>
  <si>
    <t>AN0819</t>
  </si>
  <si>
    <t>13/2/2025</t>
  </si>
  <si>
    <t>Filtro de combustible</t>
  </si>
  <si>
    <t xml:space="preserve">Aditivo Diesel Treatment </t>
  </si>
  <si>
    <t>Aditivo Bardahl #1</t>
  </si>
  <si>
    <t>Aditivo Bardahl #2</t>
  </si>
  <si>
    <t>AN0820</t>
  </si>
  <si>
    <t>AN0821</t>
  </si>
  <si>
    <t>AN0822</t>
  </si>
  <si>
    <t>AN0823</t>
  </si>
  <si>
    <t>AN0824</t>
  </si>
  <si>
    <t>AN0825</t>
  </si>
  <si>
    <t>AN0826</t>
  </si>
  <si>
    <t>AN0827</t>
  </si>
  <si>
    <t>AN0828</t>
  </si>
  <si>
    <t>AN0829</t>
  </si>
  <si>
    <t>AN0830</t>
  </si>
  <si>
    <t>AN0831</t>
  </si>
  <si>
    <t>Aceite Sae 40 Kendall Super-D Tanque de 55 GL</t>
  </si>
  <si>
    <t>Coolant 50-50 Capsa Tanque de 55 GL</t>
  </si>
  <si>
    <t>Aceite para compresores de Aire Cepsa 1 GL</t>
  </si>
  <si>
    <t>Aditivo Antifriccionante Nano Engine pro-tec lata</t>
  </si>
  <si>
    <t>Aditivo Estabilizador para aceite de Motor</t>
  </si>
  <si>
    <t>Aceite 2 Tiempo 1 GL</t>
  </si>
  <si>
    <t>Filtro de Aire PA1712 Elemento Aire</t>
  </si>
  <si>
    <t>Lente quirurgicos transparente</t>
  </si>
  <si>
    <t>Lentes de seguridad transparente, mamey y negro Truper</t>
  </si>
  <si>
    <t>Aceite de Motor 10W30 Tanque de 55 GL</t>
  </si>
  <si>
    <t xml:space="preserve">Agua destilada 1 galon </t>
  </si>
  <si>
    <t>Aceite Sintetico 75W-90</t>
  </si>
  <si>
    <t>Filtro BD103 CUMMINS Doble Filtracion 3318853 LF3000</t>
  </si>
  <si>
    <t>Tubo Led 18W 6500K 100-277V, ILUKON</t>
  </si>
  <si>
    <t>Esponjas de fregar kit 2+1 Oks</t>
  </si>
  <si>
    <t>Platos #6 Plastifar  crema</t>
  </si>
  <si>
    <t>Lysol Spray</t>
  </si>
  <si>
    <t>Lapiz de carbon Hbnoz, Pointex</t>
  </si>
  <si>
    <t>Desinfectantes Brisa Marina</t>
  </si>
  <si>
    <t>Union Universal  de  1 1/2</t>
  </si>
  <si>
    <t>Tapones hembra de 2</t>
  </si>
  <si>
    <t>T PVC drenaje de 6</t>
  </si>
  <si>
    <t>Codo de 1 1/2, PVC</t>
  </si>
  <si>
    <t>Codo de 2, PVC</t>
  </si>
  <si>
    <t>Codo 3/4, Lukan</t>
  </si>
  <si>
    <t>Codo 45 de 1 1/2</t>
  </si>
  <si>
    <t>AN0832</t>
  </si>
  <si>
    <t>Codo 45 de 1</t>
  </si>
  <si>
    <t>AN0833</t>
  </si>
  <si>
    <t>Codo 45 de 3/4</t>
  </si>
  <si>
    <t>Eslinga de 2t x 5 mts. X 38 mm, con trinquete, Sujetador con matraca Ratchet tie down</t>
  </si>
  <si>
    <t>AN0834</t>
  </si>
  <si>
    <t>Desinfectantes Lavanda</t>
  </si>
  <si>
    <t>Interruptor  sencillo de 1,  BTICINO</t>
  </si>
  <si>
    <t>AN0835</t>
  </si>
  <si>
    <t>Desinfectante Akoo, Mar Fresco</t>
  </si>
  <si>
    <t>AN0836</t>
  </si>
  <si>
    <t>Lava platos Limon  ACEL</t>
  </si>
  <si>
    <t>Tomacorriente doble de 120v blanco bticino 2P</t>
  </si>
  <si>
    <t>Lava platos Limon  akoo</t>
  </si>
  <si>
    <t>Marcador de pagina 45mm x 12mm Talbot</t>
  </si>
  <si>
    <t>Te Caliente en sobres, Fresa y jengibre con limon</t>
  </si>
  <si>
    <t>Inventario de Materiales de Suministro 2025</t>
  </si>
  <si>
    <t>Café Santo Domingo 1lb 20/1</t>
  </si>
  <si>
    <t>Papel de baño 2 hojas 350</t>
  </si>
  <si>
    <r>
      <t xml:space="preserve">Guante de uso domestico Size </t>
    </r>
    <r>
      <rPr>
        <b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</si>
  <si>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 xml:space="preserve"> (Suave)</t>
    </r>
  </si>
  <si>
    <r>
      <t xml:space="preserve">Guante de uso domestico Size </t>
    </r>
    <r>
      <rPr>
        <b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</si>
  <si>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(Kika)</t>
    </r>
  </si>
  <si>
    <r>
      <t xml:space="preserve">Guante P/Jardin , Size </t>
    </r>
    <r>
      <rPr>
        <b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>, Truper</t>
    </r>
  </si>
  <si>
    <r>
      <t>Machete Corneta N</t>
    </r>
    <r>
      <rPr>
        <u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127, para jardin 19-K</t>
    </r>
  </si>
  <si>
    <t>Codigo Institucional</t>
  </si>
  <si>
    <t xml:space="preserve">Brebe Descripcion del bien </t>
  </si>
  <si>
    <t>Fecha de adquisicion/ registro</t>
  </si>
  <si>
    <t>Cantidad Existencia</t>
  </si>
  <si>
    <t xml:space="preserve">                                                           Al 31 Marzo 2025                                                    </t>
  </si>
  <si>
    <t>Licda. Diana Mejia Rymer</t>
  </si>
  <si>
    <t xml:space="preserve">Adaptador Negro - Azul 3 1/4 Donacion </t>
  </si>
  <si>
    <t xml:space="preserve">Codo negro -  azul 3 1/4 Donacion </t>
  </si>
  <si>
    <t>T de 3 entradas negra -  azul, Donacion</t>
  </si>
  <si>
    <t xml:space="preserve">Feha Aquisicion / Registro </t>
  </si>
  <si>
    <t>Breve Descripcion del Bien</t>
  </si>
  <si>
    <t xml:space="preserve">Existencia </t>
  </si>
  <si>
    <t>Gasoil</t>
  </si>
  <si>
    <t>Gasolina</t>
  </si>
  <si>
    <t>272.50.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</si>
</sst>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1" xfId="0" applyFont="1" applyBorder="1" applyAlignment="1">
      <alignment wrapText="1"/>
    </xf>
    <xf numFmtId="43" fontId="12" fillId="0" borderId="1" xfId="1" applyFont="1" applyFill="1" applyBorder="1"/>
    <xf numFmtId="0" fontId="13" fillId="0" borderId="1" xfId="0" applyFont="1" applyBorder="1" applyAlignment="1">
      <alignment wrapText="1"/>
    </xf>
    <xf numFmtId="0" fontId="12" fillId="0" borderId="0" xfId="0" applyFont="1"/>
    <xf numFmtId="43" fontId="12" fillId="0" borderId="1" xfId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43" fontId="15" fillId="0" borderId="1" xfId="1" applyFont="1" applyFill="1" applyBorder="1"/>
    <xf numFmtId="0" fontId="14" fillId="0" borderId="1" xfId="0" applyFont="1" applyBorder="1" applyAlignment="1">
      <alignment wrapText="1"/>
    </xf>
    <xf numFmtId="43" fontId="12" fillId="0" borderId="1" xfId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43" fontId="11" fillId="0" borderId="1" xfId="1" applyFont="1" applyFill="1" applyBorder="1"/>
    <xf numFmtId="43" fontId="11" fillId="0" borderId="0" xfId="1" applyFont="1" applyFill="1" applyBorder="1"/>
    <xf numFmtId="0" fontId="1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11" fillId="0" borderId="0" xfId="0" applyNumberFormat="1" applyFont="1"/>
    <xf numFmtId="43" fontId="10" fillId="0" borderId="0" xfId="1" applyFont="1" applyFill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wrapText="1"/>
    </xf>
    <xf numFmtId="43" fontId="4" fillId="0" borderId="0" xfId="1" applyFont="1" applyFill="1"/>
    <xf numFmtId="43" fontId="0" fillId="0" borderId="0" xfId="1" applyFont="1" applyFill="1"/>
    <xf numFmtId="0" fontId="10" fillId="0" borderId="0" xfId="0" applyFont="1" applyAlignment="1">
      <alignment wrapText="1"/>
    </xf>
    <xf numFmtId="43" fontId="5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center"/>
    </xf>
    <xf numFmtId="43" fontId="18" fillId="0" borderId="1" xfId="1" applyFont="1" applyFill="1" applyBorder="1"/>
    <xf numFmtId="0" fontId="19" fillId="0" borderId="1" xfId="0" applyFont="1" applyBorder="1" applyAlignment="1">
      <alignment wrapText="1"/>
    </xf>
    <xf numFmtId="0" fontId="18" fillId="0" borderId="0" xfId="0" applyFont="1"/>
    <xf numFmtId="0" fontId="20" fillId="0" borderId="1" xfId="0" applyFont="1" applyBorder="1" applyAlignment="1">
      <alignment vertical="center" wrapText="1"/>
    </xf>
    <xf numFmtId="14" fontId="18" fillId="0" borderId="1" xfId="0" applyNumberFormat="1" applyFont="1" applyBorder="1" applyAlignment="1">
      <alignment wrapText="1"/>
    </xf>
    <xf numFmtId="14" fontId="18" fillId="0" borderId="1" xfId="0" applyNumberFormat="1" applyFont="1" applyBorder="1" applyAlignment="1">
      <alignment horizontal="left" wrapText="1"/>
    </xf>
    <xf numFmtId="14" fontId="18" fillId="0" borderId="1" xfId="0" applyNumberFormat="1" applyFont="1" applyBorder="1" applyAlignment="1">
      <alignment horizontal="right" wrapText="1"/>
    </xf>
    <xf numFmtId="14" fontId="19" fillId="0" borderId="1" xfId="0" applyNumberFormat="1" applyFont="1" applyBorder="1" applyAlignment="1">
      <alignment horizontal="right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3" fontId="18" fillId="0" borderId="1" xfId="1" applyFont="1" applyFill="1" applyBorder="1" applyAlignment="1">
      <alignment wrapText="1"/>
    </xf>
    <xf numFmtId="14" fontId="18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164" fontId="18" fillId="0" borderId="0" xfId="0" applyNumberFormat="1" applyFont="1"/>
    <xf numFmtId="14" fontId="21" fillId="0" borderId="1" xfId="0" applyNumberFormat="1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43" fontId="21" fillId="0" borderId="1" xfId="1" applyFont="1" applyFill="1" applyBorder="1"/>
    <xf numFmtId="0" fontId="22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center"/>
    </xf>
    <xf numFmtId="43" fontId="17" fillId="0" borderId="1" xfId="1" applyFont="1" applyFill="1" applyBorder="1"/>
    <xf numFmtId="0" fontId="21" fillId="0" borderId="1" xfId="0" applyFont="1" applyBorder="1" applyAlignment="1">
      <alignment horizontal="right" wrapText="1"/>
    </xf>
    <xf numFmtId="0" fontId="18" fillId="0" borderId="1" xfId="0" applyFont="1" applyBorder="1"/>
    <xf numFmtId="14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3" fillId="0" borderId="0" xfId="0" applyFont="1"/>
    <xf numFmtId="0" fontId="19" fillId="0" borderId="1" xfId="0" applyFont="1" applyBorder="1" applyAlignment="1">
      <alignment horizontal="center" wrapText="1"/>
    </xf>
    <xf numFmtId="14" fontId="22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4" fontId="1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24" fillId="0" borderId="1" xfId="0" applyFont="1" applyBorder="1"/>
    <xf numFmtId="14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3" fontId="21" fillId="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right" vertical="center"/>
    </xf>
    <xf numFmtId="43" fontId="19" fillId="0" borderId="1" xfId="1" applyFont="1" applyFill="1" applyBorder="1" applyAlignment="1">
      <alignment horizontal="right"/>
    </xf>
    <xf numFmtId="0" fontId="21" fillId="0" borderId="0" xfId="0" applyFont="1"/>
    <xf numFmtId="0" fontId="21" fillId="0" borderId="1" xfId="0" applyFont="1" applyBorder="1" applyAlignment="1">
      <alignment horizontal="center" wrapText="1"/>
    </xf>
    <xf numFmtId="164" fontId="21" fillId="0" borderId="0" xfId="0" applyNumberFormat="1" applyFont="1"/>
    <xf numFmtId="0" fontId="18" fillId="0" borderId="2" xfId="0" applyFont="1" applyBorder="1" applyAlignment="1">
      <alignment wrapText="1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14" fontId="21" fillId="0" borderId="3" xfId="0" applyNumberFormat="1" applyFont="1" applyBorder="1" applyAlignment="1">
      <alignment wrapText="1"/>
    </xf>
    <xf numFmtId="0" fontId="24" fillId="0" borderId="0" xfId="0" applyFont="1"/>
    <xf numFmtId="0" fontId="18" fillId="0" borderId="3" xfId="0" applyFont="1" applyBorder="1" applyAlignment="1">
      <alignment horizontal="right" wrapText="1"/>
    </xf>
    <xf numFmtId="0" fontId="24" fillId="0" borderId="1" xfId="0" applyFont="1" applyBorder="1" applyAlignment="1">
      <alignment horizontal="center"/>
    </xf>
    <xf numFmtId="14" fontId="18" fillId="0" borderId="4" xfId="0" applyNumberFormat="1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43" fontId="18" fillId="0" borderId="4" xfId="1" applyFont="1" applyFill="1" applyBorder="1"/>
    <xf numFmtId="0" fontId="18" fillId="0" borderId="0" xfId="0" applyFont="1" applyBorder="1" applyAlignment="1">
      <alignment horizontal="right" wrapText="1"/>
    </xf>
    <xf numFmtId="43" fontId="5" fillId="0" borderId="0" xfId="1" applyFont="1" applyFill="1" applyAlignment="1"/>
    <xf numFmtId="43" fontId="2" fillId="0" borderId="0" xfId="1" applyFont="1" applyFill="1" applyAlignment="1"/>
    <xf numFmtId="43" fontId="27" fillId="3" borderId="1" xfId="1" applyFont="1" applyFill="1" applyBorder="1" applyAlignment="1">
      <alignment horizontal="center" wrapText="1"/>
    </xf>
    <xf numFmtId="43" fontId="26" fillId="3" borderId="1" xfId="1" applyFont="1" applyFill="1" applyBorder="1" applyAlignment="1">
      <alignment horizontal="center" wrapText="1"/>
    </xf>
    <xf numFmtId="43" fontId="16" fillId="3" borderId="1" xfId="1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0" fontId="27" fillId="3" borderId="1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center"/>
    </xf>
    <xf numFmtId="43" fontId="24" fillId="0" borderId="1" xfId="1" applyFont="1" applyBorder="1"/>
    <xf numFmtId="43" fontId="11" fillId="0" borderId="1" xfId="0" applyNumberFormat="1" applyFont="1" applyBorder="1"/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11" fillId="0" borderId="0" xfId="0" applyNumberFormat="1" applyFont="1" applyBorder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43" fontId="3" fillId="4" borderId="1" xfId="1" applyFont="1" applyFill="1" applyBorder="1"/>
    <xf numFmtId="4" fontId="29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1269737</xdr:colOff>
      <xdr:row>1</xdr:row>
      <xdr:rowOff>73553</xdr:rowOff>
    </xdr:from>
    <xdr:to>
      <xdr:col>9</xdr:col>
      <xdr:colOff>1235037</xdr:colOff>
      <xdr:row>3</xdr:row>
      <xdr:rowOff>326495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83C313-0C63-4E40-A79D-CA2F2DCC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4675" y="383116"/>
          <a:ext cx="2822800" cy="1014942"/>
        </a:xfrm>
        <a:prstGeom prst="rect">
          <a:avLst/>
        </a:prstGeom>
      </xdr:spPr>
    </xdr:pic>
    <xdr:clientData/>
  </xdr:twoCellAnchor>
  <xdr:twoCellAnchor editAs="oneCell">
    <xdr:from>
      <xdr:col>1</xdr:col>
      <xdr:colOff>517851</xdr:colOff>
      <xdr:row>483</xdr:row>
      <xdr:rowOff>0</xdr:rowOff>
    </xdr:from>
    <xdr:to>
      <xdr:col>1</xdr:col>
      <xdr:colOff>1911503</xdr:colOff>
      <xdr:row>486</xdr:row>
      <xdr:rowOff>283775</xdr:rowOff>
    </xdr:to>
    <xdr:pic>
      <xdr:nvPicPr>
        <xdr:cNvPr id="3" name="Picture 4" descr="C:\Users\c07850\Desktop\001 - Copy.png">
          <a:extLst>
            <a:ext uri="{FF2B5EF4-FFF2-40B4-BE49-F238E27FC236}">
              <a16:creationId xmlns:a16="http://schemas.microsoft.com/office/drawing/2014/main" id="{285D210A-9E9A-42B7-A3DC-D2299819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851351" y="45319950"/>
          <a:ext cx="1388889" cy="142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35719</xdr:colOff>
      <xdr:row>0</xdr:row>
      <xdr:rowOff>274399</xdr:rowOff>
    </xdr:from>
    <xdr:to>
      <xdr:col>1</xdr:col>
      <xdr:colOff>1059656</xdr:colOff>
      <xdr:row>3</xdr:row>
      <xdr:rowOff>373338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274399"/>
          <a:ext cx="2202656" cy="1170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2"/>
  <sheetViews>
    <sheetView tabSelected="1" zoomScale="80" zoomScaleNormal="80" workbookViewId="0">
      <pane ySplit="6" topLeftCell="A840" activePane="bottomLeft" state="frozen"/>
      <selection pane="bottomLeft" activeCell="C850" sqref="C850"/>
    </sheetView>
  </sheetViews>
  <sheetFormatPr baseColWidth="10" defaultColWidth="11.42578125" defaultRowHeight="50.1" customHeight="1" x14ac:dyDescent="0.3"/>
  <cols>
    <col min="1" max="1" width="17.7109375" style="2" customWidth="1"/>
    <col min="2" max="2" width="30.85546875" style="3" customWidth="1"/>
    <col min="3" max="3" width="59.28515625" style="32" customWidth="1"/>
    <col min="4" max="4" width="23.85546875" style="26" customWidth="1"/>
    <col min="5" max="5" width="0.140625" style="1" hidden="1" customWidth="1"/>
    <col min="6" max="6" width="14.140625" style="1" hidden="1" customWidth="1"/>
    <col min="7" max="7" width="20.28515625" style="1" hidden="1" customWidth="1"/>
    <col min="8" max="8" width="23" style="26" customWidth="1"/>
    <col min="9" max="9" width="19.85546875" style="33" customWidth="1"/>
    <col min="10" max="10" width="22.140625" style="33" customWidth="1"/>
    <col min="11" max="11" width="19.5703125" style="34" hidden="1" customWidth="1"/>
    <col min="12" max="12" width="40.140625" style="34" hidden="1" customWidth="1"/>
    <col min="13" max="13" width="22.28515625" style="35" hidden="1" customWidth="1"/>
    <col min="14" max="14" width="12.140625" style="2" bestFit="1" customWidth="1"/>
    <col min="15" max="16384" width="11.42578125" style="2"/>
  </cols>
  <sheetData>
    <row r="1" spans="1:13" ht="24" customHeight="1" x14ac:dyDescent="0.3"/>
    <row r="2" spans="1:13" ht="30" customHeight="1" x14ac:dyDescent="0.35">
      <c r="C2" s="113" t="s">
        <v>0</v>
      </c>
      <c r="D2" s="113"/>
      <c r="E2" s="4"/>
      <c r="F2" s="5"/>
      <c r="G2" s="5"/>
      <c r="H2" s="6"/>
      <c r="I2" s="106"/>
      <c r="J2" s="106"/>
      <c r="K2" s="107"/>
      <c r="L2" s="107"/>
      <c r="M2" s="106"/>
    </row>
    <row r="3" spans="1:13" ht="30" customHeight="1" x14ac:dyDescent="0.35">
      <c r="C3" s="113" t="s">
        <v>1718</v>
      </c>
      <c r="D3" s="113"/>
      <c r="E3" s="4"/>
      <c r="F3" s="5"/>
      <c r="G3" s="5"/>
      <c r="H3" s="6"/>
      <c r="I3" s="106"/>
      <c r="J3" s="106"/>
      <c r="K3" s="107"/>
      <c r="L3" s="107"/>
      <c r="M3" s="106"/>
    </row>
    <row r="4" spans="1:13" ht="30" customHeight="1" x14ac:dyDescent="0.35">
      <c r="C4" s="113" t="s">
        <v>1731</v>
      </c>
      <c r="D4" s="113"/>
      <c r="E4" s="7"/>
      <c r="F4" s="7"/>
      <c r="G4" s="5" t="s">
        <v>1622</v>
      </c>
      <c r="H4" s="6"/>
      <c r="I4" s="106"/>
      <c r="J4" s="106"/>
      <c r="K4" s="107"/>
      <c r="L4" s="107"/>
      <c r="M4" s="106"/>
    </row>
    <row r="5" spans="1:13" ht="19.5" customHeight="1" x14ac:dyDescent="0.35">
      <c r="C5" s="8"/>
      <c r="D5" s="8"/>
      <c r="E5" s="4"/>
      <c r="F5" s="5"/>
      <c r="G5" s="5"/>
      <c r="H5" s="6"/>
      <c r="I5" s="36"/>
      <c r="J5" s="36"/>
      <c r="K5" s="37"/>
      <c r="L5" s="37"/>
      <c r="M5" s="36"/>
    </row>
    <row r="6" spans="1:13" s="111" customFormat="1" ht="39.950000000000003" customHeight="1" x14ac:dyDescent="0.35">
      <c r="A6" s="112" t="s">
        <v>1727</v>
      </c>
      <c r="B6" s="112" t="s">
        <v>1729</v>
      </c>
      <c r="C6" s="112" t="s">
        <v>1728</v>
      </c>
      <c r="D6" s="112" t="s">
        <v>1</v>
      </c>
      <c r="E6" s="112" t="s">
        <v>1257</v>
      </c>
      <c r="F6" s="112" t="s">
        <v>2</v>
      </c>
      <c r="G6" s="112" t="s">
        <v>1262</v>
      </c>
      <c r="H6" s="112" t="s">
        <v>1730</v>
      </c>
      <c r="I6" s="108" t="s">
        <v>3</v>
      </c>
      <c r="J6" s="108" t="s">
        <v>4</v>
      </c>
      <c r="K6" s="109" t="s">
        <v>1261</v>
      </c>
      <c r="L6" s="110" t="s">
        <v>1260</v>
      </c>
      <c r="M6" s="38" t="s">
        <v>5</v>
      </c>
    </row>
    <row r="7" spans="1:13" s="12" customFormat="1" ht="29.25" customHeight="1" x14ac:dyDescent="0.3">
      <c r="A7" s="39" t="s">
        <v>759</v>
      </c>
      <c r="B7" s="40"/>
      <c r="C7" s="39" t="s">
        <v>1458</v>
      </c>
      <c r="D7" s="41">
        <v>19</v>
      </c>
      <c r="E7" s="41"/>
      <c r="F7" s="41">
        <v>4</v>
      </c>
      <c r="G7" s="41"/>
      <c r="H7" s="41">
        <f>+D7+E7+-F7</f>
        <v>15</v>
      </c>
      <c r="I7" s="42">
        <v>22.55</v>
      </c>
      <c r="J7" s="42">
        <f t="shared" ref="J7:J70" si="0">+H7*I7</f>
        <v>338.25</v>
      </c>
      <c r="K7" s="10"/>
      <c r="L7" s="10"/>
      <c r="M7" s="11" t="s">
        <v>169</v>
      </c>
    </row>
    <row r="8" spans="1:13" s="12" customFormat="1" ht="33.75" customHeight="1" x14ac:dyDescent="0.3">
      <c r="A8" s="39" t="s">
        <v>760</v>
      </c>
      <c r="B8" s="40"/>
      <c r="C8" s="39" t="s">
        <v>170</v>
      </c>
      <c r="D8" s="41">
        <v>7</v>
      </c>
      <c r="E8" s="41"/>
      <c r="F8" s="41">
        <v>7</v>
      </c>
      <c r="G8" s="41"/>
      <c r="H8" s="41">
        <f>+D8+E8+-F8</f>
        <v>0</v>
      </c>
      <c r="I8" s="42">
        <v>98</v>
      </c>
      <c r="J8" s="42">
        <f t="shared" si="0"/>
        <v>0</v>
      </c>
      <c r="K8" s="10"/>
      <c r="L8" s="10"/>
      <c r="M8" s="11" t="s">
        <v>169</v>
      </c>
    </row>
    <row r="9" spans="1:13" s="12" customFormat="1" ht="39.75" customHeight="1" x14ac:dyDescent="0.3">
      <c r="A9" s="39" t="s">
        <v>761</v>
      </c>
      <c r="B9" s="40"/>
      <c r="C9" s="45" t="s">
        <v>171</v>
      </c>
      <c r="D9" s="41">
        <v>36</v>
      </c>
      <c r="E9" s="41"/>
      <c r="F9" s="41"/>
      <c r="G9" s="41"/>
      <c r="H9" s="41">
        <f>+D9+E9+-F9</f>
        <v>36</v>
      </c>
      <c r="I9" s="42">
        <v>7</v>
      </c>
      <c r="J9" s="42">
        <f t="shared" si="0"/>
        <v>252</v>
      </c>
      <c r="K9" s="10"/>
      <c r="L9" s="10"/>
      <c r="M9" s="11" t="s">
        <v>169</v>
      </c>
    </row>
    <row r="10" spans="1:13" s="12" customFormat="1" ht="33.75" customHeight="1" x14ac:dyDescent="0.3">
      <c r="A10" s="39" t="s">
        <v>861</v>
      </c>
      <c r="B10" s="48">
        <v>44652</v>
      </c>
      <c r="C10" s="39" t="s">
        <v>258</v>
      </c>
      <c r="D10" s="41">
        <v>0</v>
      </c>
      <c r="E10" s="41"/>
      <c r="F10" s="41"/>
      <c r="G10" s="41"/>
      <c r="H10" s="41">
        <f>+D10+E10+-F10</f>
        <v>0</v>
      </c>
      <c r="I10" s="42">
        <v>1014</v>
      </c>
      <c r="J10" s="42">
        <f t="shared" si="0"/>
        <v>0</v>
      </c>
      <c r="K10" s="10"/>
      <c r="L10" s="10"/>
      <c r="M10" s="11" t="s">
        <v>248</v>
      </c>
    </row>
    <row r="11" spans="1:13" s="12" customFormat="1" ht="30" customHeight="1" x14ac:dyDescent="0.45">
      <c r="A11" s="39" t="s">
        <v>1669</v>
      </c>
      <c r="B11" s="50" t="s">
        <v>1659</v>
      </c>
      <c r="C11" s="51" t="s">
        <v>1681</v>
      </c>
      <c r="D11" s="52"/>
      <c r="E11" s="53">
        <v>12</v>
      </c>
      <c r="F11" s="53">
        <f>1+1</f>
        <v>2</v>
      </c>
      <c r="G11" s="53"/>
      <c r="H11" s="68">
        <f>+D11+E11-F11</f>
        <v>10</v>
      </c>
      <c r="I11" s="54">
        <v>483.63479999999998</v>
      </c>
      <c r="J11" s="54">
        <f t="shared" si="0"/>
        <v>4836.348</v>
      </c>
      <c r="K11" s="22"/>
      <c r="L11" s="22"/>
      <c r="M11" s="11" t="s">
        <v>222</v>
      </c>
    </row>
    <row r="12" spans="1:13" s="12" customFormat="1" ht="30" customHeight="1" x14ac:dyDescent="0.3">
      <c r="A12" s="39" t="s">
        <v>822</v>
      </c>
      <c r="B12" s="40"/>
      <c r="C12" s="45" t="s">
        <v>221</v>
      </c>
      <c r="D12" s="41">
        <v>1</v>
      </c>
      <c r="E12" s="41"/>
      <c r="F12" s="41">
        <v>1</v>
      </c>
      <c r="G12" s="41"/>
      <c r="H12" s="41">
        <f>+D12+E12+-F12</f>
        <v>0</v>
      </c>
      <c r="I12" s="42"/>
      <c r="J12" s="42">
        <f t="shared" si="0"/>
        <v>0</v>
      </c>
      <c r="K12" s="10"/>
      <c r="L12" s="10"/>
      <c r="M12" s="11" t="s">
        <v>222</v>
      </c>
    </row>
    <row r="13" spans="1:13" s="12" customFormat="1" ht="30" customHeight="1" x14ac:dyDescent="0.45">
      <c r="A13" s="39" t="s">
        <v>1671</v>
      </c>
      <c r="B13" s="50">
        <v>45840</v>
      </c>
      <c r="C13" s="51" t="s">
        <v>1685</v>
      </c>
      <c r="D13" s="52"/>
      <c r="E13" s="53">
        <v>1</v>
      </c>
      <c r="F13" s="53"/>
      <c r="G13" s="53"/>
      <c r="H13" s="68">
        <f>+D13+E13-F13</f>
        <v>1</v>
      </c>
      <c r="I13" s="54">
        <v>56407.775999999998</v>
      </c>
      <c r="J13" s="54">
        <f t="shared" si="0"/>
        <v>56407.775999999998</v>
      </c>
      <c r="K13" s="22"/>
      <c r="L13" s="22"/>
      <c r="M13" s="11" t="s">
        <v>222</v>
      </c>
    </row>
    <row r="14" spans="1:13" s="12" customFormat="1" ht="30" customHeight="1" x14ac:dyDescent="0.45">
      <c r="A14" s="39" t="s">
        <v>1666</v>
      </c>
      <c r="B14" s="50" t="s">
        <v>1659</v>
      </c>
      <c r="C14" s="51" t="s">
        <v>1678</v>
      </c>
      <c r="D14" s="52"/>
      <c r="E14" s="53">
        <v>25</v>
      </c>
      <c r="F14" s="53"/>
      <c r="G14" s="53"/>
      <c r="H14" s="68">
        <f>+D14+E14-F14</f>
        <v>25</v>
      </c>
      <c r="I14" s="54">
        <v>1791.24</v>
      </c>
      <c r="J14" s="54">
        <f t="shared" si="0"/>
        <v>44781</v>
      </c>
      <c r="K14" s="22"/>
      <c r="L14" s="22"/>
      <c r="M14" s="11" t="s">
        <v>222</v>
      </c>
    </row>
    <row r="15" spans="1:13" s="12" customFormat="1" ht="30" customHeight="1" x14ac:dyDescent="0.45">
      <c r="A15" s="39" t="s">
        <v>1664</v>
      </c>
      <c r="B15" s="50" t="s">
        <v>1659</v>
      </c>
      <c r="C15" s="51" t="s">
        <v>1676</v>
      </c>
      <c r="D15" s="52"/>
      <c r="E15" s="53">
        <v>1</v>
      </c>
      <c r="F15" s="53">
        <v>1</v>
      </c>
      <c r="G15" s="53"/>
      <c r="H15" s="68">
        <f>+D15+E15-F15</f>
        <v>0</v>
      </c>
      <c r="I15" s="54">
        <v>110731.2</v>
      </c>
      <c r="J15" s="54">
        <f t="shared" si="0"/>
        <v>0</v>
      </c>
      <c r="K15" s="22"/>
      <c r="L15" s="22"/>
      <c r="M15" s="11" t="s">
        <v>222</v>
      </c>
    </row>
    <row r="16" spans="1:13" s="12" customFormat="1" ht="30" customHeight="1" x14ac:dyDescent="0.45">
      <c r="A16" s="39" t="s">
        <v>1673</v>
      </c>
      <c r="B16" s="50">
        <v>45840</v>
      </c>
      <c r="C16" s="51" t="s">
        <v>1687</v>
      </c>
      <c r="D16" s="52"/>
      <c r="E16" s="53">
        <v>3</v>
      </c>
      <c r="F16" s="53"/>
      <c r="G16" s="53"/>
      <c r="H16" s="68">
        <f>+D16+E16-F16</f>
        <v>3</v>
      </c>
      <c r="I16" s="54">
        <v>895.62</v>
      </c>
      <c r="J16" s="54">
        <f t="shared" si="0"/>
        <v>2686.86</v>
      </c>
      <c r="K16" s="22"/>
      <c r="L16" s="22"/>
      <c r="M16" s="11" t="s">
        <v>222</v>
      </c>
    </row>
    <row r="17" spans="1:13" s="12" customFormat="1" ht="30" customHeight="1" x14ac:dyDescent="0.3">
      <c r="A17" s="39" t="s">
        <v>1083</v>
      </c>
      <c r="B17" s="49" t="s">
        <v>455</v>
      </c>
      <c r="C17" s="39" t="s">
        <v>457</v>
      </c>
      <c r="D17" s="41">
        <v>16</v>
      </c>
      <c r="E17" s="41"/>
      <c r="F17" s="41"/>
      <c r="G17" s="41"/>
      <c r="H17" s="41">
        <f>+D17+E17+-F17</f>
        <v>16</v>
      </c>
      <c r="I17" s="42">
        <v>15</v>
      </c>
      <c r="J17" s="42">
        <f t="shared" si="0"/>
        <v>240</v>
      </c>
      <c r="K17" s="10"/>
      <c r="L17" s="10"/>
      <c r="M17" s="11" t="s">
        <v>454</v>
      </c>
    </row>
    <row r="18" spans="1:13" s="12" customFormat="1" ht="30" customHeight="1" x14ac:dyDescent="0.3">
      <c r="A18" s="39" t="s">
        <v>1081</v>
      </c>
      <c r="B18" s="49">
        <v>44193</v>
      </c>
      <c r="C18" s="39" t="s">
        <v>453</v>
      </c>
      <c r="D18" s="41">
        <v>29</v>
      </c>
      <c r="E18" s="41"/>
      <c r="F18" s="41">
        <f>1+14</f>
        <v>15</v>
      </c>
      <c r="G18" s="41"/>
      <c r="H18" s="41">
        <f>+D18+E18+-F18</f>
        <v>14</v>
      </c>
      <c r="I18" s="42">
        <v>15</v>
      </c>
      <c r="J18" s="42">
        <f t="shared" si="0"/>
        <v>210</v>
      </c>
      <c r="K18" s="10"/>
      <c r="L18" s="10"/>
      <c r="M18" s="11" t="s">
        <v>454</v>
      </c>
    </row>
    <row r="19" spans="1:13" s="12" customFormat="1" ht="30" customHeight="1" x14ac:dyDescent="0.3">
      <c r="A19" s="39" t="s">
        <v>1086</v>
      </c>
      <c r="B19" s="49">
        <v>44193</v>
      </c>
      <c r="C19" s="39" t="s">
        <v>460</v>
      </c>
      <c r="D19" s="41">
        <v>0</v>
      </c>
      <c r="E19" s="41"/>
      <c r="F19" s="41"/>
      <c r="G19" s="41"/>
      <c r="H19" s="41">
        <f>+D19+E19+-F19</f>
        <v>0</v>
      </c>
      <c r="I19" s="42">
        <v>11</v>
      </c>
      <c r="J19" s="42">
        <f t="shared" si="0"/>
        <v>0</v>
      </c>
      <c r="K19" s="10"/>
      <c r="L19" s="10"/>
      <c r="M19" s="11" t="s">
        <v>454</v>
      </c>
    </row>
    <row r="20" spans="1:13" s="12" customFormat="1" ht="30" customHeight="1" x14ac:dyDescent="0.3">
      <c r="A20" s="39" t="s">
        <v>1088</v>
      </c>
      <c r="B20" s="49">
        <v>44193</v>
      </c>
      <c r="C20" s="39" t="s">
        <v>462</v>
      </c>
      <c r="D20" s="41">
        <v>101</v>
      </c>
      <c r="E20" s="41"/>
      <c r="F20" s="41">
        <v>0</v>
      </c>
      <c r="G20" s="41"/>
      <c r="H20" s="41">
        <f>+D20+E20+-F20</f>
        <v>101</v>
      </c>
      <c r="I20" s="42">
        <v>15.84</v>
      </c>
      <c r="J20" s="42">
        <f t="shared" si="0"/>
        <v>1599.84</v>
      </c>
      <c r="K20" s="10"/>
      <c r="L20" s="10"/>
      <c r="M20" s="11" t="s">
        <v>454</v>
      </c>
    </row>
    <row r="21" spans="1:13" s="12" customFormat="1" ht="30" customHeight="1" x14ac:dyDescent="0.3">
      <c r="A21" s="39" t="s">
        <v>1089</v>
      </c>
      <c r="B21" s="49">
        <v>44193</v>
      </c>
      <c r="C21" s="39" t="s">
        <v>463</v>
      </c>
      <c r="D21" s="41">
        <f>39+4</f>
        <v>43</v>
      </c>
      <c r="E21" s="41"/>
      <c r="F21" s="41"/>
      <c r="G21" s="41"/>
      <c r="H21" s="41">
        <f>+D21+E21+-F21</f>
        <v>43</v>
      </c>
      <c r="I21" s="42">
        <v>22.41</v>
      </c>
      <c r="J21" s="42">
        <f t="shared" si="0"/>
        <v>963.63</v>
      </c>
      <c r="K21" s="10"/>
      <c r="L21" s="10"/>
      <c r="M21" s="11" t="s">
        <v>454</v>
      </c>
    </row>
    <row r="22" spans="1:13" s="12" customFormat="1" ht="30" customHeight="1" x14ac:dyDescent="0.3">
      <c r="A22" s="39" t="s">
        <v>1090</v>
      </c>
      <c r="B22" s="49">
        <v>44193</v>
      </c>
      <c r="C22" s="39" t="s">
        <v>464</v>
      </c>
      <c r="D22" s="41">
        <f>11+18+18+2+17</f>
        <v>66</v>
      </c>
      <c r="E22" s="41"/>
      <c r="F22" s="41"/>
      <c r="G22" s="41"/>
      <c r="H22" s="41">
        <f>+D22+E22+-F22</f>
        <v>66</v>
      </c>
      <c r="I22" s="42">
        <v>5.5</v>
      </c>
      <c r="J22" s="42">
        <f t="shared" si="0"/>
        <v>363</v>
      </c>
      <c r="K22" s="10"/>
      <c r="L22" s="10"/>
      <c r="M22" s="11" t="s">
        <v>454</v>
      </c>
    </row>
    <row r="23" spans="1:13" s="12" customFormat="1" ht="30" customHeight="1" x14ac:dyDescent="0.3">
      <c r="A23" s="39" t="s">
        <v>1082</v>
      </c>
      <c r="B23" s="49" t="s">
        <v>455</v>
      </c>
      <c r="C23" s="39" t="s">
        <v>456</v>
      </c>
      <c r="D23" s="41">
        <v>137</v>
      </c>
      <c r="E23" s="41"/>
      <c r="F23" s="41">
        <v>1</v>
      </c>
      <c r="G23" s="41"/>
      <c r="H23" s="41">
        <f>+D23+E23+-F23</f>
        <v>136</v>
      </c>
      <c r="I23" s="42">
        <v>5.17</v>
      </c>
      <c r="J23" s="42">
        <f t="shared" si="0"/>
        <v>703.12</v>
      </c>
      <c r="K23" s="10"/>
      <c r="L23" s="10"/>
      <c r="M23" s="11" t="s">
        <v>454</v>
      </c>
    </row>
    <row r="24" spans="1:13" s="12" customFormat="1" ht="30" customHeight="1" x14ac:dyDescent="0.3">
      <c r="A24" s="39" t="s">
        <v>1084</v>
      </c>
      <c r="B24" s="49">
        <v>44193</v>
      </c>
      <c r="C24" s="39" t="s">
        <v>458</v>
      </c>
      <c r="D24" s="41">
        <f>12+1+1</f>
        <v>14</v>
      </c>
      <c r="E24" s="41"/>
      <c r="F24" s="41"/>
      <c r="G24" s="41"/>
      <c r="H24" s="41">
        <f>+D24+E24+-F24</f>
        <v>14</v>
      </c>
      <c r="I24" s="42">
        <v>20</v>
      </c>
      <c r="J24" s="42">
        <f t="shared" si="0"/>
        <v>280</v>
      </c>
      <c r="K24" s="10"/>
      <c r="L24" s="10"/>
      <c r="M24" s="11" t="s">
        <v>454</v>
      </c>
    </row>
    <row r="25" spans="1:13" s="12" customFormat="1" ht="30" customHeight="1" x14ac:dyDescent="0.3">
      <c r="A25" s="39" t="s">
        <v>1085</v>
      </c>
      <c r="B25" s="49" t="s">
        <v>455</v>
      </c>
      <c r="C25" s="39" t="s">
        <v>459</v>
      </c>
      <c r="D25" s="41">
        <v>27</v>
      </c>
      <c r="E25" s="41"/>
      <c r="F25" s="41">
        <v>1</v>
      </c>
      <c r="G25" s="41"/>
      <c r="H25" s="41">
        <f>+D25+E25+-F25</f>
        <v>26</v>
      </c>
      <c r="I25" s="42">
        <v>15</v>
      </c>
      <c r="J25" s="42">
        <f t="shared" si="0"/>
        <v>390</v>
      </c>
      <c r="K25" s="10"/>
      <c r="L25" s="10"/>
      <c r="M25" s="11" t="s">
        <v>454</v>
      </c>
    </row>
    <row r="26" spans="1:13" s="12" customFormat="1" ht="30" customHeight="1" x14ac:dyDescent="0.3">
      <c r="A26" s="39" t="s">
        <v>1091</v>
      </c>
      <c r="B26" s="70"/>
      <c r="C26" s="67" t="s">
        <v>1733</v>
      </c>
      <c r="D26" s="64">
        <v>2</v>
      </c>
      <c r="E26" s="64"/>
      <c r="F26" s="64"/>
      <c r="G26" s="64"/>
      <c r="H26" s="64">
        <f>+D26+E26+-F26</f>
        <v>2</v>
      </c>
      <c r="I26" s="66"/>
      <c r="J26" s="66">
        <f t="shared" si="0"/>
        <v>0</v>
      </c>
      <c r="K26" s="15">
        <v>78.099999999999994</v>
      </c>
      <c r="L26" s="15">
        <f>+K26*H26</f>
        <v>156.19999999999999</v>
      </c>
      <c r="M26" s="16" t="s">
        <v>454</v>
      </c>
    </row>
    <row r="27" spans="1:13" s="12" customFormat="1" ht="30" customHeight="1" x14ac:dyDescent="0.3">
      <c r="A27" s="39" t="s">
        <v>1191</v>
      </c>
      <c r="B27" s="40"/>
      <c r="C27" s="39" t="s">
        <v>534</v>
      </c>
      <c r="D27" s="41">
        <v>2</v>
      </c>
      <c r="E27" s="41"/>
      <c r="F27" s="41"/>
      <c r="G27" s="41"/>
      <c r="H27" s="41">
        <f>+D27+E27+-F27</f>
        <v>2</v>
      </c>
      <c r="I27" s="42"/>
      <c r="J27" s="42">
        <f t="shared" si="0"/>
        <v>0</v>
      </c>
      <c r="K27" s="10"/>
      <c r="L27" s="10"/>
      <c r="M27" s="11" t="s">
        <v>535</v>
      </c>
    </row>
    <row r="28" spans="1:13" s="12" customFormat="1" ht="30" customHeight="1" x14ac:dyDescent="0.3">
      <c r="A28" s="39" t="s">
        <v>1087</v>
      </c>
      <c r="B28" s="49">
        <v>44193</v>
      </c>
      <c r="C28" s="39" t="s">
        <v>461</v>
      </c>
      <c r="D28" s="41">
        <v>24</v>
      </c>
      <c r="E28" s="41"/>
      <c r="F28" s="41">
        <f>1+1+1</f>
        <v>3</v>
      </c>
      <c r="G28" s="41"/>
      <c r="H28" s="41">
        <f>+D28+E28+-F28</f>
        <v>21</v>
      </c>
      <c r="I28" s="42">
        <v>78.099999999999994</v>
      </c>
      <c r="J28" s="42">
        <f t="shared" si="0"/>
        <v>1640.1</v>
      </c>
      <c r="K28" s="10"/>
      <c r="L28" s="10"/>
      <c r="M28" s="11" t="s">
        <v>454</v>
      </c>
    </row>
    <row r="29" spans="1:13" s="12" customFormat="1" ht="30" customHeight="1" x14ac:dyDescent="0.45">
      <c r="A29" s="39" t="s">
        <v>1667</v>
      </c>
      <c r="B29" s="50" t="s">
        <v>1659</v>
      </c>
      <c r="C29" s="51" t="s">
        <v>1679</v>
      </c>
      <c r="D29" s="52"/>
      <c r="E29" s="53">
        <v>30</v>
      </c>
      <c r="F29" s="53"/>
      <c r="G29" s="53"/>
      <c r="H29" s="68">
        <f>+D29+E29-F29</f>
        <v>30</v>
      </c>
      <c r="I29" s="54">
        <v>773.49</v>
      </c>
      <c r="J29" s="54">
        <f t="shared" si="0"/>
        <v>23204.7</v>
      </c>
      <c r="K29" s="22"/>
      <c r="L29" s="22"/>
      <c r="M29" s="11" t="s">
        <v>222</v>
      </c>
    </row>
    <row r="30" spans="1:13" s="12" customFormat="1" ht="30" customHeight="1" x14ac:dyDescent="0.3">
      <c r="A30" s="39" t="s">
        <v>824</v>
      </c>
      <c r="B30" s="49">
        <v>44193</v>
      </c>
      <c r="C30" s="45" t="s">
        <v>1662</v>
      </c>
      <c r="D30" s="41">
        <f>10+9+12</f>
        <v>31</v>
      </c>
      <c r="E30" s="41"/>
      <c r="F30" s="41">
        <v>17</v>
      </c>
      <c r="G30" s="41"/>
      <c r="H30" s="41">
        <f>+D30+E30+-F30</f>
        <v>14</v>
      </c>
      <c r="I30" s="42">
        <v>385</v>
      </c>
      <c r="J30" s="42">
        <f t="shared" si="0"/>
        <v>5390</v>
      </c>
      <c r="K30" s="10"/>
      <c r="L30" s="10"/>
      <c r="M30" s="11" t="s">
        <v>222</v>
      </c>
    </row>
    <row r="31" spans="1:13" s="12" customFormat="1" ht="30" customHeight="1" x14ac:dyDescent="0.3">
      <c r="A31" s="39" t="s">
        <v>825</v>
      </c>
      <c r="B31" s="49">
        <v>44193</v>
      </c>
      <c r="C31" s="45" t="s">
        <v>1663</v>
      </c>
      <c r="D31" s="41">
        <v>19</v>
      </c>
      <c r="E31" s="41"/>
      <c r="F31" s="41"/>
      <c r="G31" s="41"/>
      <c r="H31" s="41">
        <f>+D31+E31+-F31</f>
        <v>19</v>
      </c>
      <c r="I31" s="42">
        <v>385</v>
      </c>
      <c r="J31" s="42">
        <f t="shared" si="0"/>
        <v>7315</v>
      </c>
      <c r="K31" s="10"/>
      <c r="L31" s="10"/>
      <c r="M31" s="11" t="s">
        <v>222</v>
      </c>
    </row>
    <row r="32" spans="1:13" s="12" customFormat="1" ht="30" customHeight="1" x14ac:dyDescent="0.3">
      <c r="A32" s="39" t="s">
        <v>823</v>
      </c>
      <c r="B32" s="48">
        <v>45474</v>
      </c>
      <c r="C32" s="39" t="s">
        <v>1661</v>
      </c>
      <c r="D32" s="41">
        <v>19</v>
      </c>
      <c r="E32" s="41"/>
      <c r="F32" s="41">
        <f>7</f>
        <v>7</v>
      </c>
      <c r="G32" s="41"/>
      <c r="H32" s="41">
        <f>+D32+E32+-F32</f>
        <v>12</v>
      </c>
      <c r="I32" s="42">
        <v>188.8</v>
      </c>
      <c r="J32" s="42">
        <f t="shared" si="0"/>
        <v>2265.6000000000004</v>
      </c>
      <c r="K32" s="10"/>
      <c r="L32" s="10"/>
      <c r="M32" s="11" t="s">
        <v>222</v>
      </c>
    </row>
    <row r="33" spans="1:13" s="12" customFormat="1" ht="30" customHeight="1" x14ac:dyDescent="0.45">
      <c r="A33" s="39" t="s">
        <v>1668</v>
      </c>
      <c r="B33" s="50" t="s">
        <v>1659</v>
      </c>
      <c r="C33" s="51" t="s">
        <v>1680</v>
      </c>
      <c r="D33" s="52"/>
      <c r="E33" s="53">
        <v>30</v>
      </c>
      <c r="F33" s="53"/>
      <c r="G33" s="53"/>
      <c r="H33" s="68">
        <f>+D33+E33-F33</f>
        <v>30</v>
      </c>
      <c r="I33" s="54">
        <v>1636.5419999999999</v>
      </c>
      <c r="J33" s="54">
        <f t="shared" si="0"/>
        <v>49096.259999999995</v>
      </c>
      <c r="K33" s="22"/>
      <c r="L33" s="22"/>
      <c r="M33" s="11" t="s">
        <v>222</v>
      </c>
    </row>
    <row r="34" spans="1:13" s="12" customFormat="1" ht="30" customHeight="1" x14ac:dyDescent="0.3">
      <c r="A34" s="39" t="s">
        <v>1419</v>
      </c>
      <c r="B34" s="46">
        <v>45631</v>
      </c>
      <c r="C34" s="47" t="s">
        <v>1446</v>
      </c>
      <c r="D34" s="56">
        <v>10</v>
      </c>
      <c r="E34" s="41"/>
      <c r="F34" s="41">
        <v>10</v>
      </c>
      <c r="G34" s="41"/>
      <c r="H34" s="41">
        <f>+D34+E34-F34+G34</f>
        <v>0</v>
      </c>
      <c r="I34" s="55">
        <v>206.5</v>
      </c>
      <c r="J34" s="42">
        <f t="shared" si="0"/>
        <v>0</v>
      </c>
      <c r="K34" s="17"/>
      <c r="L34" s="17"/>
      <c r="M34" s="11" t="s">
        <v>1605</v>
      </c>
    </row>
    <row r="35" spans="1:13" s="12" customFormat="1" ht="30" customHeight="1" x14ac:dyDescent="0.3">
      <c r="A35" s="39" t="s">
        <v>762</v>
      </c>
      <c r="B35" s="40"/>
      <c r="C35" s="39" t="s">
        <v>172</v>
      </c>
      <c r="D35" s="41">
        <v>8</v>
      </c>
      <c r="E35" s="41"/>
      <c r="F35" s="41"/>
      <c r="G35" s="41"/>
      <c r="H35" s="41">
        <f>+D35+E35+-F35</f>
        <v>8</v>
      </c>
      <c r="I35" s="42">
        <v>157</v>
      </c>
      <c r="J35" s="42">
        <f t="shared" si="0"/>
        <v>1256</v>
      </c>
      <c r="K35" s="10"/>
      <c r="L35" s="10"/>
      <c r="M35" s="11" t="s">
        <v>169</v>
      </c>
    </row>
    <row r="36" spans="1:13" s="12" customFormat="1" ht="30" customHeight="1" x14ac:dyDescent="0.3">
      <c r="A36" s="39" t="s">
        <v>848</v>
      </c>
      <c r="B36" s="48">
        <v>45474</v>
      </c>
      <c r="C36" s="45" t="s">
        <v>246</v>
      </c>
      <c r="D36" s="41">
        <f>19-2</f>
        <v>17</v>
      </c>
      <c r="E36" s="41"/>
      <c r="F36" s="41">
        <f>1+1</f>
        <v>2</v>
      </c>
      <c r="G36" s="41"/>
      <c r="H36" s="41">
        <f>+D36+E36+-F36</f>
        <v>15</v>
      </c>
      <c r="I36" s="42">
        <v>64.900000000000006</v>
      </c>
      <c r="J36" s="42">
        <f t="shared" si="0"/>
        <v>973.50000000000011</v>
      </c>
      <c r="K36" s="10"/>
      <c r="L36" s="10"/>
      <c r="M36" s="11" t="s">
        <v>222</v>
      </c>
    </row>
    <row r="37" spans="1:13" s="12" customFormat="1" ht="30" customHeight="1" x14ac:dyDescent="0.45">
      <c r="A37" s="39" t="s">
        <v>1672</v>
      </c>
      <c r="B37" s="50">
        <v>45840</v>
      </c>
      <c r="C37" s="51" t="s">
        <v>1686</v>
      </c>
      <c r="D37" s="52"/>
      <c r="E37" s="53">
        <v>30</v>
      </c>
      <c r="F37" s="53"/>
      <c r="G37" s="53"/>
      <c r="H37" s="68">
        <f>+D37+E37-F37</f>
        <v>30</v>
      </c>
      <c r="I37" s="54">
        <v>293.11200000000002</v>
      </c>
      <c r="J37" s="54">
        <f t="shared" si="0"/>
        <v>8793.36</v>
      </c>
      <c r="K37" s="22"/>
      <c r="L37" s="22"/>
      <c r="M37" s="11" t="s">
        <v>222</v>
      </c>
    </row>
    <row r="38" spans="1:13" s="12" customFormat="1" ht="30" customHeight="1" x14ac:dyDescent="0.3">
      <c r="A38" s="39" t="s">
        <v>1332</v>
      </c>
      <c r="B38" s="46">
        <v>45621</v>
      </c>
      <c r="C38" s="47" t="s">
        <v>1337</v>
      </c>
      <c r="D38" s="39"/>
      <c r="E38" s="41">
        <v>4</v>
      </c>
      <c r="F38" s="41"/>
      <c r="G38" s="41"/>
      <c r="H38" s="41">
        <f>+D38+E38-F38+G38</f>
        <v>4</v>
      </c>
      <c r="I38" s="42">
        <v>843.75</v>
      </c>
      <c r="J38" s="42">
        <f t="shared" si="0"/>
        <v>3375</v>
      </c>
      <c r="K38" s="10"/>
      <c r="L38" s="10"/>
      <c r="M38" s="11" t="s">
        <v>1238</v>
      </c>
    </row>
    <row r="39" spans="1:13" s="12" customFormat="1" ht="30" customHeight="1" x14ac:dyDescent="0.3">
      <c r="A39" s="39" t="s">
        <v>592</v>
      </c>
      <c r="B39" s="40"/>
      <c r="C39" s="39" t="s">
        <v>26</v>
      </c>
      <c r="D39" s="41">
        <v>1</v>
      </c>
      <c r="E39" s="41"/>
      <c r="F39" s="41">
        <v>1</v>
      </c>
      <c r="G39" s="41"/>
      <c r="H39" s="41">
        <f>+D39+E39-F39</f>
        <v>0</v>
      </c>
      <c r="I39" s="42">
        <v>4415</v>
      </c>
      <c r="J39" s="42">
        <f t="shared" si="0"/>
        <v>0</v>
      </c>
      <c r="K39" s="10"/>
      <c r="L39" s="10"/>
      <c r="M39" s="11" t="s">
        <v>27</v>
      </c>
    </row>
    <row r="40" spans="1:13" s="12" customFormat="1" ht="30" customHeight="1" x14ac:dyDescent="0.3">
      <c r="A40" s="39" t="s">
        <v>593</v>
      </c>
      <c r="B40" s="48">
        <v>45518</v>
      </c>
      <c r="C40" s="39" t="s">
        <v>28</v>
      </c>
      <c r="D40" s="41">
        <f>8940-260-380-200</f>
        <v>8100</v>
      </c>
      <c r="E40" s="41">
        <v>500</v>
      </c>
      <c r="F40" s="41">
        <f>50+550+500+500+500</f>
        <v>2100</v>
      </c>
      <c r="G40" s="41"/>
      <c r="H40" s="41">
        <f>+D40+E40-F40</f>
        <v>6500</v>
      </c>
      <c r="I40" s="42">
        <v>23.52</v>
      </c>
      <c r="J40" s="42">
        <f t="shared" si="0"/>
        <v>152880</v>
      </c>
      <c r="K40" s="10"/>
      <c r="L40" s="10"/>
      <c r="M40" s="11" t="s">
        <v>27</v>
      </c>
    </row>
    <row r="41" spans="1:13" s="12" customFormat="1" ht="30" customHeight="1" x14ac:dyDescent="0.3">
      <c r="A41" s="39" t="s">
        <v>594</v>
      </c>
      <c r="B41" s="40"/>
      <c r="C41" s="39" t="s">
        <v>29</v>
      </c>
      <c r="D41" s="41">
        <v>200</v>
      </c>
      <c r="E41" s="41"/>
      <c r="F41" s="41"/>
      <c r="G41" s="41"/>
      <c r="H41" s="41">
        <f>+D41+E41-F41</f>
        <v>200</v>
      </c>
      <c r="I41" s="42">
        <v>55</v>
      </c>
      <c r="J41" s="42">
        <f t="shared" si="0"/>
        <v>11000</v>
      </c>
      <c r="K41" s="10"/>
      <c r="L41" s="10"/>
      <c r="M41" s="11" t="s">
        <v>27</v>
      </c>
    </row>
    <row r="42" spans="1:13" s="12" customFormat="1" ht="30" customHeight="1" x14ac:dyDescent="0.3">
      <c r="A42" s="39" t="s">
        <v>595</v>
      </c>
      <c r="B42" s="49" t="s">
        <v>6</v>
      </c>
      <c r="C42" s="39" t="s">
        <v>30</v>
      </c>
      <c r="D42" s="41">
        <f>1000-7-10</f>
        <v>983</v>
      </c>
      <c r="E42" s="41"/>
      <c r="F42" s="41">
        <v>200</v>
      </c>
      <c r="G42" s="41"/>
      <c r="H42" s="41">
        <f>+D42+E42-F42</f>
        <v>783</v>
      </c>
      <c r="I42" s="42">
        <v>61</v>
      </c>
      <c r="J42" s="42">
        <f t="shared" si="0"/>
        <v>47763</v>
      </c>
      <c r="K42" s="10"/>
      <c r="L42" s="10"/>
      <c r="M42" s="11" t="s">
        <v>27</v>
      </c>
    </row>
    <row r="43" spans="1:13" s="12" customFormat="1" ht="30" customHeight="1" x14ac:dyDescent="0.3">
      <c r="A43" s="39" t="s">
        <v>596</v>
      </c>
      <c r="B43" s="49" t="s">
        <v>6</v>
      </c>
      <c r="C43" s="39" t="s">
        <v>31</v>
      </c>
      <c r="D43" s="41">
        <v>0</v>
      </c>
      <c r="E43" s="41"/>
      <c r="F43" s="41"/>
      <c r="G43" s="41"/>
      <c r="H43" s="41">
        <f>+D43+E43-F43</f>
        <v>0</v>
      </c>
      <c r="I43" s="42">
        <v>7500</v>
      </c>
      <c r="J43" s="42">
        <f t="shared" si="0"/>
        <v>0</v>
      </c>
      <c r="K43" s="10"/>
      <c r="L43" s="10"/>
      <c r="M43" s="11" t="s">
        <v>27</v>
      </c>
    </row>
    <row r="44" spans="1:13" s="12" customFormat="1" ht="30" customHeight="1" x14ac:dyDescent="0.3">
      <c r="A44" s="39" t="s">
        <v>1505</v>
      </c>
      <c r="B44" s="50">
        <v>45631</v>
      </c>
      <c r="C44" s="51" t="s">
        <v>1491</v>
      </c>
      <c r="D44" s="52"/>
      <c r="E44" s="53">
        <f>500*3</f>
        <v>1500</v>
      </c>
      <c r="F44" s="53">
        <f>500+500</f>
        <v>1000</v>
      </c>
      <c r="G44" s="53"/>
      <c r="H44" s="41">
        <f>+D44+E44-F44+G44</f>
        <v>500</v>
      </c>
      <c r="I44" s="54">
        <v>8.39</v>
      </c>
      <c r="J44" s="55">
        <f t="shared" si="0"/>
        <v>4195</v>
      </c>
      <c r="K44" s="13"/>
      <c r="L44" s="13"/>
      <c r="M44" s="20" t="s">
        <v>27</v>
      </c>
    </row>
    <row r="45" spans="1:13" s="12" customFormat="1" ht="30" customHeight="1" x14ac:dyDescent="0.3">
      <c r="A45" s="39" t="s">
        <v>597</v>
      </c>
      <c r="B45" s="49" t="s">
        <v>6</v>
      </c>
      <c r="C45" s="39" t="s">
        <v>32</v>
      </c>
      <c r="D45" s="41">
        <v>100</v>
      </c>
      <c r="E45" s="41"/>
      <c r="F45" s="41">
        <v>10</v>
      </c>
      <c r="G45" s="41"/>
      <c r="H45" s="41">
        <f>+D45+E45-F45</f>
        <v>90</v>
      </c>
      <c r="I45" s="42">
        <v>98.42</v>
      </c>
      <c r="J45" s="42">
        <f t="shared" si="0"/>
        <v>8857.7999999999993</v>
      </c>
      <c r="K45" s="10"/>
      <c r="L45" s="10"/>
      <c r="M45" s="11" t="s">
        <v>27</v>
      </c>
    </row>
    <row r="46" spans="1:13" s="12" customFormat="1" ht="30" customHeight="1" x14ac:dyDescent="0.3">
      <c r="A46" s="39" t="s">
        <v>598</v>
      </c>
      <c r="B46" s="40"/>
      <c r="C46" s="39" t="s">
        <v>33</v>
      </c>
      <c r="D46" s="41">
        <v>1</v>
      </c>
      <c r="E46" s="41"/>
      <c r="F46" s="41"/>
      <c r="G46" s="41"/>
      <c r="H46" s="41">
        <f>+D46+E46-F46</f>
        <v>1</v>
      </c>
      <c r="I46" s="42">
        <v>18600</v>
      </c>
      <c r="J46" s="42">
        <f t="shared" si="0"/>
        <v>18600</v>
      </c>
      <c r="K46" s="10"/>
      <c r="L46" s="10"/>
      <c r="M46" s="11" t="s">
        <v>27</v>
      </c>
    </row>
    <row r="47" spans="1:13" s="12" customFormat="1" ht="30" customHeight="1" x14ac:dyDescent="0.45">
      <c r="A47" s="39" t="s">
        <v>1649</v>
      </c>
      <c r="B47" s="89"/>
      <c r="C47" s="51" t="s">
        <v>1644</v>
      </c>
      <c r="D47" s="52">
        <v>25</v>
      </c>
      <c r="E47" s="41"/>
      <c r="F47" s="41">
        <v>1</v>
      </c>
      <c r="G47" s="41"/>
      <c r="H47" s="68">
        <f>+D47+E47-F47</f>
        <v>24</v>
      </c>
      <c r="I47" s="55"/>
      <c r="J47" s="55">
        <f t="shared" si="0"/>
        <v>0</v>
      </c>
      <c r="K47" s="22"/>
      <c r="L47" s="22"/>
      <c r="M47" s="11" t="s">
        <v>313</v>
      </c>
    </row>
    <row r="48" spans="1:13" s="12" customFormat="1" ht="30" customHeight="1" x14ac:dyDescent="0.3">
      <c r="A48" s="39" t="s">
        <v>1552</v>
      </c>
      <c r="B48" s="50" t="s">
        <v>1561</v>
      </c>
      <c r="C48" s="51" t="s">
        <v>1565</v>
      </c>
      <c r="D48" s="52"/>
      <c r="E48" s="53">
        <v>10</v>
      </c>
      <c r="F48" s="53"/>
      <c r="G48" s="53"/>
      <c r="H48" s="41">
        <f>+D48+E48-F48+G48</f>
        <v>10</v>
      </c>
      <c r="I48" s="54">
        <v>197.65</v>
      </c>
      <c r="J48" s="55">
        <f t="shared" si="0"/>
        <v>1976.5</v>
      </c>
      <c r="K48" s="13"/>
      <c r="L48" s="13"/>
      <c r="M48" s="11" t="s">
        <v>115</v>
      </c>
    </row>
    <row r="49" spans="1:13" s="12" customFormat="1" ht="30" customHeight="1" x14ac:dyDescent="0.3">
      <c r="A49" s="39" t="s">
        <v>924</v>
      </c>
      <c r="B49" s="49">
        <v>44193</v>
      </c>
      <c r="C49" s="39" t="s">
        <v>1564</v>
      </c>
      <c r="D49" s="41">
        <v>8</v>
      </c>
      <c r="E49" s="41"/>
      <c r="F49" s="41"/>
      <c r="G49" s="41"/>
      <c r="H49" s="41">
        <f>+D49+E49+-F49</f>
        <v>8</v>
      </c>
      <c r="I49" s="42">
        <v>200</v>
      </c>
      <c r="J49" s="42">
        <f t="shared" si="0"/>
        <v>1600</v>
      </c>
      <c r="K49" s="10"/>
      <c r="L49" s="10"/>
      <c r="M49" s="11" t="s">
        <v>313</v>
      </c>
    </row>
    <row r="50" spans="1:13" s="12" customFormat="1" ht="30" customHeight="1" x14ac:dyDescent="0.3">
      <c r="A50" s="39" t="s">
        <v>862</v>
      </c>
      <c r="B50" s="40"/>
      <c r="C50" s="39" t="s">
        <v>259</v>
      </c>
      <c r="D50" s="41">
        <v>0</v>
      </c>
      <c r="E50" s="41"/>
      <c r="F50" s="41"/>
      <c r="G50" s="41"/>
      <c r="H50" s="41">
        <f>+D50+E50+-F50</f>
        <v>0</v>
      </c>
      <c r="I50" s="42"/>
      <c r="J50" s="42">
        <f t="shared" si="0"/>
        <v>0</v>
      </c>
      <c r="K50" s="10"/>
      <c r="L50" s="10"/>
      <c r="M50" s="11" t="s">
        <v>248</v>
      </c>
    </row>
    <row r="51" spans="1:13" s="12" customFormat="1" ht="30" customHeight="1" x14ac:dyDescent="0.3">
      <c r="A51" s="39" t="s">
        <v>863</v>
      </c>
      <c r="B51" s="40"/>
      <c r="C51" s="39" t="s">
        <v>260</v>
      </c>
      <c r="D51" s="41">
        <f>7-1-3</f>
        <v>3</v>
      </c>
      <c r="E51" s="41"/>
      <c r="F51" s="41">
        <v>3</v>
      </c>
      <c r="G51" s="41"/>
      <c r="H51" s="41">
        <f>+D51+E51+-F51</f>
        <v>0</v>
      </c>
      <c r="I51" s="42">
        <v>75</v>
      </c>
      <c r="J51" s="42">
        <f t="shared" si="0"/>
        <v>0</v>
      </c>
      <c r="K51" s="10"/>
      <c r="L51" s="10"/>
      <c r="M51" s="11" t="s">
        <v>248</v>
      </c>
    </row>
    <row r="52" spans="1:13" s="12" customFormat="1" ht="30" customHeight="1" x14ac:dyDescent="0.3">
      <c r="A52" s="39" t="s">
        <v>1591</v>
      </c>
      <c r="B52" s="50" t="s">
        <v>1600</v>
      </c>
      <c r="C52" s="51" t="s">
        <v>1596</v>
      </c>
      <c r="D52" s="52"/>
      <c r="E52" s="53">
        <v>75</v>
      </c>
      <c r="F52" s="53">
        <f>3+1+3+12+3+3+2+3+2+2+2+2+2+2+22+2+3</f>
        <v>69</v>
      </c>
      <c r="G52" s="53"/>
      <c r="H52" s="41">
        <f>+D52+E52-F52+G52</f>
        <v>6</v>
      </c>
      <c r="I52" s="54">
        <v>167.56</v>
      </c>
      <c r="J52" s="55">
        <f t="shared" si="0"/>
        <v>1005.36</v>
      </c>
      <c r="K52" s="13"/>
      <c r="L52" s="13"/>
      <c r="M52" s="11" t="s">
        <v>248</v>
      </c>
    </row>
    <row r="53" spans="1:13" s="12" customFormat="1" ht="30" customHeight="1" x14ac:dyDescent="0.3">
      <c r="A53" s="39" t="s">
        <v>864</v>
      </c>
      <c r="B53" s="40"/>
      <c r="C53" s="45" t="s">
        <v>261</v>
      </c>
      <c r="D53" s="41">
        <v>0</v>
      </c>
      <c r="E53" s="41"/>
      <c r="F53" s="41"/>
      <c r="G53" s="41"/>
      <c r="H53" s="41">
        <f>+D53+E53+-F53</f>
        <v>0</v>
      </c>
      <c r="I53" s="42"/>
      <c r="J53" s="42">
        <f t="shared" si="0"/>
        <v>0</v>
      </c>
      <c r="K53" s="10"/>
      <c r="L53" s="10"/>
      <c r="M53" s="11" t="s">
        <v>248</v>
      </c>
    </row>
    <row r="54" spans="1:13" s="12" customFormat="1" ht="20.25" x14ac:dyDescent="0.3">
      <c r="A54" s="39" t="s">
        <v>1096</v>
      </c>
      <c r="B54" s="49" t="s">
        <v>6</v>
      </c>
      <c r="C54" s="39" t="s">
        <v>1274</v>
      </c>
      <c r="D54" s="41">
        <v>12</v>
      </c>
      <c r="E54" s="41"/>
      <c r="F54" s="41">
        <v>1</v>
      </c>
      <c r="G54" s="41"/>
      <c r="H54" s="41">
        <f>+D54+E54+-F54</f>
        <v>11</v>
      </c>
      <c r="I54" s="42">
        <v>30</v>
      </c>
      <c r="J54" s="42">
        <f t="shared" si="0"/>
        <v>330</v>
      </c>
      <c r="K54" s="10"/>
      <c r="L54" s="10"/>
      <c r="M54" s="11" t="s">
        <v>454</v>
      </c>
    </row>
    <row r="55" spans="1:13" s="12" customFormat="1" ht="30" customHeight="1" x14ac:dyDescent="0.3">
      <c r="A55" s="39" t="s">
        <v>764</v>
      </c>
      <c r="B55" s="48">
        <v>45499</v>
      </c>
      <c r="C55" s="39" t="s">
        <v>174</v>
      </c>
      <c r="D55" s="41">
        <v>200</v>
      </c>
      <c r="E55" s="41"/>
      <c r="F55" s="41">
        <v>200</v>
      </c>
      <c r="G55" s="41"/>
      <c r="H55" s="41">
        <f>+D55+E55+-F55</f>
        <v>0</v>
      </c>
      <c r="I55" s="42">
        <v>70.8</v>
      </c>
      <c r="J55" s="42">
        <f t="shared" si="0"/>
        <v>0</v>
      </c>
      <c r="K55" s="10"/>
      <c r="L55" s="10"/>
      <c r="M55" s="11" t="s">
        <v>169</v>
      </c>
    </row>
    <row r="56" spans="1:13" s="12" customFormat="1" ht="24.75" customHeight="1" x14ac:dyDescent="0.3">
      <c r="A56" s="39" t="s">
        <v>1414</v>
      </c>
      <c r="B56" s="46">
        <v>45631</v>
      </c>
      <c r="C56" s="47" t="s">
        <v>1442</v>
      </c>
      <c r="D56" s="56">
        <v>1</v>
      </c>
      <c r="E56" s="41"/>
      <c r="F56" s="41">
        <v>1</v>
      </c>
      <c r="G56" s="41"/>
      <c r="H56" s="41">
        <f>+D56+E56-F56+G56</f>
        <v>0</v>
      </c>
      <c r="I56" s="42">
        <v>4425</v>
      </c>
      <c r="J56" s="42">
        <f t="shared" si="0"/>
        <v>0</v>
      </c>
      <c r="K56" s="10"/>
      <c r="L56" s="10"/>
      <c r="M56" s="11" t="s">
        <v>1605</v>
      </c>
    </row>
    <row r="57" spans="1:13" s="12" customFormat="1" ht="37.5" customHeight="1" x14ac:dyDescent="0.3">
      <c r="A57" s="39" t="s">
        <v>925</v>
      </c>
      <c r="B57" s="40" t="s">
        <v>273</v>
      </c>
      <c r="C57" s="39" t="s">
        <v>314</v>
      </c>
      <c r="D57" s="41">
        <v>45</v>
      </c>
      <c r="E57" s="41"/>
      <c r="F57" s="41">
        <f>1+1+1+1+1+1+1</f>
        <v>7</v>
      </c>
      <c r="G57" s="41"/>
      <c r="H57" s="41">
        <f>+D57+E57+-F57</f>
        <v>38</v>
      </c>
      <c r="I57" s="42">
        <v>28.91</v>
      </c>
      <c r="J57" s="42">
        <f t="shared" si="0"/>
        <v>1098.58</v>
      </c>
      <c r="K57" s="10"/>
      <c r="L57" s="10"/>
      <c r="M57" s="11" t="s">
        <v>313</v>
      </c>
    </row>
    <row r="58" spans="1:13" s="12" customFormat="1" ht="43.5" customHeight="1" x14ac:dyDescent="0.3">
      <c r="A58" s="39" t="s">
        <v>926</v>
      </c>
      <c r="B58" s="40" t="s">
        <v>315</v>
      </c>
      <c r="C58" s="39" t="s">
        <v>316</v>
      </c>
      <c r="D58" s="41">
        <v>39</v>
      </c>
      <c r="E58" s="41"/>
      <c r="F58" s="41"/>
      <c r="G58" s="41"/>
      <c r="H58" s="41">
        <f>+D58+E58+-F58</f>
        <v>39</v>
      </c>
      <c r="I58" s="42">
        <v>26</v>
      </c>
      <c r="J58" s="42">
        <f t="shared" si="0"/>
        <v>1014</v>
      </c>
      <c r="K58" s="10"/>
      <c r="L58" s="10"/>
      <c r="M58" s="11" t="s">
        <v>313</v>
      </c>
    </row>
    <row r="59" spans="1:13" s="12" customFormat="1" ht="45" customHeight="1" x14ac:dyDescent="0.3">
      <c r="A59" s="39" t="s">
        <v>1079</v>
      </c>
      <c r="B59" s="40"/>
      <c r="C59" s="39" t="s">
        <v>450</v>
      </c>
      <c r="D59" s="41">
        <v>5</v>
      </c>
      <c r="E59" s="41"/>
      <c r="F59" s="41"/>
      <c r="G59" s="41"/>
      <c r="H59" s="41">
        <f>+D59+E59+-F59</f>
        <v>5</v>
      </c>
      <c r="I59" s="42"/>
      <c r="J59" s="42">
        <f t="shared" si="0"/>
        <v>0</v>
      </c>
      <c r="K59" s="10"/>
      <c r="L59" s="10"/>
      <c r="M59" s="11" t="s">
        <v>451</v>
      </c>
    </row>
    <row r="60" spans="1:13" s="12" customFormat="1" ht="40.5" customHeight="1" x14ac:dyDescent="0.3">
      <c r="A60" s="39" t="s">
        <v>927</v>
      </c>
      <c r="B60" s="40"/>
      <c r="C60" s="39" t="s">
        <v>317</v>
      </c>
      <c r="D60" s="41">
        <v>26</v>
      </c>
      <c r="E60" s="41"/>
      <c r="F60" s="41"/>
      <c r="G60" s="41"/>
      <c r="H60" s="41">
        <f>+D60+E60+-F60</f>
        <v>26</v>
      </c>
      <c r="I60" s="42">
        <v>26</v>
      </c>
      <c r="J60" s="42">
        <f t="shared" si="0"/>
        <v>676</v>
      </c>
      <c r="K60" s="10"/>
      <c r="L60" s="10"/>
      <c r="M60" s="11" t="s">
        <v>313</v>
      </c>
    </row>
    <row r="61" spans="1:13" s="12" customFormat="1" ht="30" customHeight="1" x14ac:dyDescent="0.3">
      <c r="A61" s="39" t="s">
        <v>728</v>
      </c>
      <c r="B61" s="40"/>
      <c r="C61" s="39" t="s">
        <v>143</v>
      </c>
      <c r="D61" s="41">
        <v>4</v>
      </c>
      <c r="E61" s="41"/>
      <c r="F61" s="41">
        <v>1</v>
      </c>
      <c r="G61" s="41"/>
      <c r="H61" s="41">
        <f>+D61+E61-F61</f>
        <v>3</v>
      </c>
      <c r="I61" s="42"/>
      <c r="J61" s="42">
        <f t="shared" si="0"/>
        <v>0</v>
      </c>
      <c r="K61" s="10"/>
      <c r="L61" s="10"/>
      <c r="M61" s="11" t="s">
        <v>1238</v>
      </c>
    </row>
    <row r="62" spans="1:13" s="12" customFormat="1" ht="30" customHeight="1" x14ac:dyDescent="0.3">
      <c r="A62" s="39" t="s">
        <v>865</v>
      </c>
      <c r="B62" s="49" t="s">
        <v>6</v>
      </c>
      <c r="C62" s="39" t="s">
        <v>262</v>
      </c>
      <c r="D62" s="41">
        <v>5</v>
      </c>
      <c r="E62" s="41"/>
      <c r="F62" s="41">
        <v>1</v>
      </c>
      <c r="G62" s="41"/>
      <c r="H62" s="41">
        <f>+D62+E62+-F62</f>
        <v>4</v>
      </c>
      <c r="I62" s="42"/>
      <c r="J62" s="42">
        <f t="shared" si="0"/>
        <v>0</v>
      </c>
      <c r="K62" s="10"/>
      <c r="L62" s="10"/>
      <c r="M62" s="11" t="s">
        <v>248</v>
      </c>
    </row>
    <row r="63" spans="1:13" s="12" customFormat="1" ht="30" customHeight="1" x14ac:dyDescent="0.3">
      <c r="A63" s="39" t="s">
        <v>866</v>
      </c>
      <c r="B63" s="49" t="s">
        <v>6</v>
      </c>
      <c r="C63" s="39" t="s">
        <v>263</v>
      </c>
      <c r="D63" s="41">
        <v>7</v>
      </c>
      <c r="E63" s="41"/>
      <c r="F63" s="41">
        <v>1</v>
      </c>
      <c r="G63" s="41"/>
      <c r="H63" s="41">
        <f>+D63+E63+-F63</f>
        <v>6</v>
      </c>
      <c r="I63" s="42">
        <v>79</v>
      </c>
      <c r="J63" s="42">
        <f t="shared" si="0"/>
        <v>474</v>
      </c>
      <c r="K63" s="10"/>
      <c r="L63" s="10"/>
      <c r="M63" s="11" t="s">
        <v>248</v>
      </c>
    </row>
    <row r="64" spans="1:13" s="12" customFormat="1" ht="30" customHeight="1" x14ac:dyDescent="0.3">
      <c r="A64" s="39" t="s">
        <v>599</v>
      </c>
      <c r="B64" s="40"/>
      <c r="C64" s="39" t="s">
        <v>34</v>
      </c>
      <c r="D64" s="41">
        <f>3-1</f>
        <v>2</v>
      </c>
      <c r="E64" s="41"/>
      <c r="F64" s="41"/>
      <c r="G64" s="41"/>
      <c r="H64" s="41">
        <f>+D64+E64-F64</f>
        <v>2</v>
      </c>
      <c r="I64" s="42">
        <v>2600</v>
      </c>
      <c r="J64" s="42">
        <f t="shared" si="0"/>
        <v>5200</v>
      </c>
      <c r="K64" s="10"/>
      <c r="L64" s="10"/>
      <c r="M64" s="11" t="s">
        <v>27</v>
      </c>
    </row>
    <row r="65" spans="1:13" s="12" customFormat="1" ht="30" customHeight="1" x14ac:dyDescent="0.3">
      <c r="A65" s="39" t="s">
        <v>600</v>
      </c>
      <c r="B65" s="40"/>
      <c r="C65" s="39" t="s">
        <v>35</v>
      </c>
      <c r="D65" s="41">
        <v>11</v>
      </c>
      <c r="E65" s="41"/>
      <c r="F65" s="41"/>
      <c r="G65" s="41"/>
      <c r="H65" s="41">
        <f>+D65+E65-F65</f>
        <v>11</v>
      </c>
      <c r="I65" s="42">
        <v>84</v>
      </c>
      <c r="J65" s="42">
        <f t="shared" si="0"/>
        <v>924</v>
      </c>
      <c r="K65" s="10"/>
      <c r="L65" s="10"/>
      <c r="M65" s="11" t="s">
        <v>27</v>
      </c>
    </row>
    <row r="66" spans="1:13" s="12" customFormat="1" ht="30" customHeight="1" x14ac:dyDescent="0.3">
      <c r="A66" s="39" t="s">
        <v>1213</v>
      </c>
      <c r="B66" s="40"/>
      <c r="C66" s="39" t="s">
        <v>557</v>
      </c>
      <c r="D66" s="41">
        <v>1</v>
      </c>
      <c r="E66" s="41"/>
      <c r="F66" s="41"/>
      <c r="G66" s="41"/>
      <c r="H66" s="41">
        <f>+D66+E66+-F66</f>
        <v>1</v>
      </c>
      <c r="I66" s="42">
        <v>850</v>
      </c>
      <c r="J66" s="42">
        <f t="shared" si="0"/>
        <v>850</v>
      </c>
      <c r="K66" s="10"/>
      <c r="L66" s="10"/>
      <c r="M66" s="11" t="s">
        <v>555</v>
      </c>
    </row>
    <row r="67" spans="1:13" s="12" customFormat="1" ht="30" customHeight="1" x14ac:dyDescent="0.3">
      <c r="A67" s="39" t="s">
        <v>1211</v>
      </c>
      <c r="B67" s="40"/>
      <c r="C67" s="39" t="s">
        <v>554</v>
      </c>
      <c r="D67" s="41">
        <v>1</v>
      </c>
      <c r="E67" s="41"/>
      <c r="F67" s="41"/>
      <c r="G67" s="41"/>
      <c r="H67" s="41">
        <f>+D67+E67+-F67</f>
        <v>1</v>
      </c>
      <c r="I67" s="42">
        <v>850</v>
      </c>
      <c r="J67" s="42">
        <f t="shared" si="0"/>
        <v>850</v>
      </c>
      <c r="K67" s="10"/>
      <c r="L67" s="10"/>
      <c r="M67" s="11" t="s">
        <v>555</v>
      </c>
    </row>
    <row r="68" spans="1:13" s="12" customFormat="1" ht="30" customHeight="1" x14ac:dyDescent="0.3">
      <c r="A68" s="39" t="s">
        <v>1212</v>
      </c>
      <c r="B68" s="40"/>
      <c r="C68" s="39" t="s">
        <v>556</v>
      </c>
      <c r="D68" s="41">
        <v>1</v>
      </c>
      <c r="E68" s="41"/>
      <c r="F68" s="41"/>
      <c r="G68" s="41"/>
      <c r="H68" s="41">
        <f>+D68+E68+-F68</f>
        <v>1</v>
      </c>
      <c r="I68" s="42">
        <v>850</v>
      </c>
      <c r="J68" s="42">
        <f t="shared" si="0"/>
        <v>850</v>
      </c>
      <c r="K68" s="10"/>
      <c r="L68" s="10"/>
      <c r="M68" s="11" t="s">
        <v>555</v>
      </c>
    </row>
    <row r="69" spans="1:13" s="12" customFormat="1" ht="30" customHeight="1" x14ac:dyDescent="0.3">
      <c r="A69" s="39" t="s">
        <v>1214</v>
      </c>
      <c r="B69" s="40"/>
      <c r="C69" s="39" t="s">
        <v>558</v>
      </c>
      <c r="D69" s="41">
        <v>1</v>
      </c>
      <c r="E69" s="41"/>
      <c r="F69" s="41"/>
      <c r="G69" s="41"/>
      <c r="H69" s="41">
        <f>+D69+E69+-F69</f>
        <v>1</v>
      </c>
      <c r="I69" s="42">
        <v>850</v>
      </c>
      <c r="J69" s="42">
        <f t="shared" si="0"/>
        <v>850</v>
      </c>
      <c r="K69" s="10"/>
      <c r="L69" s="10"/>
      <c r="M69" s="11" t="s">
        <v>555</v>
      </c>
    </row>
    <row r="70" spans="1:13" s="12" customFormat="1" ht="30" customHeight="1" x14ac:dyDescent="0.3">
      <c r="A70" s="39" t="s">
        <v>733</v>
      </c>
      <c r="B70" s="40"/>
      <c r="C70" s="39" t="s">
        <v>146</v>
      </c>
      <c r="D70" s="41">
        <v>10</v>
      </c>
      <c r="E70" s="41"/>
      <c r="F70" s="41">
        <f>1+5</f>
        <v>6</v>
      </c>
      <c r="G70" s="41"/>
      <c r="H70" s="41">
        <f>+D70+E70-F70</f>
        <v>4</v>
      </c>
      <c r="I70" s="42">
        <v>95</v>
      </c>
      <c r="J70" s="42">
        <f t="shared" si="0"/>
        <v>380</v>
      </c>
      <c r="K70" s="10"/>
      <c r="L70" s="10"/>
      <c r="M70" s="11" t="s">
        <v>147</v>
      </c>
    </row>
    <row r="71" spans="1:13" s="12" customFormat="1" ht="30" customHeight="1" x14ac:dyDescent="0.3">
      <c r="A71" s="39" t="s">
        <v>1029</v>
      </c>
      <c r="B71" s="40" t="s">
        <v>6</v>
      </c>
      <c r="C71" s="39" t="s">
        <v>1628</v>
      </c>
      <c r="D71" s="41">
        <v>22</v>
      </c>
      <c r="E71" s="41"/>
      <c r="F71" s="41"/>
      <c r="G71" s="41"/>
      <c r="H71" s="41">
        <f>+D71+E71+-F71</f>
        <v>22</v>
      </c>
      <c r="I71" s="42">
        <v>27</v>
      </c>
      <c r="J71" s="42">
        <f t="shared" ref="J71:J134" si="1">+H71*I71</f>
        <v>594</v>
      </c>
      <c r="K71" s="10"/>
      <c r="L71" s="10"/>
      <c r="M71" s="11" t="s">
        <v>27</v>
      </c>
    </row>
    <row r="72" spans="1:13" s="12" customFormat="1" ht="30" customHeight="1" x14ac:dyDescent="0.3">
      <c r="A72" s="39" t="s">
        <v>660</v>
      </c>
      <c r="B72" s="59">
        <v>45469</v>
      </c>
      <c r="C72" s="45" t="s">
        <v>1629</v>
      </c>
      <c r="D72" s="41">
        <v>110</v>
      </c>
      <c r="E72" s="41"/>
      <c r="F72" s="41">
        <f>3+4+10+12+8+2+2</f>
        <v>41</v>
      </c>
      <c r="G72" s="41"/>
      <c r="H72" s="41">
        <f>+D72+E72-F72</f>
        <v>69</v>
      </c>
      <c r="I72" s="42">
        <v>61.51</v>
      </c>
      <c r="J72" s="42">
        <f t="shared" si="1"/>
        <v>4244.1899999999996</v>
      </c>
      <c r="K72" s="10"/>
      <c r="L72" s="10"/>
      <c r="M72" s="11" t="s">
        <v>27</v>
      </c>
    </row>
    <row r="73" spans="1:13" s="12" customFormat="1" ht="30" customHeight="1" x14ac:dyDescent="0.3">
      <c r="A73" s="39" t="s">
        <v>661</v>
      </c>
      <c r="B73" s="59">
        <v>45469</v>
      </c>
      <c r="C73" s="45" t="s">
        <v>1630</v>
      </c>
      <c r="D73" s="41">
        <f>102-2-4</f>
        <v>96</v>
      </c>
      <c r="E73" s="41"/>
      <c r="F73" s="41">
        <f>6+4+3</f>
        <v>13</v>
      </c>
      <c r="G73" s="41"/>
      <c r="H73" s="41">
        <f>+D73+E73-F73</f>
        <v>83</v>
      </c>
      <c r="I73" s="42">
        <v>61</v>
      </c>
      <c r="J73" s="42">
        <f t="shared" si="1"/>
        <v>5063</v>
      </c>
      <c r="K73" s="10"/>
      <c r="L73" s="10"/>
      <c r="M73" s="11" t="s">
        <v>27</v>
      </c>
    </row>
    <row r="74" spans="1:13" s="12" customFormat="1" ht="30" customHeight="1" x14ac:dyDescent="0.3">
      <c r="A74" s="39" t="s">
        <v>662</v>
      </c>
      <c r="B74" s="40"/>
      <c r="C74" s="45" t="s">
        <v>1631</v>
      </c>
      <c r="D74" s="41">
        <v>24</v>
      </c>
      <c r="E74" s="41"/>
      <c r="F74" s="41"/>
      <c r="G74" s="41"/>
      <c r="H74" s="41">
        <f>+D74+E74-F74</f>
        <v>24</v>
      </c>
      <c r="I74" s="42">
        <v>67</v>
      </c>
      <c r="J74" s="42">
        <f t="shared" si="1"/>
        <v>1608</v>
      </c>
      <c r="K74" s="10"/>
      <c r="L74" s="10"/>
      <c r="M74" s="11" t="s">
        <v>27</v>
      </c>
    </row>
    <row r="75" spans="1:13" s="12" customFormat="1" ht="30" customHeight="1" x14ac:dyDescent="0.3">
      <c r="A75" s="39" t="s">
        <v>928</v>
      </c>
      <c r="B75" s="40" t="s">
        <v>318</v>
      </c>
      <c r="C75" s="39" t="s">
        <v>319</v>
      </c>
      <c r="D75" s="41">
        <v>8</v>
      </c>
      <c r="E75" s="41"/>
      <c r="F75" s="41"/>
      <c r="G75" s="41"/>
      <c r="H75" s="41">
        <f>+D75+E75+-F75</f>
        <v>8</v>
      </c>
      <c r="I75" s="42">
        <v>155</v>
      </c>
      <c r="J75" s="42">
        <f t="shared" si="1"/>
        <v>1240</v>
      </c>
      <c r="K75" s="10"/>
      <c r="L75" s="10"/>
      <c r="M75" s="11" t="s">
        <v>313</v>
      </c>
    </row>
    <row r="76" spans="1:13" s="12" customFormat="1" ht="30" customHeight="1" x14ac:dyDescent="0.3">
      <c r="A76" s="39" t="s">
        <v>929</v>
      </c>
      <c r="B76" s="40"/>
      <c r="C76" s="39" t="s">
        <v>320</v>
      </c>
      <c r="D76" s="41">
        <v>48</v>
      </c>
      <c r="E76" s="41"/>
      <c r="F76" s="41">
        <v>5</v>
      </c>
      <c r="G76" s="41"/>
      <c r="H76" s="41">
        <f>+D76+E76+-F76</f>
        <v>43</v>
      </c>
      <c r="I76" s="42">
        <v>38</v>
      </c>
      <c r="J76" s="42">
        <f t="shared" si="1"/>
        <v>1634</v>
      </c>
      <c r="K76" s="10"/>
      <c r="L76" s="10"/>
      <c r="M76" s="11" t="s">
        <v>313</v>
      </c>
    </row>
    <row r="77" spans="1:13" s="12" customFormat="1" ht="30" customHeight="1" x14ac:dyDescent="0.3">
      <c r="A77" s="39" t="s">
        <v>930</v>
      </c>
      <c r="B77" s="40"/>
      <c r="C77" s="39" t="s">
        <v>321</v>
      </c>
      <c r="D77" s="41">
        <v>46</v>
      </c>
      <c r="E77" s="41"/>
      <c r="F77" s="41">
        <v>3</v>
      </c>
      <c r="G77" s="41"/>
      <c r="H77" s="41">
        <f>+D77+E77+-F77</f>
        <v>43</v>
      </c>
      <c r="I77" s="42">
        <v>65</v>
      </c>
      <c r="J77" s="42">
        <f t="shared" si="1"/>
        <v>2795</v>
      </c>
      <c r="K77" s="10"/>
      <c r="L77" s="10"/>
      <c r="M77" s="11" t="s">
        <v>313</v>
      </c>
    </row>
    <row r="78" spans="1:13" s="12" customFormat="1" ht="30" customHeight="1" x14ac:dyDescent="0.3">
      <c r="A78" s="39" t="s">
        <v>931</v>
      </c>
      <c r="B78" s="40"/>
      <c r="C78" s="39" t="s">
        <v>322</v>
      </c>
      <c r="D78" s="41">
        <f>36+9</f>
        <v>45</v>
      </c>
      <c r="E78" s="41"/>
      <c r="F78" s="41">
        <f>5+1</f>
        <v>6</v>
      </c>
      <c r="G78" s="41"/>
      <c r="H78" s="41">
        <f>+D78+E78+-F78</f>
        <v>39</v>
      </c>
      <c r="I78" s="42">
        <v>65</v>
      </c>
      <c r="J78" s="42">
        <f t="shared" si="1"/>
        <v>2535</v>
      </c>
      <c r="K78" s="10"/>
      <c r="L78" s="10"/>
      <c r="M78" s="11" t="s">
        <v>313</v>
      </c>
    </row>
    <row r="79" spans="1:13" s="12" customFormat="1" ht="30" customHeight="1" x14ac:dyDescent="0.3">
      <c r="A79" s="39" t="s">
        <v>584</v>
      </c>
      <c r="B79" s="48">
        <v>45412</v>
      </c>
      <c r="C79" s="39" t="s">
        <v>1432</v>
      </c>
      <c r="D79" s="57">
        <v>23</v>
      </c>
      <c r="E79" s="57"/>
      <c r="F79" s="57">
        <v>23</v>
      </c>
      <c r="G79" s="57"/>
      <c r="H79" s="41">
        <f>+D79+E79-F79</f>
        <v>0</v>
      </c>
      <c r="I79" s="58">
        <v>9</v>
      </c>
      <c r="J79" s="42">
        <f t="shared" si="1"/>
        <v>0</v>
      </c>
      <c r="K79" s="10"/>
      <c r="L79" s="10"/>
      <c r="M79" s="11" t="s">
        <v>20</v>
      </c>
    </row>
    <row r="80" spans="1:13" s="12" customFormat="1" ht="30" customHeight="1" x14ac:dyDescent="0.3">
      <c r="A80" s="39" t="s">
        <v>583</v>
      </c>
      <c r="B80" s="48">
        <v>45412</v>
      </c>
      <c r="C80" s="39" t="s">
        <v>1431</v>
      </c>
      <c r="D80" s="57">
        <f>21-2</f>
        <v>19</v>
      </c>
      <c r="E80" s="57"/>
      <c r="F80" s="57">
        <v>19</v>
      </c>
      <c r="G80" s="57"/>
      <c r="H80" s="41">
        <f>+D80+E80-F80</f>
        <v>0</v>
      </c>
      <c r="I80" s="58">
        <v>9</v>
      </c>
      <c r="J80" s="42">
        <f t="shared" si="1"/>
        <v>0</v>
      </c>
      <c r="K80" s="10"/>
      <c r="L80" s="10"/>
      <c r="M80" s="11" t="s">
        <v>20</v>
      </c>
    </row>
    <row r="81" spans="1:13" s="12" customFormat="1" ht="30" customHeight="1" x14ac:dyDescent="0.3">
      <c r="A81" s="39" t="s">
        <v>1416</v>
      </c>
      <c r="B81" s="46">
        <v>45631</v>
      </c>
      <c r="C81" s="47" t="s">
        <v>1431</v>
      </c>
      <c r="D81" s="56">
        <v>2</v>
      </c>
      <c r="E81" s="41"/>
      <c r="F81" s="41">
        <v>2</v>
      </c>
      <c r="G81" s="41"/>
      <c r="H81" s="41">
        <f>+D81+E81-F81+G81</f>
        <v>0</v>
      </c>
      <c r="I81" s="42">
        <v>536.9</v>
      </c>
      <c r="J81" s="42">
        <f t="shared" si="1"/>
        <v>0</v>
      </c>
      <c r="K81" s="10"/>
      <c r="L81" s="10"/>
      <c r="M81" s="11" t="s">
        <v>1605</v>
      </c>
    </row>
    <row r="82" spans="1:13" s="12" customFormat="1" ht="30" customHeight="1" x14ac:dyDescent="0.3">
      <c r="A82" s="39" t="s">
        <v>1418</v>
      </c>
      <c r="B82" s="46">
        <v>45631</v>
      </c>
      <c r="C82" s="47" t="s">
        <v>1445</v>
      </c>
      <c r="D82" s="56">
        <v>4</v>
      </c>
      <c r="E82" s="41"/>
      <c r="F82" s="41">
        <v>4</v>
      </c>
      <c r="G82" s="41"/>
      <c r="H82" s="41">
        <f>+D82+E82-F82+G82</f>
        <v>0</v>
      </c>
      <c r="I82" s="42">
        <v>536.9</v>
      </c>
      <c r="J82" s="42">
        <f t="shared" si="1"/>
        <v>0</v>
      </c>
      <c r="K82" s="17"/>
      <c r="L82" s="17"/>
      <c r="M82" s="11" t="s">
        <v>1605</v>
      </c>
    </row>
    <row r="83" spans="1:13" s="12" customFormat="1" ht="30" customHeight="1" x14ac:dyDescent="0.3">
      <c r="A83" s="39" t="s">
        <v>1417</v>
      </c>
      <c r="B83" s="46">
        <v>45631</v>
      </c>
      <c r="C83" s="47" t="s">
        <v>1444</v>
      </c>
      <c r="D83" s="56">
        <v>4</v>
      </c>
      <c r="E83" s="41"/>
      <c r="F83" s="41">
        <v>4</v>
      </c>
      <c r="G83" s="41"/>
      <c r="H83" s="41">
        <f>+D83+E83-F83+G83</f>
        <v>0</v>
      </c>
      <c r="I83" s="42">
        <v>536.9</v>
      </c>
      <c r="J83" s="42">
        <f t="shared" si="1"/>
        <v>0</v>
      </c>
      <c r="K83" s="17"/>
      <c r="L83" s="17"/>
      <c r="M83" s="11" t="s">
        <v>1605</v>
      </c>
    </row>
    <row r="84" spans="1:13" s="12" customFormat="1" ht="30" customHeight="1" x14ac:dyDescent="0.3">
      <c r="A84" s="39" t="s">
        <v>936</v>
      </c>
      <c r="B84" s="40"/>
      <c r="C84" s="39" t="s">
        <v>327</v>
      </c>
      <c r="D84" s="41">
        <v>60</v>
      </c>
      <c r="E84" s="41"/>
      <c r="F84" s="41">
        <f>12+1+1+1+1+1+3+2+4+5+3+2</f>
        <v>36</v>
      </c>
      <c r="G84" s="41"/>
      <c r="H84" s="41">
        <f>+D84+E84+-F84</f>
        <v>24</v>
      </c>
      <c r="I84" s="42">
        <v>5.8</v>
      </c>
      <c r="J84" s="42">
        <f t="shared" si="1"/>
        <v>139.19999999999999</v>
      </c>
      <c r="K84" s="10"/>
      <c r="L84" s="10"/>
      <c r="M84" s="11" t="s">
        <v>313</v>
      </c>
    </row>
    <row r="85" spans="1:13" s="12" customFormat="1" ht="30" customHeight="1" x14ac:dyDescent="0.3">
      <c r="A85" s="39" t="s">
        <v>932</v>
      </c>
      <c r="B85" s="40"/>
      <c r="C85" s="39" t="s">
        <v>323</v>
      </c>
      <c r="D85" s="41">
        <v>48</v>
      </c>
      <c r="E85" s="41"/>
      <c r="F85" s="41"/>
      <c r="G85" s="41"/>
      <c r="H85" s="41">
        <f>+D85+E85+-F85</f>
        <v>48</v>
      </c>
      <c r="I85" s="42">
        <v>69.62</v>
      </c>
      <c r="J85" s="42">
        <f t="shared" si="1"/>
        <v>3341.76</v>
      </c>
      <c r="K85" s="10"/>
      <c r="L85" s="10"/>
      <c r="M85" s="11" t="s">
        <v>313</v>
      </c>
    </row>
    <row r="86" spans="1:13" s="12" customFormat="1" ht="30" customHeight="1" x14ac:dyDescent="0.3">
      <c r="A86" s="39" t="s">
        <v>933</v>
      </c>
      <c r="B86" s="40"/>
      <c r="C86" s="39" t="s">
        <v>324</v>
      </c>
      <c r="D86" s="41">
        <f>12*3</f>
        <v>36</v>
      </c>
      <c r="E86" s="41"/>
      <c r="F86" s="41">
        <f>7+1+2+1+3+2+2</f>
        <v>18</v>
      </c>
      <c r="G86" s="41"/>
      <c r="H86" s="41">
        <f>+D86+E86+-F86</f>
        <v>18</v>
      </c>
      <c r="I86" s="42">
        <v>5.8</v>
      </c>
      <c r="J86" s="42">
        <f t="shared" si="1"/>
        <v>104.39999999999999</v>
      </c>
      <c r="K86" s="10"/>
      <c r="L86" s="10"/>
      <c r="M86" s="11" t="s">
        <v>313</v>
      </c>
    </row>
    <row r="87" spans="1:13" s="12" customFormat="1" ht="30" customHeight="1" x14ac:dyDescent="0.3">
      <c r="A87" s="39" t="s">
        <v>934</v>
      </c>
      <c r="B87" s="40"/>
      <c r="C87" s="39" t="s">
        <v>325</v>
      </c>
      <c r="D87" s="41">
        <f>8*12</f>
        <v>96</v>
      </c>
      <c r="E87" s="41"/>
      <c r="F87" s="41">
        <f>3+3</f>
        <v>6</v>
      </c>
      <c r="G87" s="41"/>
      <c r="H87" s="41">
        <f>+D87+E87+-F87</f>
        <v>90</v>
      </c>
      <c r="I87" s="42">
        <v>5.8</v>
      </c>
      <c r="J87" s="42">
        <f t="shared" si="1"/>
        <v>522</v>
      </c>
      <c r="K87" s="10"/>
      <c r="L87" s="10"/>
      <c r="M87" s="11" t="s">
        <v>313</v>
      </c>
    </row>
    <row r="88" spans="1:13" s="12" customFormat="1" ht="30" customHeight="1" x14ac:dyDescent="0.3">
      <c r="A88" s="39" t="s">
        <v>935</v>
      </c>
      <c r="B88" s="40"/>
      <c r="C88" s="39" t="s">
        <v>326</v>
      </c>
      <c r="D88" s="41">
        <f>25+8</f>
        <v>33</v>
      </c>
      <c r="E88" s="41"/>
      <c r="F88" s="41">
        <f>13+1+1+1+1+2+1+1+2+1+1+1+1+1</f>
        <v>28</v>
      </c>
      <c r="G88" s="41"/>
      <c r="H88" s="41">
        <f>+D88+E88+-F88</f>
        <v>5</v>
      </c>
      <c r="I88" s="42">
        <v>5.8</v>
      </c>
      <c r="J88" s="42">
        <f t="shared" si="1"/>
        <v>29</v>
      </c>
      <c r="K88" s="10"/>
      <c r="L88" s="10"/>
      <c r="M88" s="11" t="s">
        <v>313</v>
      </c>
    </row>
    <row r="89" spans="1:13" s="12" customFormat="1" ht="30" customHeight="1" x14ac:dyDescent="0.3">
      <c r="A89" s="39" t="s">
        <v>765</v>
      </c>
      <c r="B89" s="40"/>
      <c r="C89" s="39" t="s">
        <v>175</v>
      </c>
      <c r="D89" s="41">
        <v>1</v>
      </c>
      <c r="E89" s="41"/>
      <c r="F89" s="41"/>
      <c r="G89" s="41"/>
      <c r="H89" s="41">
        <f>+D89+E89+-F89</f>
        <v>1</v>
      </c>
      <c r="I89" s="42"/>
      <c r="J89" s="42">
        <f t="shared" si="1"/>
        <v>0</v>
      </c>
      <c r="K89" s="10"/>
      <c r="L89" s="10"/>
      <c r="M89" s="11" t="s">
        <v>169</v>
      </c>
    </row>
    <row r="90" spans="1:13" s="12" customFormat="1" ht="30" customHeight="1" x14ac:dyDescent="0.3">
      <c r="A90" s="39" t="s">
        <v>602</v>
      </c>
      <c r="B90" s="40"/>
      <c r="C90" s="39" t="s">
        <v>37</v>
      </c>
      <c r="D90" s="41">
        <v>9</v>
      </c>
      <c r="E90" s="41"/>
      <c r="F90" s="41">
        <v>9</v>
      </c>
      <c r="G90" s="41"/>
      <c r="H90" s="41">
        <f>+D90+E90-F90</f>
        <v>0</v>
      </c>
      <c r="I90" s="42">
        <v>1940</v>
      </c>
      <c r="J90" s="42">
        <f t="shared" si="1"/>
        <v>0</v>
      </c>
      <c r="K90" s="10"/>
      <c r="L90" s="10"/>
      <c r="M90" s="11" t="s">
        <v>27</v>
      </c>
    </row>
    <row r="91" spans="1:13" s="12" customFormat="1" ht="30" customHeight="1" x14ac:dyDescent="0.3">
      <c r="A91" s="39" t="s">
        <v>601</v>
      </c>
      <c r="B91" s="40"/>
      <c r="C91" s="39" t="s">
        <v>36</v>
      </c>
      <c r="D91" s="41">
        <v>6</v>
      </c>
      <c r="E91" s="41"/>
      <c r="F91" s="41"/>
      <c r="G91" s="41"/>
      <c r="H91" s="41">
        <f>+D91+E91-F91</f>
        <v>6</v>
      </c>
      <c r="I91" s="42">
        <v>85</v>
      </c>
      <c r="J91" s="42">
        <f t="shared" si="1"/>
        <v>510</v>
      </c>
      <c r="K91" s="10"/>
      <c r="L91" s="10"/>
      <c r="M91" s="11" t="s">
        <v>27</v>
      </c>
    </row>
    <row r="92" spans="1:13" s="12" customFormat="1" ht="30" customHeight="1" x14ac:dyDescent="0.3">
      <c r="A92" s="39" t="s">
        <v>603</v>
      </c>
      <c r="B92" s="40"/>
      <c r="C92" s="39" t="s">
        <v>38</v>
      </c>
      <c r="D92" s="41">
        <v>1</v>
      </c>
      <c r="E92" s="41"/>
      <c r="F92" s="41"/>
      <c r="G92" s="41"/>
      <c r="H92" s="41">
        <f>+D92+E92-F92</f>
        <v>1</v>
      </c>
      <c r="I92" s="42">
        <v>28</v>
      </c>
      <c r="J92" s="42">
        <f t="shared" si="1"/>
        <v>28</v>
      </c>
      <c r="K92" s="10"/>
      <c r="L92" s="10"/>
      <c r="M92" s="11" t="s">
        <v>27</v>
      </c>
    </row>
    <row r="93" spans="1:13" s="12" customFormat="1" ht="30" customHeight="1" x14ac:dyDescent="0.3">
      <c r="A93" s="39" t="s">
        <v>604</v>
      </c>
      <c r="B93" s="59">
        <v>45469</v>
      </c>
      <c r="C93" s="39" t="s">
        <v>39</v>
      </c>
      <c r="D93" s="41">
        <v>4</v>
      </c>
      <c r="E93" s="41"/>
      <c r="F93" s="41"/>
      <c r="G93" s="41"/>
      <c r="H93" s="41">
        <f>+D93+E93-F93</f>
        <v>4</v>
      </c>
      <c r="I93" s="42">
        <v>700</v>
      </c>
      <c r="J93" s="42">
        <f t="shared" si="1"/>
        <v>2800</v>
      </c>
      <c r="K93" s="10"/>
      <c r="L93" s="10"/>
      <c r="M93" s="11" t="s">
        <v>27</v>
      </c>
    </row>
    <row r="94" spans="1:13" s="12" customFormat="1" ht="30" customHeight="1" x14ac:dyDescent="0.3">
      <c r="A94" s="39" t="s">
        <v>605</v>
      </c>
      <c r="B94" s="40"/>
      <c r="C94" s="39" t="s">
        <v>40</v>
      </c>
      <c r="D94" s="41">
        <v>6</v>
      </c>
      <c r="E94" s="41"/>
      <c r="F94" s="41"/>
      <c r="G94" s="41"/>
      <c r="H94" s="41">
        <f>+D94+E94-F94</f>
        <v>6</v>
      </c>
      <c r="I94" s="42">
        <v>700</v>
      </c>
      <c r="J94" s="42">
        <f t="shared" si="1"/>
        <v>4200</v>
      </c>
      <c r="K94" s="10"/>
      <c r="L94" s="10"/>
      <c r="M94" s="11" t="s">
        <v>27</v>
      </c>
    </row>
    <row r="95" spans="1:13" s="12" customFormat="1" ht="30" customHeight="1" x14ac:dyDescent="0.3">
      <c r="A95" s="39" t="s">
        <v>1098</v>
      </c>
      <c r="B95" s="40" t="s">
        <v>254</v>
      </c>
      <c r="C95" s="39" t="s">
        <v>1316</v>
      </c>
      <c r="D95" s="41">
        <v>3</v>
      </c>
      <c r="E95" s="41">
        <v>3</v>
      </c>
      <c r="F95" s="41"/>
      <c r="G95" s="41"/>
      <c r="H95" s="41">
        <f>+D95+E95+-F95</f>
        <v>6</v>
      </c>
      <c r="I95" s="42">
        <v>153.4</v>
      </c>
      <c r="J95" s="42">
        <f t="shared" si="1"/>
        <v>920.40000000000009</v>
      </c>
      <c r="K95" s="10"/>
      <c r="L95" s="10"/>
      <c r="M95" s="11" t="s">
        <v>454</v>
      </c>
    </row>
    <row r="96" spans="1:13" s="12" customFormat="1" ht="30" customHeight="1" x14ac:dyDescent="0.3">
      <c r="A96" s="39" t="s">
        <v>1097</v>
      </c>
      <c r="B96" s="40"/>
      <c r="C96" s="39" t="s">
        <v>1321</v>
      </c>
      <c r="D96" s="41">
        <v>2</v>
      </c>
      <c r="E96" s="41"/>
      <c r="F96" s="41">
        <v>1</v>
      </c>
      <c r="G96" s="41"/>
      <c r="H96" s="41">
        <f>+D96+E96+-F96</f>
        <v>1</v>
      </c>
      <c r="I96" s="42">
        <v>118</v>
      </c>
      <c r="J96" s="42">
        <f t="shared" si="1"/>
        <v>118</v>
      </c>
      <c r="K96" s="10"/>
      <c r="L96" s="10"/>
      <c r="M96" s="11" t="s">
        <v>454</v>
      </c>
    </row>
    <row r="97" spans="1:13" s="12" customFormat="1" ht="30" customHeight="1" x14ac:dyDescent="0.3">
      <c r="A97" s="39" t="s">
        <v>1103</v>
      </c>
      <c r="B97" s="40"/>
      <c r="C97" s="39" t="s">
        <v>1319</v>
      </c>
      <c r="D97" s="41">
        <v>4</v>
      </c>
      <c r="E97" s="41"/>
      <c r="F97" s="41"/>
      <c r="G97" s="41"/>
      <c r="H97" s="41">
        <f>+D97+E97+-F97</f>
        <v>4</v>
      </c>
      <c r="I97" s="42"/>
      <c r="J97" s="42">
        <f t="shared" si="1"/>
        <v>0</v>
      </c>
      <c r="K97" s="10"/>
      <c r="L97" s="10"/>
      <c r="M97" s="11" t="s">
        <v>454</v>
      </c>
    </row>
    <row r="98" spans="1:13" s="12" customFormat="1" ht="30" customHeight="1" x14ac:dyDescent="0.3">
      <c r="A98" s="39" t="s">
        <v>1099</v>
      </c>
      <c r="B98" s="40" t="s">
        <v>254</v>
      </c>
      <c r="C98" s="39" t="s">
        <v>1317</v>
      </c>
      <c r="D98" s="41">
        <v>12</v>
      </c>
      <c r="E98" s="41"/>
      <c r="F98" s="41">
        <v>6</v>
      </c>
      <c r="G98" s="41"/>
      <c r="H98" s="41">
        <f>+D98+E98+-F98</f>
        <v>6</v>
      </c>
      <c r="I98" s="42">
        <v>118</v>
      </c>
      <c r="J98" s="42">
        <f t="shared" si="1"/>
        <v>708</v>
      </c>
      <c r="K98" s="10"/>
      <c r="L98" s="10"/>
      <c r="M98" s="11" t="s">
        <v>454</v>
      </c>
    </row>
    <row r="99" spans="1:13" s="12" customFormat="1" ht="30" customHeight="1" x14ac:dyDescent="0.3">
      <c r="A99" s="39" t="s">
        <v>1102</v>
      </c>
      <c r="B99" s="40"/>
      <c r="C99" s="39" t="s">
        <v>1320</v>
      </c>
      <c r="D99" s="41">
        <v>4</v>
      </c>
      <c r="E99" s="41"/>
      <c r="F99" s="41"/>
      <c r="G99" s="41"/>
      <c r="H99" s="41">
        <f>+D99+E99+-F99</f>
        <v>4</v>
      </c>
      <c r="I99" s="42"/>
      <c r="J99" s="42">
        <f t="shared" si="1"/>
        <v>0</v>
      </c>
      <c r="K99" s="10"/>
      <c r="L99" s="10"/>
      <c r="M99" s="11" t="s">
        <v>454</v>
      </c>
    </row>
    <row r="100" spans="1:13" s="12" customFormat="1" ht="30" customHeight="1" x14ac:dyDescent="0.3">
      <c r="A100" s="39" t="s">
        <v>937</v>
      </c>
      <c r="B100" s="40" t="s">
        <v>273</v>
      </c>
      <c r="C100" s="39" t="s">
        <v>1632</v>
      </c>
      <c r="D100" s="41">
        <v>25</v>
      </c>
      <c r="E100" s="41"/>
      <c r="F100" s="41">
        <f>3+2+2</f>
        <v>7</v>
      </c>
      <c r="G100" s="41"/>
      <c r="H100" s="41">
        <f>+D100+E100+-F100</f>
        <v>18</v>
      </c>
      <c r="I100" s="42">
        <v>7.66</v>
      </c>
      <c r="J100" s="42">
        <f t="shared" si="1"/>
        <v>137.88</v>
      </c>
      <c r="K100" s="10"/>
      <c r="L100" s="10"/>
      <c r="M100" s="11" t="s">
        <v>313</v>
      </c>
    </row>
    <row r="101" spans="1:13" s="12" customFormat="1" ht="30" customHeight="1" x14ac:dyDescent="0.3">
      <c r="A101" s="39" t="s">
        <v>938</v>
      </c>
      <c r="B101" s="40" t="s">
        <v>273</v>
      </c>
      <c r="C101" s="39" t="s">
        <v>328</v>
      </c>
      <c r="D101" s="41">
        <v>17</v>
      </c>
      <c r="E101" s="41"/>
      <c r="F101" s="41">
        <v>1</v>
      </c>
      <c r="G101" s="41"/>
      <c r="H101" s="41">
        <f>+D101+E101+-F101</f>
        <v>16</v>
      </c>
      <c r="I101" s="42">
        <v>7.66</v>
      </c>
      <c r="J101" s="42">
        <f t="shared" si="1"/>
        <v>122.56</v>
      </c>
      <c r="K101" s="10"/>
      <c r="L101" s="10"/>
      <c r="M101" s="11" t="s">
        <v>313</v>
      </c>
    </row>
    <row r="102" spans="1:13" s="12" customFormat="1" ht="30" customHeight="1" x14ac:dyDescent="0.3">
      <c r="A102" s="39" t="s">
        <v>1581</v>
      </c>
      <c r="B102" s="50" t="s">
        <v>1561</v>
      </c>
      <c r="C102" s="51" t="s">
        <v>1610</v>
      </c>
      <c r="D102" s="52"/>
      <c r="E102" s="53">
        <v>5</v>
      </c>
      <c r="F102" s="53">
        <v>1</v>
      </c>
      <c r="G102" s="53"/>
      <c r="H102" s="41">
        <f>+D102+E102-F102+G102</f>
        <v>4</v>
      </c>
      <c r="I102" s="54">
        <v>572.50059999999996</v>
      </c>
      <c r="J102" s="55">
        <f t="shared" si="1"/>
        <v>2290.0023999999999</v>
      </c>
      <c r="K102" s="13"/>
      <c r="L102" s="13"/>
      <c r="M102" s="11" t="s">
        <v>555</v>
      </c>
    </row>
    <row r="103" spans="1:13" s="12" customFormat="1" ht="30" customHeight="1" x14ac:dyDescent="0.3">
      <c r="A103" s="39" t="s">
        <v>1582</v>
      </c>
      <c r="B103" s="50" t="s">
        <v>1561</v>
      </c>
      <c r="C103" s="51" t="s">
        <v>1611</v>
      </c>
      <c r="D103" s="52"/>
      <c r="E103" s="53">
        <v>2</v>
      </c>
      <c r="F103" s="53"/>
      <c r="G103" s="53"/>
      <c r="H103" s="41">
        <f>+D103+E103-F103+G103</f>
        <v>2</v>
      </c>
      <c r="I103" s="54">
        <v>572.50059999999996</v>
      </c>
      <c r="J103" s="55">
        <f t="shared" si="1"/>
        <v>1145.0011999999999</v>
      </c>
      <c r="K103" s="13"/>
      <c r="L103" s="13"/>
      <c r="M103" s="11" t="s">
        <v>555</v>
      </c>
    </row>
    <row r="104" spans="1:13" s="12" customFormat="1" ht="30" customHeight="1" x14ac:dyDescent="0.3">
      <c r="A104" s="39" t="s">
        <v>1583</v>
      </c>
      <c r="B104" s="50" t="s">
        <v>1561</v>
      </c>
      <c r="C104" s="51" t="s">
        <v>1612</v>
      </c>
      <c r="D104" s="52"/>
      <c r="E104" s="53">
        <v>2</v>
      </c>
      <c r="F104" s="53">
        <v>1</v>
      </c>
      <c r="G104" s="53"/>
      <c r="H104" s="41">
        <f>+D104+E104-F104+G104</f>
        <v>1</v>
      </c>
      <c r="I104" s="54">
        <v>572.50059999999996</v>
      </c>
      <c r="J104" s="55">
        <f t="shared" si="1"/>
        <v>572.50059999999996</v>
      </c>
      <c r="K104" s="13"/>
      <c r="L104" s="13"/>
      <c r="M104" s="11" t="s">
        <v>555</v>
      </c>
    </row>
    <row r="105" spans="1:13" s="12" customFormat="1" ht="30" customHeight="1" x14ac:dyDescent="0.3">
      <c r="A105" s="39" t="s">
        <v>1586</v>
      </c>
      <c r="B105" s="50" t="s">
        <v>1561</v>
      </c>
      <c r="C105" s="51" t="s">
        <v>1613</v>
      </c>
      <c r="D105" s="52"/>
      <c r="E105" s="53">
        <v>2</v>
      </c>
      <c r="F105" s="53">
        <v>1</v>
      </c>
      <c r="G105" s="53"/>
      <c r="H105" s="41">
        <f>+D105+E105-F105+G105</f>
        <v>1</v>
      </c>
      <c r="I105" s="54">
        <v>572.50059999999996</v>
      </c>
      <c r="J105" s="55">
        <f t="shared" si="1"/>
        <v>572.50059999999996</v>
      </c>
      <c r="K105" s="13"/>
      <c r="L105" s="13"/>
      <c r="M105" s="11" t="s">
        <v>555</v>
      </c>
    </row>
    <row r="106" spans="1:13" s="12" customFormat="1" ht="30" customHeight="1" x14ac:dyDescent="0.3">
      <c r="A106" s="39" t="s">
        <v>1587</v>
      </c>
      <c r="B106" s="50" t="s">
        <v>1561</v>
      </c>
      <c r="C106" s="51" t="s">
        <v>1614</v>
      </c>
      <c r="D106" s="52"/>
      <c r="E106" s="53">
        <v>1</v>
      </c>
      <c r="F106" s="53">
        <v>1</v>
      </c>
      <c r="G106" s="53"/>
      <c r="H106" s="41">
        <f>+D106+E106-F106+G106</f>
        <v>0</v>
      </c>
      <c r="I106" s="54">
        <v>572.50059999999996</v>
      </c>
      <c r="J106" s="55">
        <f t="shared" si="1"/>
        <v>0</v>
      </c>
      <c r="K106" s="13"/>
      <c r="L106" s="13"/>
      <c r="M106" s="11" t="s">
        <v>555</v>
      </c>
    </row>
    <row r="107" spans="1:13" s="12" customFormat="1" ht="30" customHeight="1" x14ac:dyDescent="0.3">
      <c r="A107" s="39" t="s">
        <v>1080</v>
      </c>
      <c r="B107" s="48">
        <v>44876</v>
      </c>
      <c r="C107" s="39" t="s">
        <v>452</v>
      </c>
      <c r="D107" s="41">
        <v>48</v>
      </c>
      <c r="E107" s="41"/>
      <c r="F107" s="41"/>
      <c r="G107" s="41"/>
      <c r="H107" s="41">
        <f>+D107+E107+-F107</f>
        <v>48</v>
      </c>
      <c r="I107" s="42">
        <v>400</v>
      </c>
      <c r="J107" s="42">
        <f t="shared" si="1"/>
        <v>19200</v>
      </c>
      <c r="K107" s="10"/>
      <c r="L107" s="10"/>
      <c r="M107" s="11" t="s">
        <v>451</v>
      </c>
    </row>
    <row r="108" spans="1:13" s="12" customFormat="1" ht="30" customHeight="1" x14ac:dyDescent="0.3">
      <c r="A108" s="39" t="s">
        <v>606</v>
      </c>
      <c r="B108" s="40" t="s">
        <v>6</v>
      </c>
      <c r="C108" s="39" t="s">
        <v>41</v>
      </c>
      <c r="D108" s="41">
        <v>2</v>
      </c>
      <c r="E108" s="41"/>
      <c r="F108" s="41"/>
      <c r="G108" s="41"/>
      <c r="H108" s="41">
        <f>+D108+E108-F108</f>
        <v>2</v>
      </c>
      <c r="I108" s="42">
        <v>2600</v>
      </c>
      <c r="J108" s="42">
        <f t="shared" si="1"/>
        <v>5200</v>
      </c>
      <c r="K108" s="10"/>
      <c r="L108" s="10"/>
      <c r="M108" s="11" t="s">
        <v>27</v>
      </c>
    </row>
    <row r="109" spans="1:13" s="44" customFormat="1" ht="30" customHeight="1" x14ac:dyDescent="0.25">
      <c r="A109" s="39" t="s">
        <v>607</v>
      </c>
      <c r="B109" s="40"/>
      <c r="C109" s="39" t="s">
        <v>42</v>
      </c>
      <c r="D109" s="41">
        <v>4</v>
      </c>
      <c r="E109" s="41"/>
      <c r="F109" s="41"/>
      <c r="G109" s="41"/>
      <c r="H109" s="41">
        <f>+D109+E109-F109</f>
        <v>4</v>
      </c>
      <c r="I109" s="42">
        <v>201</v>
      </c>
      <c r="J109" s="42">
        <f t="shared" si="1"/>
        <v>804</v>
      </c>
      <c r="K109" s="42"/>
      <c r="L109" s="42"/>
      <c r="M109" s="43" t="s">
        <v>27</v>
      </c>
    </row>
    <row r="110" spans="1:13" s="44" customFormat="1" ht="30" customHeight="1" x14ac:dyDescent="0.25">
      <c r="A110" s="39" t="s">
        <v>608</v>
      </c>
      <c r="B110" s="40"/>
      <c r="C110" s="39" t="s">
        <v>43</v>
      </c>
      <c r="D110" s="41">
        <v>1</v>
      </c>
      <c r="E110" s="41"/>
      <c r="F110" s="41"/>
      <c r="G110" s="41"/>
      <c r="H110" s="41">
        <f>+D110+E110-F110</f>
        <v>1</v>
      </c>
      <c r="I110" s="42">
        <v>2104</v>
      </c>
      <c r="J110" s="42">
        <f t="shared" si="1"/>
        <v>2104</v>
      </c>
      <c r="K110" s="42"/>
      <c r="L110" s="42"/>
      <c r="M110" s="43" t="s">
        <v>27</v>
      </c>
    </row>
    <row r="111" spans="1:13" s="44" customFormat="1" ht="30" customHeight="1" x14ac:dyDescent="0.25">
      <c r="A111" s="39" t="s">
        <v>609</v>
      </c>
      <c r="B111" s="40"/>
      <c r="C111" s="39" t="s">
        <v>44</v>
      </c>
      <c r="D111" s="41">
        <v>2</v>
      </c>
      <c r="E111" s="41"/>
      <c r="F111" s="41"/>
      <c r="G111" s="41"/>
      <c r="H111" s="41">
        <f>+D111+E111-F111</f>
        <v>2</v>
      </c>
      <c r="I111" s="42">
        <v>205</v>
      </c>
      <c r="J111" s="42">
        <f t="shared" si="1"/>
        <v>410</v>
      </c>
      <c r="K111" s="42"/>
      <c r="L111" s="42"/>
      <c r="M111" s="43" t="s">
        <v>27</v>
      </c>
    </row>
    <row r="112" spans="1:13" s="44" customFormat="1" ht="30" customHeight="1" x14ac:dyDescent="0.25">
      <c r="A112" s="39" t="s">
        <v>610</v>
      </c>
      <c r="B112" s="40"/>
      <c r="C112" s="39" t="s">
        <v>45</v>
      </c>
      <c r="D112" s="41">
        <v>2</v>
      </c>
      <c r="E112" s="41"/>
      <c r="F112" s="41"/>
      <c r="G112" s="41"/>
      <c r="H112" s="41">
        <f>+D112+E112-F112</f>
        <v>2</v>
      </c>
      <c r="I112" s="42">
        <v>1082</v>
      </c>
      <c r="J112" s="42">
        <f t="shared" si="1"/>
        <v>2164</v>
      </c>
      <c r="K112" s="42"/>
      <c r="L112" s="42"/>
      <c r="M112" s="43" t="s">
        <v>27</v>
      </c>
    </row>
    <row r="113" spans="1:13" s="44" customFormat="1" ht="30" customHeight="1" x14ac:dyDescent="0.25">
      <c r="A113" s="39" t="s">
        <v>611</v>
      </c>
      <c r="B113" s="40"/>
      <c r="C113" s="45" t="s">
        <v>46</v>
      </c>
      <c r="D113" s="41">
        <v>11</v>
      </c>
      <c r="E113" s="41"/>
      <c r="F113" s="41"/>
      <c r="G113" s="41"/>
      <c r="H113" s="41">
        <f>+D113+E113-F113</f>
        <v>11</v>
      </c>
      <c r="I113" s="42">
        <v>805</v>
      </c>
      <c r="J113" s="42">
        <f t="shared" si="1"/>
        <v>8855</v>
      </c>
      <c r="K113" s="42"/>
      <c r="L113" s="42"/>
      <c r="M113" s="43" t="s">
        <v>27</v>
      </c>
    </row>
    <row r="114" spans="1:13" s="44" customFormat="1" ht="30" customHeight="1" x14ac:dyDescent="0.25">
      <c r="A114" s="39" t="s">
        <v>612</v>
      </c>
      <c r="B114" s="40"/>
      <c r="C114" s="45" t="s">
        <v>47</v>
      </c>
      <c r="D114" s="41">
        <f>10-1</f>
        <v>9</v>
      </c>
      <c r="E114" s="41"/>
      <c r="F114" s="41"/>
      <c r="G114" s="41"/>
      <c r="H114" s="41">
        <f>+D114+E114-F114</f>
        <v>9</v>
      </c>
      <c r="I114" s="42">
        <v>2600</v>
      </c>
      <c r="J114" s="42">
        <f t="shared" si="1"/>
        <v>23400</v>
      </c>
      <c r="K114" s="42"/>
      <c r="L114" s="42"/>
      <c r="M114" s="43" t="s">
        <v>27</v>
      </c>
    </row>
    <row r="115" spans="1:13" s="44" customFormat="1" ht="30" customHeight="1" x14ac:dyDescent="0.25">
      <c r="A115" s="39" t="s">
        <v>1361</v>
      </c>
      <c r="B115" s="46">
        <v>45623</v>
      </c>
      <c r="C115" s="47" t="s">
        <v>1366</v>
      </c>
      <c r="D115" s="39"/>
      <c r="E115" s="41">
        <v>1</v>
      </c>
      <c r="F115" s="41">
        <v>1</v>
      </c>
      <c r="G115" s="41"/>
      <c r="H115" s="41">
        <f>+D115+E115-F115+G115</f>
        <v>0</v>
      </c>
      <c r="I115" s="42">
        <v>1989.87</v>
      </c>
      <c r="J115" s="42">
        <f t="shared" si="1"/>
        <v>0</v>
      </c>
      <c r="K115" s="42"/>
      <c r="L115" s="42"/>
      <c r="M115" s="43" t="s">
        <v>1358</v>
      </c>
    </row>
    <row r="116" spans="1:13" s="44" customFormat="1" ht="30" customHeight="1" x14ac:dyDescent="0.25">
      <c r="A116" s="39" t="s">
        <v>616</v>
      </c>
      <c r="B116" s="48">
        <v>45518</v>
      </c>
      <c r="C116" s="45" t="s">
        <v>51</v>
      </c>
      <c r="D116" s="41">
        <v>10</v>
      </c>
      <c r="E116" s="41"/>
      <c r="F116" s="41">
        <f>1+2+1</f>
        <v>4</v>
      </c>
      <c r="G116" s="41"/>
      <c r="H116" s="41">
        <f>+D116+E116-F116</f>
        <v>6</v>
      </c>
      <c r="I116" s="42">
        <v>1156.4000000000001</v>
      </c>
      <c r="J116" s="42">
        <f t="shared" si="1"/>
        <v>6938.4000000000005</v>
      </c>
      <c r="K116" s="42"/>
      <c r="L116" s="42"/>
      <c r="M116" s="43" t="s">
        <v>27</v>
      </c>
    </row>
    <row r="117" spans="1:13" s="44" customFormat="1" ht="30" customHeight="1" x14ac:dyDescent="0.25">
      <c r="A117" s="39" t="s">
        <v>614</v>
      </c>
      <c r="B117" s="40"/>
      <c r="C117" s="45" t="s">
        <v>49</v>
      </c>
      <c r="D117" s="41">
        <v>4</v>
      </c>
      <c r="E117" s="41"/>
      <c r="F117" s="41"/>
      <c r="G117" s="41"/>
      <c r="H117" s="41">
        <f>+D117+E117-F117</f>
        <v>4</v>
      </c>
      <c r="I117" s="42">
        <v>421</v>
      </c>
      <c r="J117" s="42">
        <f t="shared" si="1"/>
        <v>1684</v>
      </c>
      <c r="K117" s="42"/>
      <c r="L117" s="42"/>
      <c r="M117" s="43" t="s">
        <v>27</v>
      </c>
    </row>
    <row r="118" spans="1:13" s="44" customFormat="1" ht="30" customHeight="1" x14ac:dyDescent="0.25">
      <c r="A118" s="39" t="s">
        <v>615</v>
      </c>
      <c r="B118" s="48">
        <v>45518</v>
      </c>
      <c r="C118" s="45" t="s">
        <v>50</v>
      </c>
      <c r="D118" s="41">
        <v>8</v>
      </c>
      <c r="E118" s="41"/>
      <c r="F118" s="41">
        <f>1+2+1</f>
        <v>4</v>
      </c>
      <c r="G118" s="41"/>
      <c r="H118" s="41">
        <f>+D118+E118-F118</f>
        <v>4</v>
      </c>
      <c r="I118" s="42">
        <v>386.29</v>
      </c>
      <c r="J118" s="42">
        <f t="shared" si="1"/>
        <v>1545.16</v>
      </c>
      <c r="K118" s="42"/>
      <c r="L118" s="42"/>
      <c r="M118" s="43" t="s">
        <v>27</v>
      </c>
    </row>
    <row r="119" spans="1:13" s="44" customFormat="1" ht="30" customHeight="1" x14ac:dyDescent="0.25">
      <c r="A119" s="39" t="s">
        <v>619</v>
      </c>
      <c r="B119" s="48">
        <v>45499</v>
      </c>
      <c r="C119" s="45" t="s">
        <v>54</v>
      </c>
      <c r="D119" s="41">
        <v>24</v>
      </c>
      <c r="E119" s="41"/>
      <c r="F119" s="41">
        <v>1</v>
      </c>
      <c r="G119" s="41"/>
      <c r="H119" s="41">
        <f>+D119+E119-F119</f>
        <v>23</v>
      </c>
      <c r="I119" s="42">
        <v>236</v>
      </c>
      <c r="J119" s="42">
        <f t="shared" si="1"/>
        <v>5428</v>
      </c>
      <c r="K119" s="42"/>
      <c r="L119" s="42"/>
      <c r="M119" s="43" t="s">
        <v>27</v>
      </c>
    </row>
    <row r="120" spans="1:13" s="44" customFormat="1" ht="30" customHeight="1" x14ac:dyDescent="0.25">
      <c r="A120" s="39" t="s">
        <v>618</v>
      </c>
      <c r="B120" s="48">
        <v>45499</v>
      </c>
      <c r="C120" s="45" t="s">
        <v>53</v>
      </c>
      <c r="D120" s="41">
        <v>24</v>
      </c>
      <c r="E120" s="41"/>
      <c r="F120" s="41">
        <f>15+2</f>
        <v>17</v>
      </c>
      <c r="G120" s="41"/>
      <c r="H120" s="41">
        <f>+D120+E120-F120</f>
        <v>7</v>
      </c>
      <c r="I120" s="42">
        <v>236</v>
      </c>
      <c r="J120" s="42">
        <f t="shared" si="1"/>
        <v>1652</v>
      </c>
      <c r="K120" s="42"/>
      <c r="L120" s="42"/>
      <c r="M120" s="43" t="s">
        <v>27</v>
      </c>
    </row>
    <row r="121" spans="1:13" s="44" customFormat="1" ht="42" customHeight="1" x14ac:dyDescent="0.25">
      <c r="A121" s="39" t="s">
        <v>613</v>
      </c>
      <c r="B121" s="48">
        <v>45518</v>
      </c>
      <c r="C121" s="45" t="s">
        <v>48</v>
      </c>
      <c r="D121" s="41">
        <v>20</v>
      </c>
      <c r="E121" s="41"/>
      <c r="F121" s="41">
        <v>1</v>
      </c>
      <c r="G121" s="41"/>
      <c r="H121" s="41">
        <f>+D121+E121-F121</f>
        <v>19</v>
      </c>
      <c r="I121" s="42">
        <v>358.96</v>
      </c>
      <c r="J121" s="42">
        <f t="shared" si="1"/>
        <v>6820.24</v>
      </c>
      <c r="K121" s="42"/>
      <c r="L121" s="42"/>
      <c r="M121" s="43" t="s">
        <v>27</v>
      </c>
    </row>
    <row r="122" spans="1:13" s="44" customFormat="1" ht="30" customHeight="1" x14ac:dyDescent="0.25">
      <c r="A122" s="39" t="s">
        <v>617</v>
      </c>
      <c r="B122" s="48">
        <v>45499</v>
      </c>
      <c r="C122" s="45" t="s">
        <v>52</v>
      </c>
      <c r="D122" s="41">
        <v>28</v>
      </c>
      <c r="E122" s="41"/>
      <c r="F122" s="41">
        <v>6</v>
      </c>
      <c r="G122" s="41"/>
      <c r="H122" s="41">
        <f>+D122+E122-F122</f>
        <v>22</v>
      </c>
      <c r="I122" s="42">
        <v>625.4</v>
      </c>
      <c r="J122" s="42">
        <f t="shared" si="1"/>
        <v>13758.8</v>
      </c>
      <c r="K122" s="42"/>
      <c r="L122" s="42"/>
      <c r="M122" s="43" t="s">
        <v>27</v>
      </c>
    </row>
    <row r="123" spans="1:13" s="44" customFormat="1" ht="30" customHeight="1" x14ac:dyDescent="0.25">
      <c r="A123" s="39" t="s">
        <v>867</v>
      </c>
      <c r="B123" s="49">
        <v>44193</v>
      </c>
      <c r="C123" s="45" t="s">
        <v>264</v>
      </c>
      <c r="D123" s="41">
        <v>180</v>
      </c>
      <c r="E123" s="41"/>
      <c r="F123" s="41">
        <f>8+4</f>
        <v>12</v>
      </c>
      <c r="G123" s="41"/>
      <c r="H123" s="41">
        <f>+D123+E123+-F123</f>
        <v>168</v>
      </c>
      <c r="I123" s="42">
        <v>10.33</v>
      </c>
      <c r="J123" s="42">
        <f t="shared" si="1"/>
        <v>1735.44</v>
      </c>
      <c r="K123" s="42"/>
      <c r="L123" s="42"/>
      <c r="M123" s="43" t="s">
        <v>248</v>
      </c>
    </row>
    <row r="124" spans="1:13" s="44" customFormat="1" ht="30" customHeight="1" x14ac:dyDescent="0.25">
      <c r="A124" s="39" t="s">
        <v>871</v>
      </c>
      <c r="B124" s="40" t="s">
        <v>82</v>
      </c>
      <c r="C124" s="39" t="s">
        <v>1602</v>
      </c>
      <c r="D124" s="41">
        <f>72-1-2</f>
        <v>69</v>
      </c>
      <c r="E124" s="41"/>
      <c r="F124" s="41">
        <f>2+25+2-3+2</f>
        <v>28</v>
      </c>
      <c r="G124" s="41"/>
      <c r="H124" s="41">
        <f>+D124+E124+-F124</f>
        <v>41</v>
      </c>
      <c r="I124" s="42">
        <v>25</v>
      </c>
      <c r="J124" s="42">
        <f t="shared" si="1"/>
        <v>1025</v>
      </c>
      <c r="K124" s="42"/>
      <c r="L124" s="42"/>
      <c r="M124" s="43" t="s">
        <v>248</v>
      </c>
    </row>
    <row r="125" spans="1:13" s="44" customFormat="1" ht="30" customHeight="1" x14ac:dyDescent="0.25">
      <c r="A125" s="39" t="s">
        <v>868</v>
      </c>
      <c r="B125" s="40" t="s">
        <v>6</v>
      </c>
      <c r="C125" s="39" t="s">
        <v>265</v>
      </c>
      <c r="D125" s="41">
        <v>74</v>
      </c>
      <c r="E125" s="41"/>
      <c r="F125" s="41">
        <f>4+3</f>
        <v>7</v>
      </c>
      <c r="G125" s="41"/>
      <c r="H125" s="41">
        <f>+D125+E125+-F125</f>
        <v>67</v>
      </c>
      <c r="I125" s="42">
        <v>25</v>
      </c>
      <c r="J125" s="42">
        <f t="shared" si="1"/>
        <v>1675</v>
      </c>
      <c r="K125" s="42"/>
      <c r="L125" s="42"/>
      <c r="M125" s="43" t="s">
        <v>248</v>
      </c>
    </row>
    <row r="126" spans="1:13" s="44" customFormat="1" ht="30" customHeight="1" x14ac:dyDescent="0.25">
      <c r="A126" s="39" t="s">
        <v>869</v>
      </c>
      <c r="B126" s="48">
        <v>45414</v>
      </c>
      <c r="C126" s="39" t="s">
        <v>266</v>
      </c>
      <c r="D126" s="41">
        <f>166-3-3-4-2-2-2</f>
        <v>150</v>
      </c>
      <c r="E126" s="41">
        <v>288</v>
      </c>
      <c r="F126" s="41">
        <f>153+72+6+2+72+2</f>
        <v>307</v>
      </c>
      <c r="G126" s="41"/>
      <c r="H126" s="41">
        <f>+D126+E126+-F126</f>
        <v>131</v>
      </c>
      <c r="I126" s="42">
        <v>19.256</v>
      </c>
      <c r="J126" s="42">
        <f t="shared" si="1"/>
        <v>2522.5360000000001</v>
      </c>
      <c r="K126" s="42"/>
      <c r="L126" s="42"/>
      <c r="M126" s="43" t="s">
        <v>248</v>
      </c>
    </row>
    <row r="127" spans="1:13" s="44" customFormat="1" ht="30" customHeight="1" x14ac:dyDescent="0.25">
      <c r="A127" s="39" t="s">
        <v>870</v>
      </c>
      <c r="B127" s="40" t="s">
        <v>6</v>
      </c>
      <c r="C127" s="39" t="s">
        <v>267</v>
      </c>
      <c r="D127" s="41">
        <v>26</v>
      </c>
      <c r="E127" s="41"/>
      <c r="F127" s="41">
        <v>5</v>
      </c>
      <c r="G127" s="41"/>
      <c r="H127" s="41">
        <f>+D127+E127+-F127</f>
        <v>21</v>
      </c>
      <c r="I127" s="42">
        <v>25</v>
      </c>
      <c r="J127" s="42">
        <f t="shared" si="1"/>
        <v>525</v>
      </c>
      <c r="K127" s="42"/>
      <c r="L127" s="42"/>
      <c r="M127" s="43" t="s">
        <v>248</v>
      </c>
    </row>
    <row r="128" spans="1:13" s="44" customFormat="1" ht="30" customHeight="1" x14ac:dyDescent="0.25">
      <c r="A128" s="39" t="s">
        <v>1551</v>
      </c>
      <c r="B128" s="50" t="s">
        <v>1561</v>
      </c>
      <c r="C128" s="51" t="s">
        <v>1563</v>
      </c>
      <c r="D128" s="52"/>
      <c r="E128" s="53">
        <v>6</v>
      </c>
      <c r="F128" s="53">
        <v>1</v>
      </c>
      <c r="G128" s="53"/>
      <c r="H128" s="41">
        <f>+D128+E128-F128+G128</f>
        <v>5</v>
      </c>
      <c r="I128" s="54">
        <v>60.003</v>
      </c>
      <c r="J128" s="55">
        <f t="shared" si="1"/>
        <v>300.01499999999999</v>
      </c>
      <c r="K128" s="54"/>
      <c r="L128" s="54"/>
      <c r="M128" s="43" t="s">
        <v>248</v>
      </c>
    </row>
    <row r="129" spans="1:13" s="44" customFormat="1" ht="30" customHeight="1" x14ac:dyDescent="0.25">
      <c r="A129" s="39" t="s">
        <v>694</v>
      </c>
      <c r="B129" s="48">
        <v>45414</v>
      </c>
      <c r="C129" s="45" t="s">
        <v>1634</v>
      </c>
      <c r="D129" s="41">
        <v>50</v>
      </c>
      <c r="E129" s="41"/>
      <c r="F129" s="41">
        <f>1+1+2+1+1+1</f>
        <v>7</v>
      </c>
      <c r="G129" s="41"/>
      <c r="H129" s="41">
        <f>+D129+E129-F129</f>
        <v>43</v>
      </c>
      <c r="I129" s="42">
        <v>65.489999999999995</v>
      </c>
      <c r="J129" s="42">
        <f t="shared" si="1"/>
        <v>2816.0699999999997</v>
      </c>
      <c r="K129" s="42"/>
      <c r="L129" s="42"/>
      <c r="M129" s="43" t="s">
        <v>115</v>
      </c>
    </row>
    <row r="130" spans="1:13" s="44" customFormat="1" ht="30" customHeight="1" x14ac:dyDescent="0.25">
      <c r="A130" s="39" t="s">
        <v>693</v>
      </c>
      <c r="B130" s="48">
        <v>45414</v>
      </c>
      <c r="C130" s="45" t="s">
        <v>116</v>
      </c>
      <c r="D130" s="41">
        <v>5</v>
      </c>
      <c r="E130" s="41"/>
      <c r="F130" s="41">
        <f>1+1+2+1</f>
        <v>5</v>
      </c>
      <c r="G130" s="41"/>
      <c r="H130" s="41">
        <f>+D130+E130-F130</f>
        <v>0</v>
      </c>
      <c r="I130" s="42">
        <v>50.86</v>
      </c>
      <c r="J130" s="42">
        <f t="shared" si="1"/>
        <v>0</v>
      </c>
      <c r="K130" s="42"/>
      <c r="L130" s="42"/>
      <c r="M130" s="43" t="s">
        <v>115</v>
      </c>
    </row>
    <row r="131" spans="1:13" s="44" customFormat="1" ht="30" customHeight="1" x14ac:dyDescent="0.25">
      <c r="A131" s="39" t="s">
        <v>1409</v>
      </c>
      <c r="B131" s="46">
        <v>45414</v>
      </c>
      <c r="C131" s="47" t="s">
        <v>1635</v>
      </c>
      <c r="D131" s="56">
        <v>50</v>
      </c>
      <c r="E131" s="41"/>
      <c r="F131" s="41">
        <f>2+1+1+1+1+1+1+1+1+1+2+2+1+2+1+1</f>
        <v>20</v>
      </c>
      <c r="G131" s="41"/>
      <c r="H131" s="41">
        <f>+D131+E131-F131+G131</f>
        <v>30</v>
      </c>
      <c r="I131" s="42">
        <v>82</v>
      </c>
      <c r="J131" s="42">
        <f t="shared" si="1"/>
        <v>2460</v>
      </c>
      <c r="K131" s="42"/>
      <c r="L131" s="42"/>
      <c r="M131" s="43" t="s">
        <v>115</v>
      </c>
    </row>
    <row r="132" spans="1:13" s="44" customFormat="1" ht="30" customHeight="1" x14ac:dyDescent="0.25">
      <c r="A132" s="39" t="s">
        <v>697</v>
      </c>
      <c r="B132" s="48">
        <v>45414</v>
      </c>
      <c r="C132" s="39" t="s">
        <v>1267</v>
      </c>
      <c r="D132" s="41">
        <v>1</v>
      </c>
      <c r="E132" s="41"/>
      <c r="F132" s="41">
        <v>1</v>
      </c>
      <c r="G132" s="41"/>
      <c r="H132" s="41">
        <f>+D132+E132-F132</f>
        <v>0</v>
      </c>
      <c r="I132" s="42">
        <v>81.819999999999993</v>
      </c>
      <c r="J132" s="42">
        <f t="shared" si="1"/>
        <v>0</v>
      </c>
      <c r="K132" s="42"/>
      <c r="L132" s="42"/>
      <c r="M132" s="43" t="s">
        <v>115</v>
      </c>
    </row>
    <row r="133" spans="1:13" s="44" customFormat="1" ht="30" customHeight="1" x14ac:dyDescent="0.25">
      <c r="A133" s="39" t="s">
        <v>696</v>
      </c>
      <c r="B133" s="48">
        <v>45414</v>
      </c>
      <c r="C133" s="39" t="s">
        <v>118</v>
      </c>
      <c r="D133" s="41">
        <v>9</v>
      </c>
      <c r="E133" s="41"/>
      <c r="F133" s="41">
        <v>9</v>
      </c>
      <c r="G133" s="41"/>
      <c r="H133" s="41">
        <f>+D133+E133-F133</f>
        <v>0</v>
      </c>
      <c r="I133" s="42">
        <v>81.819999999999993</v>
      </c>
      <c r="J133" s="42">
        <f t="shared" si="1"/>
        <v>0</v>
      </c>
      <c r="K133" s="42"/>
      <c r="L133" s="42"/>
      <c r="M133" s="43" t="s">
        <v>115</v>
      </c>
    </row>
    <row r="134" spans="1:13" s="44" customFormat="1" ht="30" customHeight="1" x14ac:dyDescent="0.25">
      <c r="A134" s="39" t="s">
        <v>695</v>
      </c>
      <c r="B134" s="48">
        <v>45414</v>
      </c>
      <c r="C134" s="39" t="s">
        <v>117</v>
      </c>
      <c r="D134" s="41">
        <f>21-1-2</f>
        <v>18</v>
      </c>
      <c r="E134" s="41"/>
      <c r="F134" s="41">
        <f>1+1+3+2+1+2+1+1+1+1+1</f>
        <v>15</v>
      </c>
      <c r="G134" s="41"/>
      <c r="H134" s="41">
        <f>+D134+E134-F134</f>
        <v>3</v>
      </c>
      <c r="I134" s="42">
        <v>81.819999999999993</v>
      </c>
      <c r="J134" s="42">
        <f t="shared" si="1"/>
        <v>245.45999999999998</v>
      </c>
      <c r="K134" s="42"/>
      <c r="L134" s="42"/>
      <c r="M134" s="43" t="s">
        <v>115</v>
      </c>
    </row>
    <row r="135" spans="1:13" s="44" customFormat="1" ht="30" customHeight="1" x14ac:dyDescent="0.25">
      <c r="A135" s="39" t="s">
        <v>698</v>
      </c>
      <c r="B135" s="40" t="s">
        <v>119</v>
      </c>
      <c r="C135" s="39" t="s">
        <v>120</v>
      </c>
      <c r="D135" s="41">
        <f>30-1-1</f>
        <v>28</v>
      </c>
      <c r="E135" s="41"/>
      <c r="F135" s="41">
        <f>1+1+1+1+2+2+1+1+1+1+1</f>
        <v>13</v>
      </c>
      <c r="G135" s="41"/>
      <c r="H135" s="41">
        <f>+D135+E135-F135</f>
        <v>15</v>
      </c>
      <c r="I135" s="42">
        <v>99.98</v>
      </c>
      <c r="J135" s="42">
        <f t="shared" ref="J135:J198" si="2">+H135*I135</f>
        <v>1499.7</v>
      </c>
      <c r="K135" s="42"/>
      <c r="L135" s="42"/>
      <c r="M135" s="43" t="s">
        <v>115</v>
      </c>
    </row>
    <row r="136" spans="1:13" s="44" customFormat="1" ht="30" customHeight="1" x14ac:dyDescent="0.25">
      <c r="A136" s="39" t="s">
        <v>1100</v>
      </c>
      <c r="B136" s="40"/>
      <c r="C136" s="39" t="s">
        <v>468</v>
      </c>
      <c r="D136" s="41">
        <v>3</v>
      </c>
      <c r="E136" s="41"/>
      <c r="F136" s="41">
        <v>3</v>
      </c>
      <c r="G136" s="41"/>
      <c r="H136" s="41">
        <f>+D136+E136+-F136</f>
        <v>0</v>
      </c>
      <c r="I136" s="42"/>
      <c r="J136" s="42">
        <f t="shared" si="2"/>
        <v>0</v>
      </c>
      <c r="K136" s="42"/>
      <c r="L136" s="42"/>
      <c r="M136" s="43" t="s">
        <v>454</v>
      </c>
    </row>
    <row r="137" spans="1:13" s="44" customFormat="1" ht="30" customHeight="1" x14ac:dyDescent="0.25">
      <c r="A137" s="39" t="s">
        <v>621</v>
      </c>
      <c r="B137" s="40"/>
      <c r="C137" s="45" t="s">
        <v>56</v>
      </c>
      <c r="D137" s="41">
        <v>1000</v>
      </c>
      <c r="E137" s="41"/>
      <c r="F137" s="41">
        <v>350</v>
      </c>
      <c r="G137" s="41"/>
      <c r="H137" s="41">
        <f>+D137+E137-F137</f>
        <v>650</v>
      </c>
      <c r="I137" s="42"/>
      <c r="J137" s="42">
        <f t="shared" si="2"/>
        <v>0</v>
      </c>
      <c r="K137" s="42"/>
      <c r="L137" s="42"/>
      <c r="M137" s="43" t="s">
        <v>27</v>
      </c>
    </row>
    <row r="138" spans="1:13" s="44" customFormat="1" ht="30" customHeight="1" x14ac:dyDescent="0.25">
      <c r="A138" s="39" t="s">
        <v>767</v>
      </c>
      <c r="B138" s="40"/>
      <c r="C138" s="39" t="s">
        <v>1374</v>
      </c>
      <c r="D138" s="41">
        <v>100</v>
      </c>
      <c r="E138" s="41"/>
      <c r="F138" s="41">
        <v>100</v>
      </c>
      <c r="G138" s="41"/>
      <c r="H138" s="41">
        <f>+D138+E138+-F138</f>
        <v>0</v>
      </c>
      <c r="I138" s="42">
        <v>0.83</v>
      </c>
      <c r="J138" s="42">
        <f t="shared" si="2"/>
        <v>0</v>
      </c>
      <c r="K138" s="42"/>
      <c r="L138" s="42"/>
      <c r="M138" s="43" t="s">
        <v>169</v>
      </c>
    </row>
    <row r="139" spans="1:13" s="44" customFormat="1" ht="30" customHeight="1" x14ac:dyDescent="0.25">
      <c r="A139" s="39" t="s">
        <v>768</v>
      </c>
      <c r="B139" s="40"/>
      <c r="C139" s="39" t="s">
        <v>1375</v>
      </c>
      <c r="D139" s="41">
        <v>300</v>
      </c>
      <c r="E139" s="41"/>
      <c r="F139" s="41">
        <f>100+200</f>
        <v>300</v>
      </c>
      <c r="G139" s="41"/>
      <c r="H139" s="41">
        <f>+D139+E139+-F139</f>
        <v>0</v>
      </c>
      <c r="I139" s="42">
        <v>1.71</v>
      </c>
      <c r="J139" s="42">
        <f t="shared" si="2"/>
        <v>0</v>
      </c>
      <c r="K139" s="42"/>
      <c r="L139" s="42"/>
      <c r="M139" s="43" t="s">
        <v>169</v>
      </c>
    </row>
    <row r="140" spans="1:13" s="44" customFormat="1" ht="30" customHeight="1" x14ac:dyDescent="0.25">
      <c r="A140" s="39" t="s">
        <v>769</v>
      </c>
      <c r="B140" s="40"/>
      <c r="C140" s="39" t="s">
        <v>1625</v>
      </c>
      <c r="D140" s="41">
        <v>400</v>
      </c>
      <c r="E140" s="41"/>
      <c r="F140" s="41">
        <f>200+200</f>
        <v>400</v>
      </c>
      <c r="G140" s="41"/>
      <c r="H140" s="41">
        <f>+D140+E140+-F140</f>
        <v>0</v>
      </c>
      <c r="I140" s="42">
        <v>1.71</v>
      </c>
      <c r="J140" s="42">
        <f t="shared" si="2"/>
        <v>0</v>
      </c>
      <c r="K140" s="42"/>
      <c r="L140" s="42"/>
      <c r="M140" s="43" t="s">
        <v>169</v>
      </c>
    </row>
    <row r="141" spans="1:13" s="44" customFormat="1" ht="30" customHeight="1" x14ac:dyDescent="0.25">
      <c r="A141" s="39" t="s">
        <v>770</v>
      </c>
      <c r="B141" s="40"/>
      <c r="C141" s="39" t="s">
        <v>1376</v>
      </c>
      <c r="D141" s="41">
        <f>200+89</f>
        <v>289</v>
      </c>
      <c r="E141" s="41"/>
      <c r="F141" s="41">
        <f>89+100+100</f>
        <v>289</v>
      </c>
      <c r="G141" s="41"/>
      <c r="H141" s="41">
        <f>+D141+E141+-F141</f>
        <v>0</v>
      </c>
      <c r="I141" s="42">
        <v>1.71</v>
      </c>
      <c r="J141" s="42">
        <f t="shared" si="2"/>
        <v>0</v>
      </c>
      <c r="K141" s="42"/>
      <c r="L141" s="42"/>
      <c r="M141" s="43" t="s">
        <v>169</v>
      </c>
    </row>
    <row r="142" spans="1:13" s="44" customFormat="1" ht="30" customHeight="1" x14ac:dyDescent="0.25">
      <c r="A142" s="39" t="s">
        <v>581</v>
      </c>
      <c r="B142" s="48" t="s">
        <v>1553</v>
      </c>
      <c r="C142" s="39" t="s">
        <v>1719</v>
      </c>
      <c r="D142" s="57">
        <f>145-2-3-2-1-2-3-2-3-3</f>
        <v>124</v>
      </c>
      <c r="E142" s="57">
        <v>100</v>
      </c>
      <c r="F142" s="57">
        <f>3+3+2+3+2+3+3+3+3+6+2+3+4+3+4+3+3+3+2+3+4+3+2+2+2+4+4+3+4+3+1+4+3+4+3+4+3+4+4+3+2+3+4+2+1+3</f>
        <v>140</v>
      </c>
      <c r="G142" s="57"/>
      <c r="H142" s="41">
        <f>+D142+E142-F142</f>
        <v>84</v>
      </c>
      <c r="I142" s="58">
        <v>274</v>
      </c>
      <c r="J142" s="42">
        <f t="shared" si="2"/>
        <v>23016</v>
      </c>
      <c r="K142" s="42"/>
      <c r="L142" s="42"/>
      <c r="M142" s="43" t="s">
        <v>20</v>
      </c>
    </row>
    <row r="143" spans="1:13" s="44" customFormat="1" ht="30" customHeight="1" x14ac:dyDescent="0.25">
      <c r="A143" s="39" t="s">
        <v>622</v>
      </c>
      <c r="B143" s="59">
        <v>44193</v>
      </c>
      <c r="C143" s="45" t="s">
        <v>57</v>
      </c>
      <c r="D143" s="41">
        <f>3-1</f>
        <v>2</v>
      </c>
      <c r="E143" s="41"/>
      <c r="F143" s="41"/>
      <c r="G143" s="41"/>
      <c r="H143" s="41">
        <f>+D143+E143-F143</f>
        <v>2</v>
      </c>
      <c r="I143" s="42">
        <v>35</v>
      </c>
      <c r="J143" s="42">
        <f t="shared" si="2"/>
        <v>70</v>
      </c>
      <c r="K143" s="42"/>
      <c r="L143" s="42"/>
      <c r="M143" s="43" t="s">
        <v>27</v>
      </c>
    </row>
    <row r="144" spans="1:13" s="44" customFormat="1" ht="30" customHeight="1" x14ac:dyDescent="0.25">
      <c r="A144" s="39" t="s">
        <v>625</v>
      </c>
      <c r="B144" s="40"/>
      <c r="C144" s="45" t="s">
        <v>60</v>
      </c>
      <c r="D144" s="41">
        <v>2</v>
      </c>
      <c r="E144" s="41"/>
      <c r="F144" s="41">
        <v>1</v>
      </c>
      <c r="G144" s="41"/>
      <c r="H144" s="41">
        <f>+D144+E144-F144</f>
        <v>1</v>
      </c>
      <c r="I144" s="42">
        <v>4000</v>
      </c>
      <c r="J144" s="42">
        <f t="shared" si="2"/>
        <v>4000</v>
      </c>
      <c r="K144" s="42"/>
      <c r="L144" s="42"/>
      <c r="M144" s="43" t="s">
        <v>27</v>
      </c>
    </row>
    <row r="145" spans="1:14" s="44" customFormat="1" ht="30" customHeight="1" x14ac:dyDescent="0.25">
      <c r="A145" s="39" t="s">
        <v>1467</v>
      </c>
      <c r="B145" s="50">
        <v>45631</v>
      </c>
      <c r="C145" s="51" t="s">
        <v>1475</v>
      </c>
      <c r="D145" s="52"/>
      <c r="E145" s="53">
        <v>3</v>
      </c>
      <c r="F145" s="53">
        <v>1</v>
      </c>
      <c r="G145" s="53"/>
      <c r="H145" s="41">
        <f>+D145+E145-F145+G145</f>
        <v>2</v>
      </c>
      <c r="I145" s="54">
        <v>4298.74</v>
      </c>
      <c r="J145" s="55">
        <f t="shared" si="2"/>
        <v>8597.48</v>
      </c>
      <c r="K145" s="54"/>
      <c r="L145" s="54"/>
      <c r="M145" s="60" t="s">
        <v>27</v>
      </c>
    </row>
    <row r="146" spans="1:14" s="44" customFormat="1" ht="15.75" x14ac:dyDescent="0.25">
      <c r="A146" s="39" t="s">
        <v>623</v>
      </c>
      <c r="B146" s="40"/>
      <c r="C146" s="45" t="s">
        <v>58</v>
      </c>
      <c r="D146" s="41">
        <v>3</v>
      </c>
      <c r="E146" s="41"/>
      <c r="F146" s="41"/>
      <c r="G146" s="41"/>
      <c r="H146" s="41">
        <f>+D146+E146-F146</f>
        <v>3</v>
      </c>
      <c r="I146" s="42">
        <v>5353</v>
      </c>
      <c r="J146" s="42">
        <f t="shared" si="2"/>
        <v>16059</v>
      </c>
      <c r="K146" s="42"/>
      <c r="L146" s="42"/>
      <c r="M146" s="43" t="s">
        <v>27</v>
      </c>
      <c r="N146" s="61"/>
    </row>
    <row r="147" spans="1:14" s="44" customFormat="1" ht="30" customHeight="1" x14ac:dyDescent="0.25">
      <c r="A147" s="39" t="s">
        <v>624</v>
      </c>
      <c r="B147" s="40"/>
      <c r="C147" s="45" t="s">
        <v>59</v>
      </c>
      <c r="D147" s="41">
        <v>8</v>
      </c>
      <c r="E147" s="41"/>
      <c r="F147" s="41"/>
      <c r="G147" s="41"/>
      <c r="H147" s="41">
        <f>+D147+E147-F147</f>
        <v>8</v>
      </c>
      <c r="I147" s="42">
        <v>541.70000000000005</v>
      </c>
      <c r="J147" s="42">
        <f t="shared" si="2"/>
        <v>4333.6000000000004</v>
      </c>
      <c r="K147" s="42"/>
      <c r="L147" s="42"/>
      <c r="M147" s="43" t="s">
        <v>27</v>
      </c>
    </row>
    <row r="148" spans="1:14" s="44" customFormat="1" ht="39.950000000000003" customHeight="1" x14ac:dyDescent="0.25">
      <c r="A148" s="39" t="s">
        <v>1466</v>
      </c>
      <c r="B148" s="50">
        <v>45631</v>
      </c>
      <c r="C148" s="51" t="s">
        <v>1474</v>
      </c>
      <c r="D148" s="52"/>
      <c r="E148" s="53">
        <v>2</v>
      </c>
      <c r="F148" s="53">
        <v>1</v>
      </c>
      <c r="G148" s="53"/>
      <c r="H148" s="41">
        <f>+D148+E148-F148+G148</f>
        <v>1</v>
      </c>
      <c r="I148" s="54">
        <v>279.66000000000003</v>
      </c>
      <c r="J148" s="55">
        <f t="shared" si="2"/>
        <v>279.66000000000003</v>
      </c>
      <c r="K148" s="54"/>
      <c r="L148" s="54"/>
      <c r="M148" s="60" t="s">
        <v>27</v>
      </c>
    </row>
    <row r="149" spans="1:14" s="44" customFormat="1" ht="39.950000000000003" customHeight="1" x14ac:dyDescent="0.25">
      <c r="A149" s="39" t="s">
        <v>1355</v>
      </c>
      <c r="B149" s="46">
        <v>45623</v>
      </c>
      <c r="C149" s="47" t="s">
        <v>1357</v>
      </c>
      <c r="D149" s="39"/>
      <c r="E149" s="41">
        <v>20</v>
      </c>
      <c r="F149" s="41">
        <f>4+1+3</f>
        <v>8</v>
      </c>
      <c r="G149" s="41"/>
      <c r="H149" s="41">
        <f>+D149+E149-F149+G149</f>
        <v>12</v>
      </c>
      <c r="I149" s="42">
        <v>39.409999999999997</v>
      </c>
      <c r="J149" s="42">
        <f t="shared" si="2"/>
        <v>472.91999999999996</v>
      </c>
      <c r="K149" s="42"/>
      <c r="L149" s="42"/>
      <c r="M149" s="43" t="s">
        <v>27</v>
      </c>
    </row>
    <row r="150" spans="1:14" s="44" customFormat="1" ht="39.950000000000003" customHeight="1" x14ac:dyDescent="0.25">
      <c r="A150" s="39" t="s">
        <v>939</v>
      </c>
      <c r="B150" s="40"/>
      <c r="C150" s="39" t="s">
        <v>329</v>
      </c>
      <c r="D150" s="41">
        <v>4</v>
      </c>
      <c r="E150" s="41"/>
      <c r="F150" s="41">
        <v>1</v>
      </c>
      <c r="G150" s="41"/>
      <c r="H150" s="41">
        <f>+D150+E150+-F150</f>
        <v>3</v>
      </c>
      <c r="I150" s="42">
        <v>850</v>
      </c>
      <c r="J150" s="42">
        <f t="shared" si="2"/>
        <v>2550</v>
      </c>
      <c r="K150" s="42"/>
      <c r="L150" s="42"/>
      <c r="M150" s="43" t="s">
        <v>313</v>
      </c>
    </row>
    <row r="151" spans="1:14" s="44" customFormat="1" ht="39.950000000000003" customHeight="1" x14ac:dyDescent="0.25">
      <c r="A151" s="39" t="s">
        <v>1522</v>
      </c>
      <c r="B151" s="50">
        <v>45642</v>
      </c>
      <c r="C151" s="51" t="s">
        <v>1523</v>
      </c>
      <c r="D151" s="52"/>
      <c r="E151" s="53">
        <v>10</v>
      </c>
      <c r="F151" s="53">
        <v>10</v>
      </c>
      <c r="G151" s="53"/>
      <c r="H151" s="41">
        <f>+D151+E151-F151+G151</f>
        <v>0</v>
      </c>
      <c r="I151" s="54">
        <v>1393.88</v>
      </c>
      <c r="J151" s="55">
        <f t="shared" si="2"/>
        <v>0</v>
      </c>
      <c r="K151" s="54"/>
      <c r="L151" s="54"/>
      <c r="M151" s="60" t="s">
        <v>1540</v>
      </c>
    </row>
    <row r="152" spans="1:14" s="44" customFormat="1" ht="39.950000000000003" customHeight="1" x14ac:dyDescent="0.25">
      <c r="A152" s="39" t="s">
        <v>1532</v>
      </c>
      <c r="B152" s="50">
        <v>45642</v>
      </c>
      <c r="C152" s="51" t="s">
        <v>1525</v>
      </c>
      <c r="D152" s="52"/>
      <c r="E152" s="53">
        <v>10</v>
      </c>
      <c r="F152" s="53">
        <v>10</v>
      </c>
      <c r="G152" s="53"/>
      <c r="H152" s="41">
        <f>+D152+E152-F152+G152</f>
        <v>0</v>
      </c>
      <c r="I152" s="54">
        <v>1393.88</v>
      </c>
      <c r="J152" s="55">
        <f t="shared" si="2"/>
        <v>0</v>
      </c>
      <c r="K152" s="54"/>
      <c r="L152" s="54"/>
      <c r="M152" s="60" t="s">
        <v>1540</v>
      </c>
    </row>
    <row r="153" spans="1:14" s="44" customFormat="1" ht="39.950000000000003" customHeight="1" x14ac:dyDescent="0.25">
      <c r="A153" s="39" t="s">
        <v>1531</v>
      </c>
      <c r="B153" s="50">
        <v>45642</v>
      </c>
      <c r="C153" s="51" t="s">
        <v>1524</v>
      </c>
      <c r="D153" s="52"/>
      <c r="E153" s="53">
        <v>10</v>
      </c>
      <c r="F153" s="53">
        <v>10</v>
      </c>
      <c r="G153" s="53"/>
      <c r="H153" s="41">
        <f>+D153+E153-F153+G153</f>
        <v>0</v>
      </c>
      <c r="I153" s="54">
        <v>1473.53</v>
      </c>
      <c r="J153" s="55">
        <f t="shared" si="2"/>
        <v>0</v>
      </c>
      <c r="K153" s="54"/>
      <c r="L153" s="54"/>
      <c r="M153" s="60" t="s">
        <v>1540</v>
      </c>
    </row>
    <row r="154" spans="1:14" s="44" customFormat="1" ht="39.950000000000003" customHeight="1" x14ac:dyDescent="0.25">
      <c r="A154" s="39" t="s">
        <v>1521</v>
      </c>
      <c r="B154" s="50">
        <v>45638</v>
      </c>
      <c r="C154" s="51" t="s">
        <v>1518</v>
      </c>
      <c r="D154" s="52"/>
      <c r="E154" s="53">
        <v>57</v>
      </c>
      <c r="F154" s="53">
        <v>57</v>
      </c>
      <c r="G154" s="53"/>
      <c r="H154" s="41">
        <f>+D154+E154-F154+G154</f>
        <v>0</v>
      </c>
      <c r="I154" s="54">
        <v>1947</v>
      </c>
      <c r="J154" s="55">
        <f t="shared" si="2"/>
        <v>0</v>
      </c>
      <c r="K154" s="54"/>
      <c r="L154" s="54"/>
      <c r="M154" s="60" t="s">
        <v>1540</v>
      </c>
    </row>
    <row r="155" spans="1:14" s="44" customFormat="1" ht="39.950000000000003" customHeight="1" x14ac:dyDescent="0.25">
      <c r="A155" s="39" t="s">
        <v>1514</v>
      </c>
      <c r="B155" s="50">
        <v>45638</v>
      </c>
      <c r="C155" s="51" t="s">
        <v>1520</v>
      </c>
      <c r="D155" s="52"/>
      <c r="E155" s="53">
        <v>57</v>
      </c>
      <c r="F155" s="53">
        <v>57</v>
      </c>
      <c r="G155" s="53"/>
      <c r="H155" s="41">
        <f>+D155+E155-F155+G155</f>
        <v>0</v>
      </c>
      <c r="I155" s="54">
        <v>2006</v>
      </c>
      <c r="J155" s="55">
        <f t="shared" si="2"/>
        <v>0</v>
      </c>
      <c r="K155" s="54"/>
      <c r="L155" s="54"/>
      <c r="M155" s="60" t="s">
        <v>1540</v>
      </c>
    </row>
    <row r="156" spans="1:14" s="44" customFormat="1" ht="39.950000000000003" customHeight="1" x14ac:dyDescent="0.25">
      <c r="A156" s="39" t="s">
        <v>1513</v>
      </c>
      <c r="B156" s="50">
        <v>45638</v>
      </c>
      <c r="C156" s="51" t="s">
        <v>1519</v>
      </c>
      <c r="D156" s="52"/>
      <c r="E156" s="53">
        <v>49</v>
      </c>
      <c r="F156" s="53">
        <v>49</v>
      </c>
      <c r="G156" s="53"/>
      <c r="H156" s="41">
        <f>+D156+E156-F156+G156</f>
        <v>0</v>
      </c>
      <c r="I156" s="54">
        <v>1947</v>
      </c>
      <c r="J156" s="55">
        <f t="shared" si="2"/>
        <v>0</v>
      </c>
      <c r="K156" s="54"/>
      <c r="L156" s="54"/>
      <c r="M156" s="60" t="s">
        <v>1540</v>
      </c>
    </row>
    <row r="157" spans="1:14" s="44" customFormat="1" ht="39.950000000000003" customHeight="1" x14ac:dyDescent="0.25">
      <c r="A157" s="39" t="s">
        <v>1512</v>
      </c>
      <c r="B157" s="50">
        <v>45638</v>
      </c>
      <c r="C157" s="51" t="s">
        <v>1517</v>
      </c>
      <c r="D157" s="52"/>
      <c r="E157" s="53">
        <v>49</v>
      </c>
      <c r="F157" s="53">
        <v>49</v>
      </c>
      <c r="G157" s="53"/>
      <c r="H157" s="41">
        <f>+D157+E157-F157+G157</f>
        <v>0</v>
      </c>
      <c r="I157" s="54">
        <v>2006</v>
      </c>
      <c r="J157" s="55">
        <f t="shared" si="2"/>
        <v>0</v>
      </c>
      <c r="K157" s="54"/>
      <c r="L157" s="54"/>
      <c r="M157" s="60" t="s">
        <v>1540</v>
      </c>
    </row>
    <row r="158" spans="1:14" s="44" customFormat="1" ht="39.950000000000003" customHeight="1" x14ac:dyDescent="0.25">
      <c r="A158" s="39" t="s">
        <v>1535</v>
      </c>
      <c r="B158" s="50">
        <v>45642</v>
      </c>
      <c r="C158" s="51" t="s">
        <v>1528</v>
      </c>
      <c r="D158" s="52"/>
      <c r="E158" s="53">
        <v>114</v>
      </c>
      <c r="F158" s="53">
        <v>114</v>
      </c>
      <c r="G158" s="53"/>
      <c r="H158" s="41">
        <f>+D158+E158-F158+G158</f>
        <v>0</v>
      </c>
      <c r="I158" s="54">
        <v>406.22</v>
      </c>
      <c r="J158" s="55">
        <f t="shared" si="2"/>
        <v>0</v>
      </c>
      <c r="K158" s="54"/>
      <c r="L158" s="54"/>
      <c r="M158" s="60" t="s">
        <v>1540</v>
      </c>
    </row>
    <row r="159" spans="1:14" s="44" customFormat="1" ht="39.950000000000003" customHeight="1" x14ac:dyDescent="0.25">
      <c r="A159" s="39" t="s">
        <v>1511</v>
      </c>
      <c r="B159" s="50">
        <v>45638</v>
      </c>
      <c r="C159" s="51" t="s">
        <v>1516</v>
      </c>
      <c r="D159" s="52"/>
      <c r="E159" s="53">
        <v>57</v>
      </c>
      <c r="F159" s="53">
        <v>57</v>
      </c>
      <c r="G159" s="53"/>
      <c r="H159" s="41">
        <f>+D159+E159-F159+G159</f>
        <v>0</v>
      </c>
      <c r="I159" s="54">
        <v>448.4</v>
      </c>
      <c r="J159" s="55">
        <f t="shared" si="2"/>
        <v>0</v>
      </c>
      <c r="K159" s="54"/>
      <c r="L159" s="54"/>
      <c r="M159" s="60" t="s">
        <v>1540</v>
      </c>
    </row>
    <row r="160" spans="1:14" s="44" customFormat="1" ht="39.950000000000003" customHeight="1" x14ac:dyDescent="0.25">
      <c r="A160" s="39" t="s">
        <v>772</v>
      </c>
      <c r="B160" s="48">
        <v>45414</v>
      </c>
      <c r="C160" s="39" t="s">
        <v>176</v>
      </c>
      <c r="D160" s="41">
        <f>5-1</f>
        <v>4</v>
      </c>
      <c r="E160" s="41"/>
      <c r="F160" s="41">
        <v>1</v>
      </c>
      <c r="G160" s="41"/>
      <c r="H160" s="41">
        <f>+D160+E160+-F160</f>
        <v>3</v>
      </c>
      <c r="I160" s="42">
        <v>1123.3800000000001</v>
      </c>
      <c r="J160" s="42">
        <f t="shared" si="2"/>
        <v>3370.1400000000003</v>
      </c>
      <c r="K160" s="42"/>
      <c r="L160" s="42"/>
      <c r="M160" s="43" t="s">
        <v>169</v>
      </c>
    </row>
    <row r="161" spans="1:13" s="44" customFormat="1" ht="39.950000000000003" customHeight="1" x14ac:dyDescent="0.25">
      <c r="A161" s="39" t="s">
        <v>771</v>
      </c>
      <c r="B161" s="48">
        <v>45414</v>
      </c>
      <c r="C161" s="39" t="s">
        <v>1226</v>
      </c>
      <c r="D161" s="41">
        <f>5-1</f>
        <v>4</v>
      </c>
      <c r="E161" s="41"/>
      <c r="F161" s="41">
        <f>1+1</f>
        <v>2</v>
      </c>
      <c r="G161" s="41"/>
      <c r="H161" s="41">
        <f>+D161+E161+-F161</f>
        <v>2</v>
      </c>
      <c r="I161" s="42">
        <v>795.82</v>
      </c>
      <c r="J161" s="42">
        <f t="shared" si="2"/>
        <v>1591.64</v>
      </c>
      <c r="K161" s="42"/>
      <c r="L161" s="42"/>
      <c r="M161" s="43" t="s">
        <v>169</v>
      </c>
    </row>
    <row r="162" spans="1:13" s="44" customFormat="1" ht="39.950000000000003" customHeight="1" x14ac:dyDescent="0.25">
      <c r="A162" s="39" t="s">
        <v>1233</v>
      </c>
      <c r="B162" s="62">
        <v>45604</v>
      </c>
      <c r="C162" s="63" t="s">
        <v>1235</v>
      </c>
      <c r="D162" s="64">
        <v>396</v>
      </c>
      <c r="E162" s="64"/>
      <c r="F162" s="64">
        <f>110+58+2</f>
        <v>170</v>
      </c>
      <c r="G162" s="64"/>
      <c r="H162" s="64">
        <f>+D162+E162+-F162+G162</f>
        <v>226</v>
      </c>
      <c r="I162" s="65"/>
      <c r="J162" s="66">
        <f t="shared" si="2"/>
        <v>0</v>
      </c>
      <c r="K162" s="66">
        <v>416</v>
      </c>
      <c r="L162" s="66">
        <f>+H162*K162</f>
        <v>94016</v>
      </c>
      <c r="M162" s="67" t="s">
        <v>147</v>
      </c>
    </row>
    <row r="163" spans="1:13" s="44" customFormat="1" ht="39.950000000000003" customHeight="1" x14ac:dyDescent="0.25">
      <c r="A163" s="39" t="s">
        <v>1616</v>
      </c>
      <c r="B163" s="40"/>
      <c r="C163" s="39" t="s">
        <v>177</v>
      </c>
      <c r="D163" s="41">
        <v>1</v>
      </c>
      <c r="E163" s="41"/>
      <c r="F163" s="41"/>
      <c r="G163" s="41"/>
      <c r="H163" s="41">
        <f>+D163+E163+-F163</f>
        <v>1</v>
      </c>
      <c r="I163" s="42">
        <v>3500</v>
      </c>
      <c r="J163" s="42">
        <f t="shared" si="2"/>
        <v>3500</v>
      </c>
      <c r="K163" s="42"/>
      <c r="L163" s="42"/>
      <c r="M163" s="43" t="s">
        <v>169</v>
      </c>
    </row>
    <row r="164" spans="1:13" s="44" customFormat="1" ht="39.950000000000003" customHeight="1" x14ac:dyDescent="0.25">
      <c r="A164" s="39" t="s">
        <v>940</v>
      </c>
      <c r="B164" s="40" t="s">
        <v>273</v>
      </c>
      <c r="C164" s="39" t="s">
        <v>330</v>
      </c>
      <c r="D164" s="41">
        <v>13</v>
      </c>
      <c r="E164" s="41"/>
      <c r="F164" s="41">
        <f>3+3</f>
        <v>6</v>
      </c>
      <c r="G164" s="41"/>
      <c r="H164" s="41">
        <f>+D164+E164+-F164</f>
        <v>7</v>
      </c>
      <c r="I164" s="42">
        <v>208.86</v>
      </c>
      <c r="J164" s="42">
        <f t="shared" si="2"/>
        <v>1462.02</v>
      </c>
      <c r="K164" s="42"/>
      <c r="L164" s="42"/>
      <c r="M164" s="43" t="s">
        <v>313</v>
      </c>
    </row>
    <row r="165" spans="1:13" s="44" customFormat="1" ht="39.950000000000003" customHeight="1" x14ac:dyDescent="0.25">
      <c r="A165" s="39" t="s">
        <v>941</v>
      </c>
      <c r="B165" s="40"/>
      <c r="C165" s="39" t="s">
        <v>331</v>
      </c>
      <c r="D165" s="41">
        <f>8-2</f>
        <v>6</v>
      </c>
      <c r="E165" s="41"/>
      <c r="F165" s="41"/>
      <c r="G165" s="41"/>
      <c r="H165" s="41">
        <f>+D165+E165+-F165</f>
        <v>6</v>
      </c>
      <c r="I165" s="42">
        <v>525</v>
      </c>
      <c r="J165" s="42">
        <f t="shared" si="2"/>
        <v>3150</v>
      </c>
      <c r="K165" s="42"/>
      <c r="L165" s="42"/>
      <c r="M165" s="43" t="s">
        <v>313</v>
      </c>
    </row>
    <row r="166" spans="1:13" s="44" customFormat="1" ht="39.950000000000003" customHeight="1" x14ac:dyDescent="0.25">
      <c r="A166" s="39" t="s">
        <v>1459</v>
      </c>
      <c r="B166" s="46">
        <v>45636</v>
      </c>
      <c r="C166" s="51" t="s">
        <v>1464</v>
      </c>
      <c r="D166" s="52"/>
      <c r="E166" s="53">
        <v>5</v>
      </c>
      <c r="F166" s="53">
        <v>5</v>
      </c>
      <c r="G166" s="53"/>
      <c r="H166" s="41">
        <f>+D166+E166-F166+G166</f>
        <v>0</v>
      </c>
      <c r="I166" s="54">
        <v>6036</v>
      </c>
      <c r="J166" s="55">
        <f t="shared" si="2"/>
        <v>0</v>
      </c>
      <c r="K166" s="54"/>
      <c r="L166" s="54"/>
      <c r="M166" s="60" t="s">
        <v>1541</v>
      </c>
    </row>
    <row r="167" spans="1:13" s="44" customFormat="1" ht="39.950000000000003" customHeight="1" x14ac:dyDescent="0.25">
      <c r="A167" s="39" t="s">
        <v>734</v>
      </c>
      <c r="B167" s="40"/>
      <c r="C167" s="39" t="s">
        <v>148</v>
      </c>
      <c r="D167" s="41">
        <v>5</v>
      </c>
      <c r="E167" s="41"/>
      <c r="F167" s="41"/>
      <c r="G167" s="41"/>
      <c r="H167" s="41">
        <f>+D167+E167-F167</f>
        <v>5</v>
      </c>
      <c r="I167" s="42">
        <v>119</v>
      </c>
      <c r="J167" s="42">
        <f t="shared" si="2"/>
        <v>595</v>
      </c>
      <c r="K167" s="42"/>
      <c r="L167" s="42"/>
      <c r="M167" s="43" t="s">
        <v>147</v>
      </c>
    </row>
    <row r="168" spans="1:13" s="44" customFormat="1" ht="39.950000000000003" customHeight="1" x14ac:dyDescent="0.25">
      <c r="A168" s="39" t="s">
        <v>942</v>
      </c>
      <c r="B168" s="40"/>
      <c r="C168" s="39" t="s">
        <v>332</v>
      </c>
      <c r="D168" s="41">
        <v>36</v>
      </c>
      <c r="E168" s="41"/>
      <c r="F168" s="41">
        <v>2</v>
      </c>
      <c r="G168" s="41"/>
      <c r="H168" s="41">
        <f>+D168+E168+-F168</f>
        <v>34</v>
      </c>
      <c r="I168" s="42">
        <v>15</v>
      </c>
      <c r="J168" s="42">
        <f t="shared" si="2"/>
        <v>510</v>
      </c>
      <c r="K168" s="42"/>
      <c r="L168" s="42"/>
      <c r="M168" s="43" t="s">
        <v>313</v>
      </c>
    </row>
    <row r="169" spans="1:13" s="44" customFormat="1" ht="39.950000000000003" customHeight="1" x14ac:dyDescent="0.25">
      <c r="A169" s="39" t="s">
        <v>773</v>
      </c>
      <c r="B169" s="48">
        <v>45414</v>
      </c>
      <c r="C169" s="39" t="s">
        <v>178</v>
      </c>
      <c r="D169" s="41">
        <v>1</v>
      </c>
      <c r="E169" s="41"/>
      <c r="F169" s="41">
        <v>1</v>
      </c>
      <c r="G169" s="41"/>
      <c r="H169" s="41">
        <f>+D169+E169+-F169</f>
        <v>0</v>
      </c>
      <c r="I169" s="42">
        <v>82.84</v>
      </c>
      <c r="J169" s="42">
        <f t="shared" si="2"/>
        <v>0</v>
      </c>
      <c r="K169" s="42"/>
      <c r="L169" s="42"/>
      <c r="M169" s="43" t="s">
        <v>169</v>
      </c>
    </row>
    <row r="170" spans="1:13" s="44" customFormat="1" ht="39.950000000000003" customHeight="1" x14ac:dyDescent="0.25">
      <c r="A170" s="39" t="s">
        <v>1273</v>
      </c>
      <c r="B170" s="46">
        <v>45623</v>
      </c>
      <c r="C170" s="47" t="s">
        <v>1326</v>
      </c>
      <c r="D170" s="39"/>
      <c r="E170" s="41">
        <v>15</v>
      </c>
      <c r="F170" s="41"/>
      <c r="G170" s="41"/>
      <c r="H170" s="64">
        <f>+D170+E170-F170+G170</f>
        <v>15</v>
      </c>
      <c r="I170" s="42">
        <v>413</v>
      </c>
      <c r="J170" s="42">
        <f t="shared" si="2"/>
        <v>6195</v>
      </c>
      <c r="K170" s="42"/>
      <c r="L170" s="42"/>
      <c r="M170" s="43" t="s">
        <v>1328</v>
      </c>
    </row>
    <row r="171" spans="1:13" s="44" customFormat="1" ht="39.950000000000003" customHeight="1" x14ac:dyDescent="0.25">
      <c r="A171" s="39" t="s">
        <v>1502</v>
      </c>
      <c r="B171" s="50">
        <v>45631</v>
      </c>
      <c r="C171" s="51" t="s">
        <v>1489</v>
      </c>
      <c r="D171" s="52"/>
      <c r="E171" s="53">
        <v>1</v>
      </c>
      <c r="F171" s="53"/>
      <c r="G171" s="53"/>
      <c r="H171" s="41">
        <f>+D171+E171-F171+G171</f>
        <v>1</v>
      </c>
      <c r="I171" s="54">
        <v>1154.04</v>
      </c>
      <c r="J171" s="55">
        <f t="shared" si="2"/>
        <v>1154.04</v>
      </c>
      <c r="K171" s="54"/>
      <c r="L171" s="54"/>
      <c r="M171" s="60" t="s">
        <v>1541</v>
      </c>
    </row>
    <row r="172" spans="1:13" s="44" customFormat="1" ht="39.950000000000003" customHeight="1" x14ac:dyDescent="0.25">
      <c r="A172" s="39" t="s">
        <v>849</v>
      </c>
      <c r="B172" s="40" t="s">
        <v>6</v>
      </c>
      <c r="C172" s="39" t="s">
        <v>247</v>
      </c>
      <c r="D172" s="41">
        <v>15</v>
      </c>
      <c r="E172" s="41"/>
      <c r="F172" s="41">
        <v>5</v>
      </c>
      <c r="G172" s="41"/>
      <c r="H172" s="41">
        <f>+D172+E172+-F172</f>
        <v>10</v>
      </c>
      <c r="I172" s="42">
        <v>172.08</v>
      </c>
      <c r="J172" s="42">
        <f t="shared" si="2"/>
        <v>1720.8000000000002</v>
      </c>
      <c r="K172" s="42"/>
      <c r="L172" s="42"/>
      <c r="M172" s="43" t="s">
        <v>248</v>
      </c>
    </row>
    <row r="173" spans="1:13" s="44" customFormat="1" ht="39.950000000000003" customHeight="1" x14ac:dyDescent="0.25">
      <c r="A173" s="39" t="s">
        <v>850</v>
      </c>
      <c r="B173" s="40" t="s">
        <v>6</v>
      </c>
      <c r="C173" s="39" t="s">
        <v>249</v>
      </c>
      <c r="D173" s="41">
        <v>26</v>
      </c>
      <c r="E173" s="41"/>
      <c r="F173" s="41">
        <f>3+12</f>
        <v>15</v>
      </c>
      <c r="G173" s="41"/>
      <c r="H173" s="41">
        <f>+D173+E173+-F173</f>
        <v>11</v>
      </c>
      <c r="I173" s="42">
        <v>172.08</v>
      </c>
      <c r="J173" s="42">
        <f t="shared" si="2"/>
        <v>1892.88</v>
      </c>
      <c r="K173" s="42"/>
      <c r="L173" s="42"/>
      <c r="M173" s="43" t="s">
        <v>248</v>
      </c>
    </row>
    <row r="174" spans="1:13" s="44" customFormat="1" ht="39.950000000000003" customHeight="1" x14ac:dyDescent="0.25">
      <c r="A174" s="39" t="s">
        <v>851</v>
      </c>
      <c r="B174" s="40" t="s">
        <v>6</v>
      </c>
      <c r="C174" s="39" t="s">
        <v>250</v>
      </c>
      <c r="D174" s="41">
        <v>16</v>
      </c>
      <c r="E174" s="41"/>
      <c r="F174" s="41">
        <v>1</v>
      </c>
      <c r="G174" s="41"/>
      <c r="H174" s="41">
        <f>+D174+E174+-F174</f>
        <v>15</v>
      </c>
      <c r="I174" s="42">
        <v>172.08</v>
      </c>
      <c r="J174" s="42">
        <f t="shared" si="2"/>
        <v>2581.2000000000003</v>
      </c>
      <c r="K174" s="42"/>
      <c r="L174" s="42"/>
      <c r="M174" s="43" t="s">
        <v>248</v>
      </c>
    </row>
    <row r="175" spans="1:13" s="44" customFormat="1" ht="31.5" x14ac:dyDescent="0.25">
      <c r="A175" s="39" t="s">
        <v>872</v>
      </c>
      <c r="B175" s="48">
        <v>45932</v>
      </c>
      <c r="C175" s="39" t="s">
        <v>268</v>
      </c>
      <c r="D175" s="41">
        <v>7</v>
      </c>
      <c r="E175" s="41">
        <v>100</v>
      </c>
      <c r="F175" s="41">
        <f>6+1+10-1+2+12</f>
        <v>30</v>
      </c>
      <c r="G175" s="41"/>
      <c r="H175" s="41">
        <f>+D175+E175+-F175</f>
        <v>77</v>
      </c>
      <c r="I175" s="42">
        <v>348.1</v>
      </c>
      <c r="J175" s="42">
        <f t="shared" si="2"/>
        <v>26803.7</v>
      </c>
      <c r="K175" s="42"/>
      <c r="L175" s="42"/>
      <c r="M175" s="43" t="s">
        <v>248</v>
      </c>
    </row>
    <row r="176" spans="1:13" s="44" customFormat="1" ht="30" customHeight="1" x14ac:dyDescent="0.25">
      <c r="A176" s="39" t="s">
        <v>873</v>
      </c>
      <c r="B176" s="48">
        <v>45932</v>
      </c>
      <c r="C176" s="45" t="s">
        <v>270</v>
      </c>
      <c r="D176" s="41">
        <v>39</v>
      </c>
      <c r="E176" s="41">
        <v>80</v>
      </c>
      <c r="F176" s="41">
        <f>2+10+1+1+1+3+2+17+20+20+30+2-1</f>
        <v>108</v>
      </c>
      <c r="G176" s="41"/>
      <c r="H176" s="41">
        <f>+D176+E176+-F176</f>
        <v>11</v>
      </c>
      <c r="I176" s="42">
        <v>70.8</v>
      </c>
      <c r="J176" s="42">
        <f t="shared" si="2"/>
        <v>778.8</v>
      </c>
      <c r="K176" s="42"/>
      <c r="L176" s="42"/>
      <c r="M176" s="43" t="s">
        <v>248</v>
      </c>
    </row>
    <row r="177" spans="1:13" s="44" customFormat="1" ht="30" customHeight="1" x14ac:dyDescent="0.25">
      <c r="A177" s="39" t="s">
        <v>1101</v>
      </c>
      <c r="B177" s="40" t="s">
        <v>254</v>
      </c>
      <c r="C177" s="39" t="s">
        <v>469</v>
      </c>
      <c r="D177" s="41">
        <v>1</v>
      </c>
      <c r="E177" s="41"/>
      <c r="F177" s="41">
        <v>1</v>
      </c>
      <c r="G177" s="41"/>
      <c r="H177" s="41">
        <f>+D177+E177+-F177</f>
        <v>0</v>
      </c>
      <c r="I177" s="42">
        <v>88</v>
      </c>
      <c r="J177" s="42">
        <f t="shared" si="2"/>
        <v>0</v>
      </c>
      <c r="K177" s="42"/>
      <c r="L177" s="42"/>
      <c r="M177" s="43" t="s">
        <v>454</v>
      </c>
    </row>
    <row r="178" spans="1:13" s="44" customFormat="1" ht="30" customHeight="1" x14ac:dyDescent="0.25">
      <c r="A178" s="39" t="s">
        <v>774</v>
      </c>
      <c r="B178" s="48">
        <v>45499</v>
      </c>
      <c r="C178" s="39" t="s">
        <v>179</v>
      </c>
      <c r="D178" s="41">
        <f>20-1-1-1-1-2</f>
        <v>14</v>
      </c>
      <c r="E178" s="41"/>
      <c r="F178" s="41">
        <f>2+1+2+1+2+1+1+2+1</f>
        <v>13</v>
      </c>
      <c r="G178" s="41"/>
      <c r="H178" s="41">
        <f>+D178+E178+-F178</f>
        <v>1</v>
      </c>
      <c r="I178" s="42">
        <v>531</v>
      </c>
      <c r="J178" s="42">
        <f t="shared" si="2"/>
        <v>531</v>
      </c>
      <c r="K178" s="42"/>
      <c r="L178" s="42"/>
      <c r="M178" s="43" t="s">
        <v>169</v>
      </c>
    </row>
    <row r="179" spans="1:13" s="44" customFormat="1" ht="30" customHeight="1" x14ac:dyDescent="0.25">
      <c r="A179" s="39" t="s">
        <v>775</v>
      </c>
      <c r="B179" s="40"/>
      <c r="C179" s="39" t="s">
        <v>180</v>
      </c>
      <c r="D179" s="41">
        <v>1</v>
      </c>
      <c r="E179" s="41"/>
      <c r="F179" s="41"/>
      <c r="G179" s="41"/>
      <c r="H179" s="41">
        <f>+D179+E179+-F179</f>
        <v>1</v>
      </c>
      <c r="I179" s="42">
        <v>1028</v>
      </c>
      <c r="J179" s="42">
        <f t="shared" si="2"/>
        <v>1028</v>
      </c>
      <c r="K179" s="42"/>
      <c r="L179" s="42"/>
      <c r="M179" s="43" t="s">
        <v>169</v>
      </c>
    </row>
    <row r="180" spans="1:13" s="44" customFormat="1" ht="30" customHeight="1" x14ac:dyDescent="0.25">
      <c r="A180" s="39" t="s">
        <v>1510</v>
      </c>
      <c r="B180" s="50">
        <v>45638</v>
      </c>
      <c r="C180" s="51" t="s">
        <v>1515</v>
      </c>
      <c r="D180" s="52"/>
      <c r="E180" s="53">
        <v>10</v>
      </c>
      <c r="F180" s="53">
        <v>10</v>
      </c>
      <c r="G180" s="53"/>
      <c r="H180" s="41">
        <f>+D180+E180-F180+G180</f>
        <v>0</v>
      </c>
      <c r="I180" s="54">
        <v>5664</v>
      </c>
      <c r="J180" s="55">
        <f t="shared" si="2"/>
        <v>0</v>
      </c>
      <c r="K180" s="54"/>
      <c r="L180" s="54"/>
      <c r="M180" s="60" t="s">
        <v>1540</v>
      </c>
    </row>
    <row r="181" spans="1:13" s="44" customFormat="1" ht="30" customHeight="1" x14ac:dyDescent="0.25">
      <c r="A181" s="39" t="s">
        <v>1479</v>
      </c>
      <c r="B181" s="50">
        <v>45631</v>
      </c>
      <c r="C181" s="51" t="s">
        <v>1477</v>
      </c>
      <c r="D181" s="52"/>
      <c r="E181" s="53">
        <v>2</v>
      </c>
      <c r="F181" s="53"/>
      <c r="G181" s="53"/>
      <c r="H181" s="41">
        <f>+D181+E181-F181+G181</f>
        <v>2</v>
      </c>
      <c r="I181" s="54">
        <v>3037.32</v>
      </c>
      <c r="J181" s="55">
        <f t="shared" si="2"/>
        <v>6074.64</v>
      </c>
      <c r="K181" s="54"/>
      <c r="L181" s="54"/>
      <c r="M181" s="60" t="s">
        <v>1372</v>
      </c>
    </row>
    <row r="182" spans="1:13" s="44" customFormat="1" ht="30" customHeight="1" x14ac:dyDescent="0.25">
      <c r="A182" s="39" t="s">
        <v>1537</v>
      </c>
      <c r="B182" s="50">
        <v>45642</v>
      </c>
      <c r="C182" s="51" t="s">
        <v>1530</v>
      </c>
      <c r="D182" s="52"/>
      <c r="E182" s="53">
        <v>21</v>
      </c>
      <c r="F182" s="53">
        <v>21</v>
      </c>
      <c r="G182" s="53"/>
      <c r="H182" s="41">
        <f>+D182+E182-F182+G182</f>
        <v>0</v>
      </c>
      <c r="I182" s="54">
        <v>6796.8</v>
      </c>
      <c r="J182" s="55">
        <f t="shared" si="2"/>
        <v>0</v>
      </c>
      <c r="K182" s="54"/>
      <c r="L182" s="54"/>
      <c r="M182" s="60" t="s">
        <v>1540</v>
      </c>
    </row>
    <row r="183" spans="1:13" s="44" customFormat="1" ht="30" customHeight="1" x14ac:dyDescent="0.25">
      <c r="A183" s="39" t="s">
        <v>943</v>
      </c>
      <c r="B183" s="59">
        <v>45469</v>
      </c>
      <c r="C183" s="39" t="s">
        <v>333</v>
      </c>
      <c r="D183" s="41">
        <v>19</v>
      </c>
      <c r="E183" s="41"/>
      <c r="F183" s="41">
        <v>1</v>
      </c>
      <c r="G183" s="41"/>
      <c r="H183" s="41">
        <f>+D183+E183+-F183</f>
        <v>18</v>
      </c>
      <c r="I183" s="42">
        <v>37.74</v>
      </c>
      <c r="J183" s="42">
        <f t="shared" si="2"/>
        <v>679.32</v>
      </c>
      <c r="K183" s="42"/>
      <c r="L183" s="42"/>
      <c r="M183" s="43" t="s">
        <v>313</v>
      </c>
    </row>
    <row r="184" spans="1:13" s="44" customFormat="1" ht="15.75" x14ac:dyDescent="0.25">
      <c r="A184" s="39" t="s">
        <v>944</v>
      </c>
      <c r="B184" s="49" t="s">
        <v>6</v>
      </c>
      <c r="C184" s="39" t="s">
        <v>334</v>
      </c>
      <c r="D184" s="41">
        <v>1</v>
      </c>
      <c r="E184" s="41"/>
      <c r="F184" s="41"/>
      <c r="G184" s="41"/>
      <c r="H184" s="41">
        <f>+D184+E184+-F184</f>
        <v>1</v>
      </c>
      <c r="I184" s="42">
        <v>37.74</v>
      </c>
      <c r="J184" s="42">
        <f t="shared" si="2"/>
        <v>37.74</v>
      </c>
      <c r="K184" s="42"/>
      <c r="L184" s="42"/>
      <c r="M184" s="43" t="s">
        <v>313</v>
      </c>
    </row>
    <row r="185" spans="1:13" s="44" customFormat="1" ht="15.75" x14ac:dyDescent="0.25">
      <c r="A185" s="39" t="s">
        <v>945</v>
      </c>
      <c r="B185" s="49">
        <v>44193</v>
      </c>
      <c r="C185" s="39" t="s">
        <v>335</v>
      </c>
      <c r="D185" s="41">
        <v>5</v>
      </c>
      <c r="E185" s="41"/>
      <c r="F185" s="41">
        <f>2+1</f>
        <v>3</v>
      </c>
      <c r="G185" s="41"/>
      <c r="H185" s="41">
        <f>+D185+E185+-F185</f>
        <v>2</v>
      </c>
      <c r="I185" s="42">
        <v>37.74</v>
      </c>
      <c r="J185" s="42">
        <f t="shared" si="2"/>
        <v>75.48</v>
      </c>
      <c r="K185" s="42"/>
      <c r="L185" s="42"/>
      <c r="M185" s="43" t="s">
        <v>313</v>
      </c>
    </row>
    <row r="186" spans="1:13" s="44" customFormat="1" ht="31.5" x14ac:dyDescent="0.25">
      <c r="A186" s="39" t="s">
        <v>776</v>
      </c>
      <c r="B186" s="40"/>
      <c r="C186" s="39" t="s">
        <v>181</v>
      </c>
      <c r="D186" s="41">
        <v>1</v>
      </c>
      <c r="E186" s="41"/>
      <c r="F186" s="41"/>
      <c r="G186" s="41"/>
      <c r="H186" s="41">
        <f>+D186+E186+-F186</f>
        <v>1</v>
      </c>
      <c r="I186" s="42">
        <v>300</v>
      </c>
      <c r="J186" s="42">
        <f t="shared" si="2"/>
        <v>300</v>
      </c>
      <c r="K186" s="42"/>
      <c r="L186" s="42"/>
      <c r="M186" s="43" t="s">
        <v>169</v>
      </c>
    </row>
    <row r="187" spans="1:13" s="44" customFormat="1" ht="15.75" x14ac:dyDescent="0.25">
      <c r="A187" s="39" t="s">
        <v>1508</v>
      </c>
      <c r="B187" s="50">
        <v>45631</v>
      </c>
      <c r="C187" s="51" t="s">
        <v>1494</v>
      </c>
      <c r="D187" s="52"/>
      <c r="E187" s="53">
        <v>1</v>
      </c>
      <c r="F187" s="53"/>
      <c r="G187" s="53"/>
      <c r="H187" s="41">
        <f>+D187+E187-F187+G187</f>
        <v>1</v>
      </c>
      <c r="I187" s="54">
        <v>306.8</v>
      </c>
      <c r="J187" s="55">
        <f t="shared" si="2"/>
        <v>306.8</v>
      </c>
      <c r="K187" s="54"/>
      <c r="L187" s="54"/>
      <c r="M187" s="60" t="s">
        <v>1372</v>
      </c>
    </row>
    <row r="188" spans="1:13" s="44" customFormat="1" ht="15.75" x14ac:dyDescent="0.25">
      <c r="A188" s="39" t="s">
        <v>1498</v>
      </c>
      <c r="B188" s="50">
        <v>45631</v>
      </c>
      <c r="C188" s="51" t="s">
        <v>1485</v>
      </c>
      <c r="D188" s="52"/>
      <c r="E188" s="53">
        <v>1</v>
      </c>
      <c r="F188" s="53"/>
      <c r="G188" s="53"/>
      <c r="H188" s="41">
        <f>+D188+E188-F188+G188</f>
        <v>1</v>
      </c>
      <c r="I188" s="54">
        <v>318.60000000000002</v>
      </c>
      <c r="J188" s="55">
        <f t="shared" si="2"/>
        <v>318.60000000000002</v>
      </c>
      <c r="K188" s="54"/>
      <c r="L188" s="54"/>
      <c r="M188" s="60" t="s">
        <v>1372</v>
      </c>
    </row>
    <row r="189" spans="1:13" s="44" customFormat="1" ht="15.75" x14ac:dyDescent="0.25">
      <c r="A189" s="39" t="s">
        <v>1500</v>
      </c>
      <c r="B189" s="50">
        <v>45631</v>
      </c>
      <c r="C189" s="51" t="s">
        <v>1487</v>
      </c>
      <c r="D189" s="52"/>
      <c r="E189" s="53">
        <v>1</v>
      </c>
      <c r="F189" s="53"/>
      <c r="G189" s="53"/>
      <c r="H189" s="41">
        <f>+D189+E189-F189+G189</f>
        <v>1</v>
      </c>
      <c r="I189" s="54">
        <v>224.2</v>
      </c>
      <c r="J189" s="55">
        <f t="shared" si="2"/>
        <v>224.2</v>
      </c>
      <c r="K189" s="54"/>
      <c r="L189" s="54"/>
      <c r="M189" s="60" t="s">
        <v>1372</v>
      </c>
    </row>
    <row r="190" spans="1:13" s="44" customFormat="1" ht="15.75" x14ac:dyDescent="0.25">
      <c r="A190" s="39" t="s">
        <v>1499</v>
      </c>
      <c r="B190" s="50">
        <v>45631</v>
      </c>
      <c r="C190" s="51" t="s">
        <v>1486</v>
      </c>
      <c r="D190" s="52"/>
      <c r="E190" s="53">
        <v>1</v>
      </c>
      <c r="F190" s="53"/>
      <c r="G190" s="53"/>
      <c r="H190" s="41">
        <f>+D190+E190-F190+G190</f>
        <v>1</v>
      </c>
      <c r="I190" s="54">
        <v>253.7</v>
      </c>
      <c r="J190" s="55">
        <f t="shared" si="2"/>
        <v>253.7</v>
      </c>
      <c r="K190" s="54"/>
      <c r="L190" s="54"/>
      <c r="M190" s="60" t="s">
        <v>1372</v>
      </c>
    </row>
    <row r="191" spans="1:13" s="44" customFormat="1" ht="15.75" x14ac:dyDescent="0.25">
      <c r="A191" s="39" t="s">
        <v>1509</v>
      </c>
      <c r="B191" s="50">
        <v>45631</v>
      </c>
      <c r="C191" s="51" t="s">
        <v>1495</v>
      </c>
      <c r="D191" s="52"/>
      <c r="E191" s="53">
        <v>4</v>
      </c>
      <c r="F191" s="53"/>
      <c r="G191" s="53"/>
      <c r="H191" s="41">
        <f>+D191+E191-F191+G191</f>
        <v>4</v>
      </c>
      <c r="I191" s="54">
        <v>318.60000000000002</v>
      </c>
      <c r="J191" s="55">
        <f t="shared" si="2"/>
        <v>1274.4000000000001</v>
      </c>
      <c r="K191" s="54"/>
      <c r="L191" s="54"/>
      <c r="M191" s="60" t="s">
        <v>1372</v>
      </c>
    </row>
    <row r="192" spans="1:13" s="44" customFormat="1" ht="15.75" x14ac:dyDescent="0.25">
      <c r="A192" s="39" t="s">
        <v>948</v>
      </c>
      <c r="B192" s="40" t="s">
        <v>273</v>
      </c>
      <c r="C192" s="39" t="s">
        <v>338</v>
      </c>
      <c r="D192" s="41">
        <v>37</v>
      </c>
      <c r="E192" s="41"/>
      <c r="F192" s="41">
        <f>1+2+1+5+1+1</f>
        <v>11</v>
      </c>
      <c r="G192" s="41"/>
      <c r="H192" s="41">
        <f>+D192+E192+-F192</f>
        <v>26</v>
      </c>
      <c r="I192" s="42">
        <v>89.81</v>
      </c>
      <c r="J192" s="42">
        <f t="shared" si="2"/>
        <v>2335.06</v>
      </c>
      <c r="K192" s="42"/>
      <c r="L192" s="42"/>
      <c r="M192" s="43" t="s">
        <v>313</v>
      </c>
    </row>
    <row r="193" spans="1:13" s="44" customFormat="1" ht="15.75" x14ac:dyDescent="0.25">
      <c r="A193" s="39" t="s">
        <v>946</v>
      </c>
      <c r="B193" s="40" t="s">
        <v>273</v>
      </c>
      <c r="C193" s="39" t="s">
        <v>336</v>
      </c>
      <c r="D193" s="41">
        <v>5</v>
      </c>
      <c r="E193" s="41"/>
      <c r="F193" s="41">
        <v>0</v>
      </c>
      <c r="G193" s="41"/>
      <c r="H193" s="41">
        <f>+D193+E193+-F193</f>
        <v>5</v>
      </c>
      <c r="I193" s="42">
        <v>324.43</v>
      </c>
      <c r="J193" s="42">
        <f t="shared" si="2"/>
        <v>1622.15</v>
      </c>
      <c r="K193" s="42"/>
      <c r="L193" s="42"/>
      <c r="M193" s="43" t="s">
        <v>313</v>
      </c>
    </row>
    <row r="194" spans="1:13" s="44" customFormat="1" ht="15.75" x14ac:dyDescent="0.25">
      <c r="A194" s="39" t="s">
        <v>1189</v>
      </c>
      <c r="B194" s="40"/>
      <c r="C194" s="39" t="s">
        <v>532</v>
      </c>
      <c r="D194" s="41">
        <v>17</v>
      </c>
      <c r="E194" s="41"/>
      <c r="F194" s="41">
        <f>1+2+2+2+3</f>
        <v>10</v>
      </c>
      <c r="G194" s="41"/>
      <c r="H194" s="41">
        <f>+D194+E194+-F194</f>
        <v>7</v>
      </c>
      <c r="I194" s="42">
        <v>175</v>
      </c>
      <c r="J194" s="42">
        <f t="shared" si="2"/>
        <v>1225</v>
      </c>
      <c r="K194" s="42"/>
      <c r="L194" s="42"/>
      <c r="M194" s="43" t="s">
        <v>529</v>
      </c>
    </row>
    <row r="195" spans="1:13" s="44" customFormat="1" ht="15.75" x14ac:dyDescent="0.25">
      <c r="A195" s="39" t="s">
        <v>947</v>
      </c>
      <c r="B195" s="40"/>
      <c r="C195" s="39" t="s">
        <v>337</v>
      </c>
      <c r="D195" s="41">
        <f>72+7</f>
        <v>79</v>
      </c>
      <c r="E195" s="41"/>
      <c r="F195" s="41"/>
      <c r="G195" s="41"/>
      <c r="H195" s="41">
        <f>+D195+E195+-F195</f>
        <v>79</v>
      </c>
      <c r="I195" s="42">
        <v>305</v>
      </c>
      <c r="J195" s="42">
        <f t="shared" si="2"/>
        <v>24095</v>
      </c>
      <c r="K195" s="42"/>
      <c r="L195" s="42"/>
      <c r="M195" s="43" t="s">
        <v>313</v>
      </c>
    </row>
    <row r="196" spans="1:13" s="44" customFormat="1" ht="15.75" x14ac:dyDescent="0.25">
      <c r="A196" s="39" t="s">
        <v>706</v>
      </c>
      <c r="B196" s="40"/>
      <c r="C196" s="39" t="s">
        <v>128</v>
      </c>
      <c r="D196" s="41">
        <v>2</v>
      </c>
      <c r="E196" s="41"/>
      <c r="F196" s="41"/>
      <c r="G196" s="41"/>
      <c r="H196" s="41">
        <f>+D196+E196-F196</f>
        <v>2</v>
      </c>
      <c r="I196" s="42">
        <v>341</v>
      </c>
      <c r="J196" s="42">
        <f t="shared" si="2"/>
        <v>682</v>
      </c>
      <c r="K196" s="42"/>
      <c r="L196" s="42"/>
      <c r="M196" s="43" t="s">
        <v>1238</v>
      </c>
    </row>
    <row r="197" spans="1:13" s="44" customFormat="1" ht="15.75" x14ac:dyDescent="0.25">
      <c r="A197" s="39" t="s">
        <v>1185</v>
      </c>
      <c r="B197" s="40"/>
      <c r="C197" s="39" t="s">
        <v>527</v>
      </c>
      <c r="D197" s="41">
        <v>2</v>
      </c>
      <c r="E197" s="41"/>
      <c r="F197" s="41"/>
      <c r="G197" s="41"/>
      <c r="H197" s="41">
        <f>+D197+E197+-F197</f>
        <v>2</v>
      </c>
      <c r="I197" s="42">
        <v>35</v>
      </c>
      <c r="J197" s="42">
        <f t="shared" si="2"/>
        <v>70</v>
      </c>
      <c r="K197" s="42"/>
      <c r="L197" s="42"/>
      <c r="M197" s="43" t="s">
        <v>454</v>
      </c>
    </row>
    <row r="198" spans="1:13" s="44" customFormat="1" ht="15.75" x14ac:dyDescent="0.25">
      <c r="A198" s="39" t="s">
        <v>1186</v>
      </c>
      <c r="B198" s="40"/>
      <c r="C198" s="39" t="s">
        <v>528</v>
      </c>
      <c r="D198" s="41">
        <v>2</v>
      </c>
      <c r="E198" s="41"/>
      <c r="F198" s="41"/>
      <c r="G198" s="41"/>
      <c r="H198" s="41">
        <f>+D198+E198+-F198</f>
        <v>2</v>
      </c>
      <c r="I198" s="42">
        <v>35</v>
      </c>
      <c r="J198" s="42">
        <f t="shared" si="2"/>
        <v>70</v>
      </c>
      <c r="K198" s="42"/>
      <c r="L198" s="42"/>
      <c r="M198" s="43" t="s">
        <v>454</v>
      </c>
    </row>
    <row r="199" spans="1:13" s="44" customFormat="1" ht="31.5" x14ac:dyDescent="0.25">
      <c r="A199" s="39" t="s">
        <v>777</v>
      </c>
      <c r="B199" s="40"/>
      <c r="C199" s="39" t="s">
        <v>1456</v>
      </c>
      <c r="D199" s="41">
        <v>36</v>
      </c>
      <c r="E199" s="41"/>
      <c r="F199" s="41"/>
      <c r="G199" s="41"/>
      <c r="H199" s="41">
        <f>+D199+E199+-F199</f>
        <v>36</v>
      </c>
      <c r="I199" s="42">
        <v>80</v>
      </c>
      <c r="J199" s="42">
        <f t="shared" ref="J199:J262" si="3">+H199*I199</f>
        <v>2880</v>
      </c>
      <c r="K199" s="42"/>
      <c r="L199" s="42"/>
      <c r="M199" s="43" t="s">
        <v>169</v>
      </c>
    </row>
    <row r="200" spans="1:13" s="44" customFormat="1" ht="31.5" x14ac:dyDescent="0.25">
      <c r="A200" s="39" t="s">
        <v>778</v>
      </c>
      <c r="B200" s="40"/>
      <c r="C200" s="39" t="s">
        <v>1455</v>
      </c>
      <c r="D200" s="41">
        <f>54.5-4</f>
        <v>50.5</v>
      </c>
      <c r="E200" s="41"/>
      <c r="F200" s="41">
        <f>50.5-48+3</f>
        <v>5.5</v>
      </c>
      <c r="G200" s="41"/>
      <c r="H200" s="41">
        <f>+D200+E200+-F200</f>
        <v>45</v>
      </c>
      <c r="I200" s="42">
        <v>91</v>
      </c>
      <c r="J200" s="42">
        <f t="shared" si="3"/>
        <v>4095</v>
      </c>
      <c r="K200" s="42"/>
      <c r="L200" s="42"/>
      <c r="M200" s="43" t="s">
        <v>169</v>
      </c>
    </row>
    <row r="201" spans="1:13" s="44" customFormat="1" ht="31.5" x14ac:dyDescent="0.25">
      <c r="A201" s="39" t="s">
        <v>779</v>
      </c>
      <c r="B201" s="40"/>
      <c r="C201" s="39" t="s">
        <v>182</v>
      </c>
      <c r="D201" s="41">
        <v>35</v>
      </c>
      <c r="E201" s="41"/>
      <c r="F201" s="41">
        <v>2</v>
      </c>
      <c r="G201" s="41"/>
      <c r="H201" s="41">
        <f>+D201+E201+-F201</f>
        <v>33</v>
      </c>
      <c r="I201" s="42">
        <v>55</v>
      </c>
      <c r="J201" s="42">
        <f t="shared" si="3"/>
        <v>1815</v>
      </c>
      <c r="K201" s="42"/>
      <c r="L201" s="42"/>
      <c r="M201" s="43" t="s">
        <v>169</v>
      </c>
    </row>
    <row r="202" spans="1:13" s="44" customFormat="1" ht="31.5" x14ac:dyDescent="0.25">
      <c r="A202" s="39" t="s">
        <v>780</v>
      </c>
      <c r="B202" s="40"/>
      <c r="C202" s="39" t="s">
        <v>183</v>
      </c>
      <c r="D202" s="41">
        <v>3</v>
      </c>
      <c r="E202" s="41"/>
      <c r="F202" s="41"/>
      <c r="G202" s="41"/>
      <c r="H202" s="41">
        <f>+D202+E202+-F202</f>
        <v>3</v>
      </c>
      <c r="I202" s="42">
        <v>57</v>
      </c>
      <c r="J202" s="42">
        <f t="shared" si="3"/>
        <v>171</v>
      </c>
      <c r="K202" s="42"/>
      <c r="L202" s="42"/>
      <c r="M202" s="43" t="s">
        <v>169</v>
      </c>
    </row>
    <row r="203" spans="1:13" s="44" customFormat="1" ht="15.75" x14ac:dyDescent="0.25">
      <c r="A203" s="39" t="s">
        <v>949</v>
      </c>
      <c r="B203" s="59">
        <v>44852</v>
      </c>
      <c r="C203" s="39" t="s">
        <v>339</v>
      </c>
      <c r="D203" s="41">
        <v>3</v>
      </c>
      <c r="E203" s="41"/>
      <c r="F203" s="41">
        <v>3</v>
      </c>
      <c r="G203" s="41"/>
      <c r="H203" s="41">
        <f>+D203+E203+-F203</f>
        <v>0</v>
      </c>
      <c r="I203" s="42">
        <v>27</v>
      </c>
      <c r="J203" s="42">
        <f t="shared" si="3"/>
        <v>0</v>
      </c>
      <c r="K203" s="42"/>
      <c r="L203" s="42"/>
      <c r="M203" s="43" t="s">
        <v>313</v>
      </c>
    </row>
    <row r="204" spans="1:13" s="44" customFormat="1" ht="30" customHeight="1" x14ac:dyDescent="0.25">
      <c r="A204" s="39" t="s">
        <v>950</v>
      </c>
      <c r="B204" s="59">
        <v>44852</v>
      </c>
      <c r="C204" s="39" t="s">
        <v>340</v>
      </c>
      <c r="D204" s="41">
        <v>24</v>
      </c>
      <c r="E204" s="41"/>
      <c r="F204" s="41">
        <v>1</v>
      </c>
      <c r="G204" s="41"/>
      <c r="H204" s="41">
        <f>+D204+E204+-F204</f>
        <v>23</v>
      </c>
      <c r="I204" s="42">
        <v>27.9</v>
      </c>
      <c r="J204" s="42">
        <f t="shared" si="3"/>
        <v>641.69999999999993</v>
      </c>
      <c r="K204" s="42"/>
      <c r="L204" s="42"/>
      <c r="M204" s="43" t="s">
        <v>313</v>
      </c>
    </row>
    <row r="205" spans="1:13" s="44" customFormat="1" ht="15.75" x14ac:dyDescent="0.25">
      <c r="A205" s="39" t="s">
        <v>951</v>
      </c>
      <c r="B205" s="59">
        <v>44852</v>
      </c>
      <c r="C205" s="39" t="s">
        <v>341</v>
      </c>
      <c r="D205" s="41">
        <v>9</v>
      </c>
      <c r="E205" s="41"/>
      <c r="F205" s="41"/>
      <c r="G205" s="41"/>
      <c r="H205" s="41">
        <f>+D205+E205+-F205</f>
        <v>9</v>
      </c>
      <c r="I205" s="42">
        <v>127.65</v>
      </c>
      <c r="J205" s="42">
        <f t="shared" si="3"/>
        <v>1148.8500000000001</v>
      </c>
      <c r="K205" s="42"/>
      <c r="L205" s="42"/>
      <c r="M205" s="43" t="s">
        <v>313</v>
      </c>
    </row>
    <row r="206" spans="1:13" s="44" customFormat="1" ht="30" customHeight="1" x14ac:dyDescent="0.25">
      <c r="A206" s="39" t="s">
        <v>952</v>
      </c>
      <c r="B206" s="59">
        <v>44852</v>
      </c>
      <c r="C206" s="39" t="s">
        <v>1279</v>
      </c>
      <c r="D206" s="41">
        <v>9</v>
      </c>
      <c r="E206" s="41"/>
      <c r="F206" s="41">
        <v>1</v>
      </c>
      <c r="G206" s="41"/>
      <c r="H206" s="41">
        <f>+D206+E206+-F206</f>
        <v>8</v>
      </c>
      <c r="I206" s="42">
        <v>108</v>
      </c>
      <c r="J206" s="42">
        <f t="shared" si="3"/>
        <v>864</v>
      </c>
      <c r="K206" s="42"/>
      <c r="L206" s="42"/>
      <c r="M206" s="43" t="s">
        <v>313</v>
      </c>
    </row>
    <row r="207" spans="1:13" s="44" customFormat="1" ht="15.75" x14ac:dyDescent="0.25">
      <c r="A207" s="39" t="s">
        <v>953</v>
      </c>
      <c r="B207" s="59" t="s">
        <v>6</v>
      </c>
      <c r="C207" s="39" t="s">
        <v>342</v>
      </c>
      <c r="D207" s="41">
        <v>3</v>
      </c>
      <c r="E207" s="41"/>
      <c r="F207" s="41"/>
      <c r="G207" s="41"/>
      <c r="H207" s="41">
        <f>+D207+E207+-F207</f>
        <v>3</v>
      </c>
      <c r="I207" s="42">
        <v>155</v>
      </c>
      <c r="J207" s="42">
        <f t="shared" si="3"/>
        <v>465</v>
      </c>
      <c r="K207" s="42"/>
      <c r="L207" s="42"/>
      <c r="M207" s="43" t="s">
        <v>313</v>
      </c>
    </row>
    <row r="208" spans="1:13" s="44" customFormat="1" ht="15.75" x14ac:dyDescent="0.25">
      <c r="A208" s="39" t="s">
        <v>954</v>
      </c>
      <c r="B208" s="59" t="s">
        <v>6</v>
      </c>
      <c r="C208" s="39" t="s">
        <v>343</v>
      </c>
      <c r="D208" s="41">
        <v>2</v>
      </c>
      <c r="E208" s="41"/>
      <c r="F208" s="41">
        <v>1</v>
      </c>
      <c r="G208" s="41"/>
      <c r="H208" s="41">
        <f>+D208+E208+-F208</f>
        <v>1</v>
      </c>
      <c r="I208" s="42">
        <v>155</v>
      </c>
      <c r="J208" s="42">
        <f t="shared" si="3"/>
        <v>155</v>
      </c>
      <c r="K208" s="42"/>
      <c r="L208" s="42"/>
      <c r="M208" s="43" t="s">
        <v>313</v>
      </c>
    </row>
    <row r="209" spans="1:13" s="44" customFormat="1" ht="15.75" x14ac:dyDescent="0.25">
      <c r="A209" s="39" t="s">
        <v>955</v>
      </c>
      <c r="B209" s="59" t="s">
        <v>6</v>
      </c>
      <c r="C209" s="39" t="s">
        <v>344</v>
      </c>
      <c r="D209" s="41">
        <v>1</v>
      </c>
      <c r="E209" s="41"/>
      <c r="F209" s="41">
        <v>1</v>
      </c>
      <c r="G209" s="41"/>
      <c r="H209" s="41">
        <f>+D209+E209+-F209</f>
        <v>0</v>
      </c>
      <c r="I209" s="42">
        <v>155</v>
      </c>
      <c r="J209" s="42">
        <f t="shared" si="3"/>
        <v>0</v>
      </c>
      <c r="K209" s="42"/>
      <c r="L209" s="42"/>
      <c r="M209" s="43" t="s">
        <v>313</v>
      </c>
    </row>
    <row r="210" spans="1:13" s="44" customFormat="1" ht="31.5" x14ac:dyDescent="0.25">
      <c r="A210" s="39" t="s">
        <v>1589</v>
      </c>
      <c r="B210" s="50" t="s">
        <v>1584</v>
      </c>
      <c r="C210" s="51" t="s">
        <v>1623</v>
      </c>
      <c r="D210" s="52"/>
      <c r="E210" s="53">
        <v>150</v>
      </c>
      <c r="F210" s="53">
        <f>1+2</f>
        <v>3</v>
      </c>
      <c r="G210" s="53"/>
      <c r="H210" s="41">
        <f>+D210+E210-F210+G210</f>
        <v>147</v>
      </c>
      <c r="I210" s="54">
        <v>70.8</v>
      </c>
      <c r="J210" s="55">
        <f t="shared" si="3"/>
        <v>10407.6</v>
      </c>
      <c r="K210" s="54"/>
      <c r="L210" s="54"/>
      <c r="M210" s="43" t="s">
        <v>248</v>
      </c>
    </row>
    <row r="211" spans="1:13" s="44" customFormat="1" ht="30" customHeight="1" x14ac:dyDescent="0.25">
      <c r="A211" s="39" t="s">
        <v>853</v>
      </c>
      <c r="B211" s="40"/>
      <c r="C211" s="39" t="s">
        <v>252</v>
      </c>
      <c r="D211" s="41">
        <f>6-2</f>
        <v>4</v>
      </c>
      <c r="E211" s="41"/>
      <c r="F211" s="41">
        <v>4</v>
      </c>
      <c r="G211" s="41"/>
      <c r="H211" s="41">
        <f>+D211+E211+-F211</f>
        <v>0</v>
      </c>
      <c r="I211" s="42">
        <v>130</v>
      </c>
      <c r="J211" s="42">
        <f t="shared" si="3"/>
        <v>0</v>
      </c>
      <c r="K211" s="42"/>
      <c r="L211" s="42"/>
      <c r="M211" s="43" t="s">
        <v>248</v>
      </c>
    </row>
    <row r="212" spans="1:13" s="44" customFormat="1" ht="30" customHeight="1" x14ac:dyDescent="0.25">
      <c r="A212" s="39" t="s">
        <v>852</v>
      </c>
      <c r="B212" s="40"/>
      <c r="C212" s="39" t="s">
        <v>251</v>
      </c>
      <c r="D212" s="41">
        <v>3</v>
      </c>
      <c r="E212" s="41"/>
      <c r="F212" s="41">
        <v>1</v>
      </c>
      <c r="G212" s="41"/>
      <c r="H212" s="41">
        <f>+D212+E212+-F212</f>
        <v>2</v>
      </c>
      <c r="I212" s="42"/>
      <c r="J212" s="42">
        <f t="shared" si="3"/>
        <v>0</v>
      </c>
      <c r="K212" s="42"/>
      <c r="L212" s="42"/>
      <c r="M212" s="43" t="s">
        <v>248</v>
      </c>
    </row>
    <row r="213" spans="1:13" s="44" customFormat="1" ht="31.5" x14ac:dyDescent="0.25">
      <c r="A213" s="39" t="s">
        <v>854</v>
      </c>
      <c r="B213" s="48">
        <v>45418</v>
      </c>
      <c r="C213" s="39" t="s">
        <v>253</v>
      </c>
      <c r="D213" s="41">
        <f>132-1-2-1-1-1-1-1-1-1-1</f>
        <v>121</v>
      </c>
      <c r="E213" s="41"/>
      <c r="F213" s="41">
        <f>1+1+5+44+1+1+4+1+1</f>
        <v>59</v>
      </c>
      <c r="G213" s="41"/>
      <c r="H213" s="41">
        <f>+D213+E213+-F213</f>
        <v>62</v>
      </c>
      <c r="I213" s="42">
        <v>61.36</v>
      </c>
      <c r="J213" s="42">
        <f t="shared" si="3"/>
        <v>3804.32</v>
      </c>
      <c r="K213" s="42"/>
      <c r="L213" s="42"/>
      <c r="M213" s="43" t="s">
        <v>248</v>
      </c>
    </row>
    <row r="214" spans="1:13" s="44" customFormat="1" ht="15.75" x14ac:dyDescent="0.25">
      <c r="A214" s="39" t="s">
        <v>1105</v>
      </c>
      <c r="B214" s="48">
        <v>45414</v>
      </c>
      <c r="C214" s="39" t="s">
        <v>470</v>
      </c>
      <c r="D214" s="41">
        <f>5-2</f>
        <v>3</v>
      </c>
      <c r="E214" s="41"/>
      <c r="F214" s="41">
        <v>3</v>
      </c>
      <c r="G214" s="41"/>
      <c r="H214" s="41">
        <f>+D214+E214+-F214</f>
        <v>0</v>
      </c>
      <c r="I214" s="42">
        <v>6.23</v>
      </c>
      <c r="J214" s="42">
        <f t="shared" si="3"/>
        <v>0</v>
      </c>
      <c r="K214" s="42"/>
      <c r="L214" s="42"/>
      <c r="M214" s="43" t="s">
        <v>454</v>
      </c>
    </row>
    <row r="215" spans="1:13" s="44" customFormat="1" ht="15.75" x14ac:dyDescent="0.25">
      <c r="A215" s="39" t="s">
        <v>1106</v>
      </c>
      <c r="B215" s="49">
        <v>44193</v>
      </c>
      <c r="C215" s="39" t="s">
        <v>1700</v>
      </c>
      <c r="D215" s="41">
        <v>19</v>
      </c>
      <c r="E215" s="41"/>
      <c r="F215" s="41">
        <f>2+1+1+3+4+5+1</f>
        <v>17</v>
      </c>
      <c r="G215" s="41"/>
      <c r="H215" s="41">
        <f>+D215+E215+-F215</f>
        <v>2</v>
      </c>
      <c r="I215" s="42">
        <v>40</v>
      </c>
      <c r="J215" s="42">
        <f t="shared" si="3"/>
        <v>80</v>
      </c>
      <c r="K215" s="42"/>
      <c r="L215" s="42"/>
      <c r="M215" s="43" t="s">
        <v>454</v>
      </c>
    </row>
    <row r="216" spans="1:13" s="44" customFormat="1" ht="40.5" customHeight="1" x14ac:dyDescent="0.4">
      <c r="A216" s="39" t="s">
        <v>1702</v>
      </c>
      <c r="B216" s="50"/>
      <c r="C216" s="51" t="s">
        <v>1703</v>
      </c>
      <c r="D216" s="52">
        <v>1</v>
      </c>
      <c r="E216" s="53"/>
      <c r="F216" s="53"/>
      <c r="G216" s="53"/>
      <c r="H216" s="68">
        <f>+D216+E216-F216</f>
        <v>1</v>
      </c>
      <c r="I216" s="54"/>
      <c r="J216" s="54"/>
      <c r="K216" s="69"/>
      <c r="L216" s="69"/>
      <c r="M216" s="43" t="s">
        <v>454</v>
      </c>
    </row>
    <row r="217" spans="1:13" s="44" customFormat="1" ht="40.5" customHeight="1" x14ac:dyDescent="0.4">
      <c r="A217" s="39" t="s">
        <v>1675</v>
      </c>
      <c r="B217" s="50"/>
      <c r="C217" s="51" t="s">
        <v>1701</v>
      </c>
      <c r="D217" s="52">
        <v>1</v>
      </c>
      <c r="E217" s="53"/>
      <c r="F217" s="53"/>
      <c r="G217" s="53"/>
      <c r="H217" s="41">
        <f>+D217+E217-F217</f>
        <v>1</v>
      </c>
      <c r="I217" s="54"/>
      <c r="J217" s="54"/>
      <c r="K217" s="69"/>
      <c r="L217" s="69"/>
      <c r="M217" s="43" t="s">
        <v>454</v>
      </c>
    </row>
    <row r="218" spans="1:13" s="44" customFormat="1" ht="40.5" customHeight="1" x14ac:dyDescent="0.4">
      <c r="A218" s="39" t="s">
        <v>1704</v>
      </c>
      <c r="B218" s="50"/>
      <c r="C218" s="51" t="s">
        <v>1705</v>
      </c>
      <c r="D218" s="52">
        <v>5</v>
      </c>
      <c r="E218" s="53"/>
      <c r="F218" s="53"/>
      <c r="G218" s="53"/>
      <c r="H218" s="68">
        <f>+D218+E218-F218</f>
        <v>5</v>
      </c>
      <c r="I218" s="54"/>
      <c r="J218" s="54"/>
      <c r="K218" s="69"/>
      <c r="L218" s="69"/>
      <c r="M218" s="43" t="s">
        <v>454</v>
      </c>
    </row>
    <row r="219" spans="1:13" s="44" customFormat="1" ht="40.5" customHeight="1" x14ac:dyDescent="0.25">
      <c r="A219" s="39" t="s">
        <v>1108</v>
      </c>
      <c r="B219" s="49">
        <v>44193</v>
      </c>
      <c r="C219" s="45" t="s">
        <v>471</v>
      </c>
      <c r="D219" s="41">
        <v>31</v>
      </c>
      <c r="E219" s="41"/>
      <c r="F219" s="41">
        <v>30</v>
      </c>
      <c r="G219" s="41"/>
      <c r="H219" s="41">
        <f>+D219+E219+-F219</f>
        <v>1</v>
      </c>
      <c r="I219" s="42">
        <v>11.24</v>
      </c>
      <c r="J219" s="42">
        <f t="shared" ref="J219:J248" si="4">+H219*I219</f>
        <v>11.24</v>
      </c>
      <c r="K219" s="42"/>
      <c r="L219" s="42"/>
      <c r="M219" s="43" t="s">
        <v>454</v>
      </c>
    </row>
    <row r="220" spans="1:13" s="44" customFormat="1" ht="15.75" x14ac:dyDescent="0.25">
      <c r="A220" s="39" t="s">
        <v>1107</v>
      </c>
      <c r="B220" s="48">
        <v>45414</v>
      </c>
      <c r="C220" s="39" t="s">
        <v>1698</v>
      </c>
      <c r="D220" s="41">
        <v>58</v>
      </c>
      <c r="E220" s="41"/>
      <c r="F220" s="41">
        <v>2</v>
      </c>
      <c r="G220" s="41"/>
      <c r="H220" s="41">
        <f>+D220+E220+-F220</f>
        <v>56</v>
      </c>
      <c r="I220" s="42">
        <v>5.07</v>
      </c>
      <c r="J220" s="42">
        <f t="shared" si="4"/>
        <v>283.92</v>
      </c>
      <c r="K220" s="42"/>
      <c r="L220" s="42"/>
      <c r="M220" s="43" t="s">
        <v>454</v>
      </c>
    </row>
    <row r="221" spans="1:13" s="44" customFormat="1" ht="15.75" x14ac:dyDescent="0.25">
      <c r="A221" s="39" t="s">
        <v>1109</v>
      </c>
      <c r="B221" s="48">
        <v>45414</v>
      </c>
      <c r="C221" s="45" t="s">
        <v>1699</v>
      </c>
      <c r="D221" s="41">
        <v>45</v>
      </c>
      <c r="E221" s="41"/>
      <c r="F221" s="41">
        <v>1</v>
      </c>
      <c r="G221" s="41"/>
      <c r="H221" s="41">
        <f>+D221+E221+-F221</f>
        <v>44</v>
      </c>
      <c r="I221" s="42">
        <v>64.319999999999993</v>
      </c>
      <c r="J221" s="42">
        <f t="shared" si="4"/>
        <v>2830.08</v>
      </c>
      <c r="K221" s="42"/>
      <c r="L221" s="42"/>
      <c r="M221" s="43" t="s">
        <v>454</v>
      </c>
    </row>
    <row r="222" spans="1:13" s="44" customFormat="1" ht="30" customHeight="1" x14ac:dyDescent="0.25">
      <c r="A222" s="39" t="s">
        <v>1110</v>
      </c>
      <c r="B222" s="48"/>
      <c r="C222" s="45" t="s">
        <v>472</v>
      </c>
      <c r="D222" s="41">
        <v>3</v>
      </c>
      <c r="E222" s="41"/>
      <c r="F222" s="41"/>
      <c r="G222" s="41"/>
      <c r="H222" s="41">
        <f>+D222+E222+-F222</f>
        <v>3</v>
      </c>
      <c r="I222" s="42"/>
      <c r="J222" s="42">
        <f t="shared" si="4"/>
        <v>0</v>
      </c>
      <c r="K222" s="42"/>
      <c r="L222" s="42"/>
      <c r="M222" s="43" t="s">
        <v>454</v>
      </c>
    </row>
    <row r="223" spans="1:13" s="44" customFormat="1" ht="30" customHeight="1" x14ac:dyDescent="0.25">
      <c r="A223" s="39" t="s">
        <v>1111</v>
      </c>
      <c r="B223" s="70"/>
      <c r="C223" s="67" t="s">
        <v>1734</v>
      </c>
      <c r="D223" s="64">
        <v>1</v>
      </c>
      <c r="E223" s="64"/>
      <c r="F223" s="64"/>
      <c r="G223" s="64"/>
      <c r="H223" s="64">
        <f>+D223+E223+-F223</f>
        <v>1</v>
      </c>
      <c r="I223" s="66"/>
      <c r="J223" s="66">
        <f t="shared" si="4"/>
        <v>0</v>
      </c>
      <c r="K223" s="66">
        <v>40</v>
      </c>
      <c r="L223" s="66">
        <f>+K223*H223</f>
        <v>40</v>
      </c>
      <c r="M223" s="67" t="s">
        <v>454</v>
      </c>
    </row>
    <row r="224" spans="1:13" s="44" customFormat="1" ht="30" customHeight="1" x14ac:dyDescent="0.25">
      <c r="A224" s="39" t="s">
        <v>1353</v>
      </c>
      <c r="B224" s="46">
        <v>45623</v>
      </c>
      <c r="C224" s="47" t="s">
        <v>1356</v>
      </c>
      <c r="D224" s="39"/>
      <c r="E224" s="41">
        <v>5</v>
      </c>
      <c r="F224" s="41">
        <v>4</v>
      </c>
      <c r="G224" s="41"/>
      <c r="H224" s="41">
        <f>+D224+E224-F224+G224</f>
        <v>1</v>
      </c>
      <c r="I224" s="42">
        <v>362.17</v>
      </c>
      <c r="J224" s="42">
        <f t="shared" si="4"/>
        <v>362.17</v>
      </c>
      <c r="K224" s="42"/>
      <c r="L224" s="42"/>
      <c r="M224" s="43" t="s">
        <v>454</v>
      </c>
    </row>
    <row r="225" spans="1:13" s="44" customFormat="1" ht="15.75" x14ac:dyDescent="0.25">
      <c r="A225" s="39" t="s">
        <v>626</v>
      </c>
      <c r="B225" s="49">
        <v>44193</v>
      </c>
      <c r="C225" s="45" t="s">
        <v>61</v>
      </c>
      <c r="D225" s="41">
        <v>3</v>
      </c>
      <c r="E225" s="41"/>
      <c r="F225" s="41"/>
      <c r="G225" s="41"/>
      <c r="H225" s="41">
        <f>+D225+E225-F225</f>
        <v>3</v>
      </c>
      <c r="I225" s="42">
        <v>719.2</v>
      </c>
      <c r="J225" s="42">
        <f t="shared" si="4"/>
        <v>2157.6000000000004</v>
      </c>
      <c r="K225" s="42"/>
      <c r="L225" s="42"/>
      <c r="M225" s="43" t="s">
        <v>27</v>
      </c>
    </row>
    <row r="226" spans="1:13" s="44" customFormat="1" ht="30" customHeight="1" x14ac:dyDescent="0.25">
      <c r="A226" s="39" t="s">
        <v>627</v>
      </c>
      <c r="B226" s="48">
        <v>45518</v>
      </c>
      <c r="C226" s="45" t="s">
        <v>62</v>
      </c>
      <c r="D226" s="41">
        <f>370-70-45</f>
        <v>255</v>
      </c>
      <c r="E226" s="41"/>
      <c r="F226" s="41">
        <v>255</v>
      </c>
      <c r="G226" s="41"/>
      <c r="H226" s="41">
        <f>+D226+E226-F226</f>
        <v>0</v>
      </c>
      <c r="I226" s="42">
        <v>415</v>
      </c>
      <c r="J226" s="42">
        <f t="shared" si="4"/>
        <v>0</v>
      </c>
      <c r="K226" s="42"/>
      <c r="L226" s="42"/>
      <c r="M226" s="43" t="s">
        <v>27</v>
      </c>
    </row>
    <row r="227" spans="1:13" s="44" customFormat="1" ht="15.75" x14ac:dyDescent="0.25">
      <c r="A227" s="39" t="s">
        <v>781</v>
      </c>
      <c r="B227" s="40"/>
      <c r="C227" s="39" t="s">
        <v>1276</v>
      </c>
      <c r="D227" s="41">
        <v>8</v>
      </c>
      <c r="E227" s="41"/>
      <c r="F227" s="41"/>
      <c r="G227" s="41"/>
      <c r="H227" s="41">
        <f>+D227+E227+-F227</f>
        <v>8</v>
      </c>
      <c r="I227" s="42">
        <v>79</v>
      </c>
      <c r="J227" s="42">
        <f t="shared" si="4"/>
        <v>632</v>
      </c>
      <c r="K227" s="42"/>
      <c r="L227" s="42"/>
      <c r="M227" s="43" t="s">
        <v>454</v>
      </c>
    </row>
    <row r="228" spans="1:13" s="44" customFormat="1" ht="30" customHeight="1" x14ac:dyDescent="0.25">
      <c r="A228" s="39" t="s">
        <v>782</v>
      </c>
      <c r="B228" s="40"/>
      <c r="C228" s="39" t="s">
        <v>184</v>
      </c>
      <c r="D228" s="41">
        <f>97+4+1</f>
        <v>102</v>
      </c>
      <c r="E228" s="41"/>
      <c r="F228" s="41"/>
      <c r="G228" s="41"/>
      <c r="H228" s="41">
        <f>+D228+E228+-F228</f>
        <v>102</v>
      </c>
      <c r="I228" s="42">
        <v>40</v>
      </c>
      <c r="J228" s="42">
        <f t="shared" si="4"/>
        <v>4080</v>
      </c>
      <c r="K228" s="42"/>
      <c r="L228" s="42"/>
      <c r="M228" s="43" t="s">
        <v>169</v>
      </c>
    </row>
    <row r="229" spans="1:13" s="44" customFormat="1" ht="30" customHeight="1" x14ac:dyDescent="0.25">
      <c r="A229" s="39" t="s">
        <v>628</v>
      </c>
      <c r="B229" s="40"/>
      <c r="C229" s="45" t="s">
        <v>63</v>
      </c>
      <c r="D229" s="41">
        <v>6</v>
      </c>
      <c r="E229" s="41"/>
      <c r="F229" s="41"/>
      <c r="G229" s="41"/>
      <c r="H229" s="41">
        <f>+D229+E229-F229</f>
        <v>6</v>
      </c>
      <c r="I229" s="42">
        <v>60</v>
      </c>
      <c r="J229" s="42">
        <f t="shared" si="4"/>
        <v>360</v>
      </c>
      <c r="K229" s="42"/>
      <c r="L229" s="42"/>
      <c r="M229" s="43" t="s">
        <v>27</v>
      </c>
    </row>
    <row r="230" spans="1:13" s="44" customFormat="1" ht="15.75" x14ac:dyDescent="0.25">
      <c r="A230" s="39" t="s">
        <v>629</v>
      </c>
      <c r="B230" s="49">
        <v>44193</v>
      </c>
      <c r="C230" s="45" t="s">
        <v>64</v>
      </c>
      <c r="D230" s="41">
        <v>2</v>
      </c>
      <c r="E230" s="41"/>
      <c r="F230" s="41"/>
      <c r="G230" s="41"/>
      <c r="H230" s="41">
        <f>+D230+E230-F230</f>
        <v>2</v>
      </c>
      <c r="I230" s="42">
        <v>7360</v>
      </c>
      <c r="J230" s="42">
        <f t="shared" si="4"/>
        <v>14720</v>
      </c>
      <c r="K230" s="42"/>
      <c r="L230" s="42"/>
      <c r="M230" s="43" t="s">
        <v>27</v>
      </c>
    </row>
    <row r="231" spans="1:13" s="44" customFormat="1" ht="15.75" x14ac:dyDescent="0.25">
      <c r="A231" s="39" t="s">
        <v>630</v>
      </c>
      <c r="B231" s="40"/>
      <c r="C231" s="45" t="s">
        <v>65</v>
      </c>
      <c r="D231" s="41">
        <v>9</v>
      </c>
      <c r="E231" s="41"/>
      <c r="F231" s="41"/>
      <c r="G231" s="41"/>
      <c r="H231" s="41">
        <f>+D231+E231-F231</f>
        <v>9</v>
      </c>
      <c r="I231" s="42">
        <v>125</v>
      </c>
      <c r="J231" s="42">
        <f t="shared" si="4"/>
        <v>1125</v>
      </c>
      <c r="K231" s="42"/>
      <c r="L231" s="42"/>
      <c r="M231" s="43" t="s">
        <v>27</v>
      </c>
    </row>
    <row r="232" spans="1:13" s="44" customFormat="1" ht="15.75" x14ac:dyDescent="0.25">
      <c r="A232" s="39" t="s">
        <v>631</v>
      </c>
      <c r="B232" s="40"/>
      <c r="C232" s="45" t="s">
        <v>66</v>
      </c>
      <c r="D232" s="41">
        <v>3</v>
      </c>
      <c r="E232" s="41"/>
      <c r="F232" s="41"/>
      <c r="G232" s="41"/>
      <c r="H232" s="41">
        <f>+D232+E232-F232</f>
        <v>3</v>
      </c>
      <c r="I232" s="42">
        <v>68</v>
      </c>
      <c r="J232" s="42">
        <f t="shared" si="4"/>
        <v>204</v>
      </c>
      <c r="K232" s="42"/>
      <c r="L232" s="42"/>
      <c r="M232" s="43" t="s">
        <v>27</v>
      </c>
    </row>
    <row r="233" spans="1:13" s="44" customFormat="1" ht="15.75" x14ac:dyDescent="0.25">
      <c r="A233" s="39" t="s">
        <v>632</v>
      </c>
      <c r="B233" s="40"/>
      <c r="C233" s="45" t="s">
        <v>67</v>
      </c>
      <c r="D233" s="41">
        <v>92</v>
      </c>
      <c r="E233" s="41"/>
      <c r="F233" s="41"/>
      <c r="G233" s="41"/>
      <c r="H233" s="41">
        <f>+D233+E233-F233</f>
        <v>92</v>
      </c>
      <c r="I233" s="42">
        <v>558</v>
      </c>
      <c r="J233" s="42">
        <f t="shared" si="4"/>
        <v>51336</v>
      </c>
      <c r="K233" s="42"/>
      <c r="L233" s="42"/>
      <c r="M233" s="43" t="s">
        <v>27</v>
      </c>
    </row>
    <row r="234" spans="1:13" s="44" customFormat="1" ht="15.75" x14ac:dyDescent="0.25">
      <c r="A234" s="39" t="s">
        <v>1215</v>
      </c>
      <c r="B234" s="40"/>
      <c r="C234" s="39" t="s">
        <v>559</v>
      </c>
      <c r="D234" s="41">
        <v>1</v>
      </c>
      <c r="E234" s="41"/>
      <c r="F234" s="41"/>
      <c r="G234" s="41"/>
      <c r="H234" s="41">
        <f>+D234+E234+-F234</f>
        <v>1</v>
      </c>
      <c r="I234" s="71">
        <v>415</v>
      </c>
      <c r="J234" s="42">
        <f t="shared" si="4"/>
        <v>415</v>
      </c>
      <c r="K234" s="42"/>
      <c r="L234" s="42"/>
      <c r="M234" s="43" t="s">
        <v>555</v>
      </c>
    </row>
    <row r="235" spans="1:13" s="44" customFormat="1" ht="15.75" x14ac:dyDescent="0.25">
      <c r="A235" s="39" t="s">
        <v>633</v>
      </c>
      <c r="B235" s="40"/>
      <c r="C235" s="45" t="s">
        <v>68</v>
      </c>
      <c r="D235" s="41">
        <v>1</v>
      </c>
      <c r="E235" s="41"/>
      <c r="F235" s="41">
        <v>1</v>
      </c>
      <c r="G235" s="41"/>
      <c r="H235" s="41">
        <f>+D235+E235-F235</f>
        <v>0</v>
      </c>
      <c r="I235" s="42"/>
      <c r="J235" s="42">
        <f t="shared" si="4"/>
        <v>0</v>
      </c>
      <c r="K235" s="42"/>
      <c r="L235" s="42"/>
      <c r="M235" s="43" t="s">
        <v>27</v>
      </c>
    </row>
    <row r="236" spans="1:13" s="44" customFormat="1" ht="15.75" x14ac:dyDescent="0.25">
      <c r="A236" s="39" t="s">
        <v>634</v>
      </c>
      <c r="B236" s="59">
        <v>44193</v>
      </c>
      <c r="C236" s="45" t="s">
        <v>69</v>
      </c>
      <c r="D236" s="41">
        <v>8</v>
      </c>
      <c r="E236" s="41"/>
      <c r="F236" s="41">
        <v>1</v>
      </c>
      <c r="G236" s="41"/>
      <c r="H236" s="41">
        <f>+D236+E236-F236</f>
        <v>7</v>
      </c>
      <c r="I236" s="42">
        <v>719.2</v>
      </c>
      <c r="J236" s="42">
        <f t="shared" si="4"/>
        <v>5034.4000000000005</v>
      </c>
      <c r="K236" s="42"/>
      <c r="L236" s="42"/>
      <c r="M236" s="43" t="s">
        <v>27</v>
      </c>
    </row>
    <row r="237" spans="1:13" s="44" customFormat="1" ht="15.75" x14ac:dyDescent="0.25">
      <c r="A237" s="39" t="s">
        <v>635</v>
      </c>
      <c r="B237" s="59">
        <v>44193</v>
      </c>
      <c r="C237" s="45" t="s">
        <v>70</v>
      </c>
      <c r="D237" s="41">
        <v>2</v>
      </c>
      <c r="E237" s="41"/>
      <c r="F237" s="41">
        <v>1</v>
      </c>
      <c r="G237" s="41"/>
      <c r="H237" s="41">
        <f>+D237+E237-F237</f>
        <v>1</v>
      </c>
      <c r="I237" s="42">
        <v>7360</v>
      </c>
      <c r="J237" s="42">
        <f t="shared" si="4"/>
        <v>7360</v>
      </c>
      <c r="K237" s="42"/>
      <c r="L237" s="42"/>
      <c r="M237" s="43" t="s">
        <v>27</v>
      </c>
    </row>
    <row r="238" spans="1:13" s="44" customFormat="1" ht="15.75" x14ac:dyDescent="0.25">
      <c r="A238" s="39" t="s">
        <v>636</v>
      </c>
      <c r="B238" s="40"/>
      <c r="C238" s="45" t="s">
        <v>71</v>
      </c>
      <c r="D238" s="41">
        <v>2</v>
      </c>
      <c r="E238" s="41"/>
      <c r="F238" s="41"/>
      <c r="G238" s="41"/>
      <c r="H238" s="41">
        <f>+D238+E238-F238</f>
        <v>2</v>
      </c>
      <c r="I238" s="42"/>
      <c r="J238" s="42">
        <f t="shared" si="4"/>
        <v>0</v>
      </c>
      <c r="K238" s="42"/>
      <c r="L238" s="42"/>
      <c r="M238" s="43" t="s">
        <v>27</v>
      </c>
    </row>
    <row r="239" spans="1:13" s="44" customFormat="1" ht="31.5" x14ac:dyDescent="0.25">
      <c r="A239" s="39" t="s">
        <v>783</v>
      </c>
      <c r="B239" s="40"/>
      <c r="C239" s="39" t="s">
        <v>185</v>
      </c>
      <c r="D239" s="41">
        <v>1</v>
      </c>
      <c r="E239" s="41"/>
      <c r="F239" s="41"/>
      <c r="G239" s="41"/>
      <c r="H239" s="41">
        <f>+D239+E239+-F239</f>
        <v>1</v>
      </c>
      <c r="I239" s="42">
        <v>379</v>
      </c>
      <c r="J239" s="42">
        <f t="shared" si="4"/>
        <v>379</v>
      </c>
      <c r="K239" s="42"/>
      <c r="L239" s="42"/>
      <c r="M239" s="43" t="s">
        <v>169</v>
      </c>
    </row>
    <row r="240" spans="1:13" s="44" customFormat="1" ht="15.75" x14ac:dyDescent="0.25">
      <c r="A240" s="39" t="s">
        <v>637</v>
      </c>
      <c r="B240" s="49" t="s">
        <v>6</v>
      </c>
      <c r="C240" s="45" t="s">
        <v>72</v>
      </c>
      <c r="D240" s="41">
        <v>2</v>
      </c>
      <c r="E240" s="41"/>
      <c r="F240" s="41"/>
      <c r="G240" s="41"/>
      <c r="H240" s="41">
        <f>+D240+E240-F240</f>
        <v>2</v>
      </c>
      <c r="I240" s="42">
        <v>321.79000000000002</v>
      </c>
      <c r="J240" s="42">
        <f t="shared" si="4"/>
        <v>643.58000000000004</v>
      </c>
      <c r="K240" s="42"/>
      <c r="L240" s="42"/>
      <c r="M240" s="43" t="s">
        <v>27</v>
      </c>
    </row>
    <row r="241" spans="1:13" s="44" customFormat="1" ht="30" customHeight="1" x14ac:dyDescent="0.4">
      <c r="A241" s="39" t="s">
        <v>1665</v>
      </c>
      <c r="B241" s="50" t="s">
        <v>1659</v>
      </c>
      <c r="C241" s="51" t="s">
        <v>1677</v>
      </c>
      <c r="D241" s="52"/>
      <c r="E241" s="53">
        <v>1</v>
      </c>
      <c r="F241" s="53">
        <v>1</v>
      </c>
      <c r="G241" s="53"/>
      <c r="H241" s="68">
        <f>+D241+E241-F241</f>
        <v>0</v>
      </c>
      <c r="I241" s="54">
        <v>46572.24</v>
      </c>
      <c r="J241" s="54">
        <f t="shared" si="4"/>
        <v>0</v>
      </c>
      <c r="K241" s="69"/>
      <c r="L241" s="69"/>
      <c r="M241" s="43" t="s">
        <v>222</v>
      </c>
    </row>
    <row r="242" spans="1:13" s="44" customFormat="1" ht="40.5" customHeight="1" x14ac:dyDescent="0.25">
      <c r="A242" s="39" t="s">
        <v>1112</v>
      </c>
      <c r="B242" s="48">
        <v>45414</v>
      </c>
      <c r="C242" s="39" t="s">
        <v>473</v>
      </c>
      <c r="D242" s="41">
        <v>61</v>
      </c>
      <c r="E242" s="41"/>
      <c r="F242" s="41">
        <f>2+2+1+5+1</f>
        <v>11</v>
      </c>
      <c r="G242" s="41"/>
      <c r="H242" s="41">
        <f>+D242+E242+-F242</f>
        <v>50</v>
      </c>
      <c r="I242" s="42">
        <v>9.5</v>
      </c>
      <c r="J242" s="42">
        <f t="shared" si="4"/>
        <v>475</v>
      </c>
      <c r="K242" s="42"/>
      <c r="L242" s="42"/>
      <c r="M242" s="43" t="s">
        <v>454</v>
      </c>
    </row>
    <row r="243" spans="1:13" s="44" customFormat="1" ht="30" customHeight="1" x14ac:dyDescent="0.25">
      <c r="A243" s="39" t="s">
        <v>1113</v>
      </c>
      <c r="B243" s="48">
        <v>45414</v>
      </c>
      <c r="C243" s="39" t="s">
        <v>474</v>
      </c>
      <c r="D243" s="41">
        <v>51</v>
      </c>
      <c r="E243" s="41"/>
      <c r="F243" s="41">
        <v>6</v>
      </c>
      <c r="G243" s="41"/>
      <c r="H243" s="41">
        <f>+D243+E243+-F243</f>
        <v>45</v>
      </c>
      <c r="I243" s="42">
        <v>6.49</v>
      </c>
      <c r="J243" s="42">
        <f t="shared" si="4"/>
        <v>292.05</v>
      </c>
      <c r="K243" s="42"/>
      <c r="L243" s="42"/>
      <c r="M243" s="43" t="s">
        <v>454</v>
      </c>
    </row>
    <row r="244" spans="1:13" s="44" customFormat="1" ht="15.75" x14ac:dyDescent="0.25">
      <c r="A244" s="39" t="s">
        <v>1114</v>
      </c>
      <c r="B244" s="40"/>
      <c r="C244" s="39" t="s">
        <v>475</v>
      </c>
      <c r="D244" s="41">
        <v>70</v>
      </c>
      <c r="E244" s="41"/>
      <c r="F244" s="41">
        <v>7</v>
      </c>
      <c r="G244" s="41"/>
      <c r="H244" s="41">
        <f>+D244+E244+-F244</f>
        <v>63</v>
      </c>
      <c r="I244" s="42">
        <v>25.96</v>
      </c>
      <c r="J244" s="42">
        <f t="shared" si="4"/>
        <v>1635.48</v>
      </c>
      <c r="K244" s="42"/>
      <c r="L244" s="42"/>
      <c r="M244" s="43" t="s">
        <v>454</v>
      </c>
    </row>
    <row r="245" spans="1:13" s="44" customFormat="1" ht="30" customHeight="1" x14ac:dyDescent="0.25">
      <c r="A245" s="39" t="s">
        <v>1115</v>
      </c>
      <c r="B245" s="40"/>
      <c r="C245" s="39" t="s">
        <v>476</v>
      </c>
      <c r="D245" s="41">
        <v>49</v>
      </c>
      <c r="E245" s="41"/>
      <c r="F245" s="41">
        <v>7</v>
      </c>
      <c r="G245" s="41"/>
      <c r="H245" s="41">
        <f>+D245+E245+-F245</f>
        <v>42</v>
      </c>
      <c r="I245" s="42">
        <v>11.8</v>
      </c>
      <c r="J245" s="42">
        <f t="shared" si="4"/>
        <v>495.6</v>
      </c>
      <c r="K245" s="42"/>
      <c r="L245" s="42"/>
      <c r="M245" s="43" t="s">
        <v>454</v>
      </c>
    </row>
    <row r="246" spans="1:13" s="44" customFormat="1" ht="30" customHeight="1" x14ac:dyDescent="0.25">
      <c r="A246" s="39" t="s">
        <v>1117</v>
      </c>
      <c r="B246" s="40"/>
      <c r="C246" s="39" t="s">
        <v>478</v>
      </c>
      <c r="D246" s="41">
        <v>9</v>
      </c>
      <c r="E246" s="41"/>
      <c r="F246" s="41">
        <v>1</v>
      </c>
      <c r="G246" s="41"/>
      <c r="H246" s="41">
        <f>+D246+E246+-F246</f>
        <v>8</v>
      </c>
      <c r="I246" s="42">
        <v>72</v>
      </c>
      <c r="J246" s="42">
        <f t="shared" si="4"/>
        <v>576</v>
      </c>
      <c r="K246" s="42"/>
      <c r="L246" s="42"/>
      <c r="M246" s="43" t="s">
        <v>454</v>
      </c>
    </row>
    <row r="247" spans="1:13" s="44" customFormat="1" ht="30" customHeight="1" x14ac:dyDescent="0.25">
      <c r="A247" s="39" t="s">
        <v>956</v>
      </c>
      <c r="B247" s="59">
        <v>45469</v>
      </c>
      <c r="C247" s="39" t="s">
        <v>345</v>
      </c>
      <c r="D247" s="41">
        <v>65</v>
      </c>
      <c r="E247" s="41"/>
      <c r="F247" s="41">
        <f>1+12+1</f>
        <v>14</v>
      </c>
      <c r="G247" s="41"/>
      <c r="H247" s="41">
        <f>+D247+E247+-F247</f>
        <v>51</v>
      </c>
      <c r="I247" s="42">
        <v>155</v>
      </c>
      <c r="J247" s="42">
        <f t="shared" si="4"/>
        <v>7905</v>
      </c>
      <c r="K247" s="42"/>
      <c r="L247" s="42"/>
      <c r="M247" s="43" t="s">
        <v>313</v>
      </c>
    </row>
    <row r="248" spans="1:13" s="44" customFormat="1" ht="30" customHeight="1" x14ac:dyDescent="0.25">
      <c r="A248" s="39" t="s">
        <v>1116</v>
      </c>
      <c r="B248" s="40"/>
      <c r="C248" s="39" t="s">
        <v>477</v>
      </c>
      <c r="D248" s="41">
        <v>44</v>
      </c>
      <c r="E248" s="41"/>
      <c r="F248" s="41">
        <v>1</v>
      </c>
      <c r="G248" s="41"/>
      <c r="H248" s="41">
        <f>+D248+E248+-F248</f>
        <v>43</v>
      </c>
      <c r="I248" s="42">
        <v>20</v>
      </c>
      <c r="J248" s="42">
        <f t="shared" si="4"/>
        <v>860</v>
      </c>
      <c r="K248" s="42"/>
      <c r="L248" s="42"/>
      <c r="M248" s="43" t="s">
        <v>454</v>
      </c>
    </row>
    <row r="249" spans="1:13" s="75" customFormat="1" ht="30" customHeight="1" x14ac:dyDescent="0.25">
      <c r="A249" s="39" t="s">
        <v>1393</v>
      </c>
      <c r="B249" s="72">
        <v>45575</v>
      </c>
      <c r="C249" s="73" t="s">
        <v>1423</v>
      </c>
      <c r="D249" s="74">
        <v>500</v>
      </c>
      <c r="E249" s="64"/>
      <c r="F249" s="64">
        <f>80+70+80</f>
        <v>230</v>
      </c>
      <c r="G249" s="64"/>
      <c r="H249" s="64">
        <f>+D249+E249-F249+G249</f>
        <v>270</v>
      </c>
      <c r="I249" s="66"/>
      <c r="J249" s="66"/>
      <c r="K249" s="66">
        <v>180</v>
      </c>
      <c r="L249" s="66">
        <f>+H249*K249</f>
        <v>48600</v>
      </c>
      <c r="M249" s="67"/>
    </row>
    <row r="250" spans="1:13" s="44" customFormat="1" ht="30" customHeight="1" x14ac:dyDescent="0.25">
      <c r="A250" s="39" t="s">
        <v>577</v>
      </c>
      <c r="B250" s="48" t="s">
        <v>1553</v>
      </c>
      <c r="C250" s="39" t="s">
        <v>1554</v>
      </c>
      <c r="D250" s="57">
        <v>1</v>
      </c>
      <c r="E250" s="57">
        <v>20</v>
      </c>
      <c r="F250" s="57">
        <f>1+1+1+1+2+1</f>
        <v>7</v>
      </c>
      <c r="G250" s="57"/>
      <c r="H250" s="41">
        <f>+D250+E250-F250</f>
        <v>14</v>
      </c>
      <c r="I250" s="58">
        <v>486.75</v>
      </c>
      <c r="J250" s="42">
        <f t="shared" ref="J250:J271" si="5">+H250*I250</f>
        <v>6814.5</v>
      </c>
      <c r="K250" s="42"/>
      <c r="L250" s="42"/>
      <c r="M250" s="43" t="s">
        <v>20</v>
      </c>
    </row>
    <row r="251" spans="1:13" s="44" customFormat="1" ht="30" customHeight="1" x14ac:dyDescent="0.25">
      <c r="A251" s="39" t="s">
        <v>1451</v>
      </c>
      <c r="B251" s="46">
        <v>45363</v>
      </c>
      <c r="C251" s="47" t="s">
        <v>1473</v>
      </c>
      <c r="D251" s="39"/>
      <c r="E251" s="41">
        <v>5</v>
      </c>
      <c r="F251" s="41">
        <f>1+1</f>
        <v>2</v>
      </c>
      <c r="G251" s="41"/>
      <c r="H251" s="41">
        <f>+D251+E251-F251+G251</f>
        <v>3</v>
      </c>
      <c r="I251" s="42">
        <v>5310</v>
      </c>
      <c r="J251" s="42">
        <f t="shared" si="5"/>
        <v>15930</v>
      </c>
      <c r="K251" s="55"/>
      <c r="L251" s="55"/>
      <c r="M251" s="76" t="s">
        <v>1238</v>
      </c>
    </row>
    <row r="252" spans="1:13" s="44" customFormat="1" ht="15.75" x14ac:dyDescent="0.25">
      <c r="A252" s="39" t="s">
        <v>1421</v>
      </c>
      <c r="B252" s="46">
        <v>1</v>
      </c>
      <c r="C252" s="47" t="s">
        <v>1471</v>
      </c>
      <c r="D252" s="39"/>
      <c r="E252" s="41">
        <v>5</v>
      </c>
      <c r="F252" s="41">
        <f>1+1+1+1</f>
        <v>4</v>
      </c>
      <c r="G252" s="41"/>
      <c r="H252" s="41">
        <f>+D252+E252-F252+G252</f>
        <v>1</v>
      </c>
      <c r="I252" s="42">
        <v>5310</v>
      </c>
      <c r="J252" s="42">
        <f t="shared" si="5"/>
        <v>5310</v>
      </c>
      <c r="K252" s="55"/>
      <c r="L252" s="55"/>
      <c r="M252" s="76" t="s">
        <v>1238</v>
      </c>
    </row>
    <row r="253" spans="1:13" s="44" customFormat="1" ht="30" customHeight="1" x14ac:dyDescent="0.25">
      <c r="A253" s="39" t="s">
        <v>1422</v>
      </c>
      <c r="B253" s="46">
        <v>45363</v>
      </c>
      <c r="C253" s="47" t="s">
        <v>1448</v>
      </c>
      <c r="D253" s="39"/>
      <c r="E253" s="41">
        <v>5</v>
      </c>
      <c r="F253" s="41">
        <v>1</v>
      </c>
      <c r="G253" s="41"/>
      <c r="H253" s="41">
        <f>+D253+E253-F253+G253</f>
        <v>4</v>
      </c>
      <c r="I253" s="42">
        <v>8614</v>
      </c>
      <c r="J253" s="42">
        <f t="shared" si="5"/>
        <v>34456</v>
      </c>
      <c r="K253" s="55"/>
      <c r="L253" s="55"/>
      <c r="M253" s="76" t="s">
        <v>1238</v>
      </c>
    </row>
    <row r="254" spans="1:13" s="44" customFormat="1" ht="30" customHeight="1" x14ac:dyDescent="0.25">
      <c r="A254" s="39" t="s">
        <v>1449</v>
      </c>
      <c r="B254" s="46">
        <v>45363</v>
      </c>
      <c r="C254" s="47" t="s">
        <v>1472</v>
      </c>
      <c r="D254" s="39"/>
      <c r="E254" s="41">
        <v>3</v>
      </c>
      <c r="F254" s="41">
        <v>1</v>
      </c>
      <c r="G254" s="41"/>
      <c r="H254" s="41">
        <f>+D254+E254-F254+G254</f>
        <v>2</v>
      </c>
      <c r="I254" s="42">
        <v>8614</v>
      </c>
      <c r="J254" s="42">
        <f t="shared" si="5"/>
        <v>17228</v>
      </c>
      <c r="K254" s="55"/>
      <c r="L254" s="55"/>
      <c r="M254" s="76" t="s">
        <v>1238</v>
      </c>
    </row>
    <row r="255" spans="1:13" s="44" customFormat="1" ht="30" customHeight="1" x14ac:dyDescent="0.25">
      <c r="A255" s="39" t="s">
        <v>743</v>
      </c>
      <c r="B255" s="40"/>
      <c r="C255" s="39" t="s">
        <v>154</v>
      </c>
      <c r="D255" s="41">
        <v>246</v>
      </c>
      <c r="E255" s="41"/>
      <c r="F255" s="41"/>
      <c r="G255" s="41"/>
      <c r="H255" s="41">
        <f>+D255+E255-F255</f>
        <v>246</v>
      </c>
      <c r="I255" s="42">
        <v>4.7</v>
      </c>
      <c r="J255" s="42">
        <f t="shared" si="5"/>
        <v>1156.2</v>
      </c>
      <c r="K255" s="42"/>
      <c r="L255" s="42"/>
      <c r="M255" s="43" t="s">
        <v>147</v>
      </c>
    </row>
    <row r="256" spans="1:13" s="44" customFormat="1" ht="30" customHeight="1" x14ac:dyDescent="0.25">
      <c r="A256" s="39" t="s">
        <v>744</v>
      </c>
      <c r="B256" s="40"/>
      <c r="C256" s="39" t="s">
        <v>155</v>
      </c>
      <c r="D256" s="41">
        <v>200</v>
      </c>
      <c r="E256" s="41"/>
      <c r="F256" s="41"/>
      <c r="G256" s="41"/>
      <c r="H256" s="41">
        <f>+D256+E256-F256</f>
        <v>200</v>
      </c>
      <c r="I256" s="42">
        <v>4.7</v>
      </c>
      <c r="J256" s="42">
        <f t="shared" si="5"/>
        <v>940</v>
      </c>
      <c r="K256" s="42"/>
      <c r="L256" s="42"/>
      <c r="M256" s="43" t="s">
        <v>147</v>
      </c>
    </row>
    <row r="257" spans="1:13" s="44" customFormat="1" ht="30" customHeight="1" x14ac:dyDescent="0.25">
      <c r="A257" s="39" t="s">
        <v>745</v>
      </c>
      <c r="B257" s="40"/>
      <c r="C257" s="39" t="s">
        <v>156</v>
      </c>
      <c r="D257" s="41">
        <v>100</v>
      </c>
      <c r="E257" s="41"/>
      <c r="F257" s="41"/>
      <c r="G257" s="41"/>
      <c r="H257" s="41">
        <f>+D257+E257-F257</f>
        <v>100</v>
      </c>
      <c r="I257" s="42">
        <v>4.7</v>
      </c>
      <c r="J257" s="42">
        <f t="shared" si="5"/>
        <v>470</v>
      </c>
      <c r="K257" s="42"/>
      <c r="L257" s="42"/>
      <c r="M257" s="43" t="s">
        <v>147</v>
      </c>
    </row>
    <row r="258" spans="1:13" s="44" customFormat="1" ht="30" customHeight="1" x14ac:dyDescent="0.25">
      <c r="A258" s="39" t="s">
        <v>1118</v>
      </c>
      <c r="B258" s="40"/>
      <c r="C258" s="39" t="s">
        <v>479</v>
      </c>
      <c r="D258" s="41">
        <v>6</v>
      </c>
      <c r="E258" s="41"/>
      <c r="F258" s="41"/>
      <c r="G258" s="41"/>
      <c r="H258" s="41">
        <f>+D258+E258+-F258</f>
        <v>6</v>
      </c>
      <c r="I258" s="42">
        <v>92</v>
      </c>
      <c r="J258" s="42">
        <f t="shared" si="5"/>
        <v>552</v>
      </c>
      <c r="K258" s="42"/>
      <c r="L258" s="42"/>
      <c r="M258" s="43" t="s">
        <v>454</v>
      </c>
    </row>
    <row r="259" spans="1:13" s="44" customFormat="1" ht="30" customHeight="1" x14ac:dyDescent="0.25">
      <c r="A259" s="39" t="s">
        <v>578</v>
      </c>
      <c r="B259" s="48">
        <v>45412</v>
      </c>
      <c r="C259" s="39" t="s">
        <v>21</v>
      </c>
      <c r="D259" s="57">
        <v>35</v>
      </c>
      <c r="E259" s="57"/>
      <c r="F259" s="57">
        <f>3+1+1+4+4+2+2+1</f>
        <v>18</v>
      </c>
      <c r="G259" s="57"/>
      <c r="H259" s="41">
        <f>+D259+E259-F259</f>
        <v>17</v>
      </c>
      <c r="I259" s="58">
        <v>44</v>
      </c>
      <c r="J259" s="42">
        <f t="shared" si="5"/>
        <v>748</v>
      </c>
      <c r="K259" s="42"/>
      <c r="L259" s="42"/>
      <c r="M259" s="43" t="s">
        <v>20</v>
      </c>
    </row>
    <row r="260" spans="1:13" s="44" customFormat="1" ht="30" customHeight="1" x14ac:dyDescent="0.25">
      <c r="A260" s="39" t="s">
        <v>1469</v>
      </c>
      <c r="B260" s="50">
        <v>45631</v>
      </c>
      <c r="C260" s="51" t="s">
        <v>1476</v>
      </c>
      <c r="D260" s="52"/>
      <c r="E260" s="53">
        <v>4</v>
      </c>
      <c r="F260" s="53">
        <v>4</v>
      </c>
      <c r="G260" s="53"/>
      <c r="H260" s="41">
        <f>+D260+E260-F260+G260</f>
        <v>0</v>
      </c>
      <c r="I260" s="54">
        <v>3498.7</v>
      </c>
      <c r="J260" s="55">
        <f t="shared" si="5"/>
        <v>0</v>
      </c>
      <c r="K260" s="54"/>
      <c r="L260" s="54"/>
      <c r="M260" s="60" t="s">
        <v>1372</v>
      </c>
    </row>
    <row r="261" spans="1:13" s="44" customFormat="1" ht="30" customHeight="1" x14ac:dyDescent="0.25">
      <c r="A261" s="39" t="s">
        <v>579</v>
      </c>
      <c r="B261" s="48">
        <v>45412</v>
      </c>
      <c r="C261" s="39" t="s">
        <v>22</v>
      </c>
      <c r="D261" s="57">
        <v>14</v>
      </c>
      <c r="E261" s="57"/>
      <c r="F261" s="57"/>
      <c r="G261" s="57"/>
      <c r="H261" s="41">
        <f>+D261+E261-F261</f>
        <v>14</v>
      </c>
      <c r="I261" s="58">
        <v>44</v>
      </c>
      <c r="J261" s="42">
        <f t="shared" si="5"/>
        <v>616</v>
      </c>
      <c r="K261" s="42"/>
      <c r="L261" s="42"/>
      <c r="M261" s="43" t="s">
        <v>20</v>
      </c>
    </row>
    <row r="262" spans="1:13" s="44" customFormat="1" ht="30" customHeight="1" x14ac:dyDescent="0.25">
      <c r="A262" s="39" t="s">
        <v>1503</v>
      </c>
      <c r="B262" s="50">
        <v>45631</v>
      </c>
      <c r="C262" s="51" t="s">
        <v>1490</v>
      </c>
      <c r="D262" s="52"/>
      <c r="E262" s="53">
        <v>30</v>
      </c>
      <c r="F262" s="53"/>
      <c r="G262" s="53"/>
      <c r="H262" s="41">
        <f>+D262+E262-F262+G262</f>
        <v>30</v>
      </c>
      <c r="I262" s="54">
        <v>5.65</v>
      </c>
      <c r="J262" s="55">
        <f t="shared" si="5"/>
        <v>169.5</v>
      </c>
      <c r="K262" s="54"/>
      <c r="L262" s="54"/>
      <c r="M262" s="60" t="s">
        <v>27</v>
      </c>
    </row>
    <row r="263" spans="1:13" s="44" customFormat="1" ht="30" customHeight="1" x14ac:dyDescent="0.25">
      <c r="A263" s="39" t="s">
        <v>847</v>
      </c>
      <c r="B263" s="48">
        <v>45474</v>
      </c>
      <c r="C263" s="45" t="s">
        <v>245</v>
      </c>
      <c r="D263" s="41">
        <f>8*4</f>
        <v>32</v>
      </c>
      <c r="E263" s="41"/>
      <c r="F263" s="41"/>
      <c r="G263" s="41"/>
      <c r="H263" s="41">
        <f>+D263+E263+-F263</f>
        <v>32</v>
      </c>
      <c r="I263" s="42">
        <v>495.6</v>
      </c>
      <c r="J263" s="42">
        <f t="shared" si="5"/>
        <v>15859.2</v>
      </c>
      <c r="K263" s="42"/>
      <c r="L263" s="42"/>
      <c r="M263" s="43" t="s">
        <v>222</v>
      </c>
    </row>
    <row r="264" spans="1:13" s="44" customFormat="1" ht="30" customHeight="1" x14ac:dyDescent="0.25">
      <c r="A264" s="39" t="s">
        <v>874</v>
      </c>
      <c r="B264" s="48">
        <v>45418</v>
      </c>
      <c r="C264" s="39" t="s">
        <v>271</v>
      </c>
      <c r="D264" s="41">
        <f>78-1-1-1-1-1-1-1-1</f>
        <v>70</v>
      </c>
      <c r="E264" s="41"/>
      <c r="F264" s="41">
        <f>1+2+1+1+1+1+1+1+7+1+3+1+2+1+2+1+3+1+2+2+4+1+3+5+1+5+1</f>
        <v>55</v>
      </c>
      <c r="G264" s="41"/>
      <c r="H264" s="41">
        <f>+D264+E264+-F264</f>
        <v>15</v>
      </c>
      <c r="I264" s="42">
        <v>82.6</v>
      </c>
      <c r="J264" s="42">
        <f t="shared" si="5"/>
        <v>1239</v>
      </c>
      <c r="K264" s="42"/>
      <c r="L264" s="42"/>
      <c r="M264" s="43" t="s">
        <v>248</v>
      </c>
    </row>
    <row r="265" spans="1:13" s="44" customFormat="1" ht="30" customHeight="1" x14ac:dyDescent="0.25">
      <c r="A265" s="39" t="s">
        <v>875</v>
      </c>
      <c r="B265" s="48">
        <v>45418</v>
      </c>
      <c r="C265" s="39" t="s">
        <v>1711</v>
      </c>
      <c r="D265" s="41">
        <v>53</v>
      </c>
      <c r="E265" s="41"/>
      <c r="F265" s="41">
        <f>4+3+1+4+1+4+2+2-3+4+4+1</f>
        <v>27</v>
      </c>
      <c r="G265" s="41"/>
      <c r="H265" s="41">
        <f>+D265+E265+-F265</f>
        <v>26</v>
      </c>
      <c r="I265" s="42">
        <v>82.6</v>
      </c>
      <c r="J265" s="42">
        <f t="shared" si="5"/>
        <v>2147.6</v>
      </c>
      <c r="K265" s="42"/>
      <c r="L265" s="42"/>
      <c r="M265" s="43" t="s">
        <v>248</v>
      </c>
    </row>
    <row r="266" spans="1:13" s="44" customFormat="1" ht="30" customHeight="1" x14ac:dyDescent="0.25">
      <c r="A266" s="39" t="s">
        <v>876</v>
      </c>
      <c r="B266" s="40"/>
      <c r="C266" s="39" t="s">
        <v>272</v>
      </c>
      <c r="D266" s="41">
        <v>4</v>
      </c>
      <c r="E266" s="41"/>
      <c r="F266" s="41">
        <v>2</v>
      </c>
      <c r="G266" s="41"/>
      <c r="H266" s="41">
        <f>+D266+E266+-F266</f>
        <v>2</v>
      </c>
      <c r="I266" s="42">
        <v>10480</v>
      </c>
      <c r="J266" s="42">
        <f t="shared" si="5"/>
        <v>20960</v>
      </c>
      <c r="K266" s="42"/>
      <c r="L266" s="42"/>
      <c r="M266" s="43" t="s">
        <v>248</v>
      </c>
    </row>
    <row r="267" spans="1:13" s="44" customFormat="1" ht="30" customHeight="1" x14ac:dyDescent="0.4">
      <c r="A267" s="39" t="s">
        <v>1648</v>
      </c>
      <c r="B267" s="50">
        <v>45653</v>
      </c>
      <c r="C267" s="51" t="s">
        <v>1694</v>
      </c>
      <c r="D267" s="52"/>
      <c r="E267" s="41">
        <v>75</v>
      </c>
      <c r="F267" s="41">
        <f>2+1+1+1+1+1+6+1+1+3+6+1+6+4-1+1+1+1+3</f>
        <v>40</v>
      </c>
      <c r="G267" s="41"/>
      <c r="H267" s="68">
        <f>+D267+E267-F267</f>
        <v>35</v>
      </c>
      <c r="I267" s="55">
        <v>94</v>
      </c>
      <c r="J267" s="55">
        <f t="shared" si="5"/>
        <v>3290</v>
      </c>
      <c r="K267" s="69"/>
      <c r="L267" s="69"/>
      <c r="M267" s="43" t="s">
        <v>248</v>
      </c>
    </row>
    <row r="268" spans="1:13" s="44" customFormat="1" ht="30" customHeight="1" x14ac:dyDescent="0.4">
      <c r="A268" s="39" t="s">
        <v>1707</v>
      </c>
      <c r="B268" s="50" t="s">
        <v>1600</v>
      </c>
      <c r="C268" s="51" t="s">
        <v>1708</v>
      </c>
      <c r="D268" s="52"/>
      <c r="E268" s="53">
        <v>75</v>
      </c>
      <c r="F268" s="53">
        <f>14+3+3+2</f>
        <v>22</v>
      </c>
      <c r="G268" s="53"/>
      <c r="H268" s="68">
        <f>+D268+E268-F268</f>
        <v>53</v>
      </c>
      <c r="I268" s="54">
        <v>94</v>
      </c>
      <c r="J268" s="54">
        <f t="shared" si="5"/>
        <v>4982</v>
      </c>
      <c r="K268" s="69"/>
      <c r="L268" s="69"/>
      <c r="M268" s="43" t="s">
        <v>248</v>
      </c>
    </row>
    <row r="269" spans="1:13" s="44" customFormat="1" ht="30" customHeight="1" x14ac:dyDescent="0.25">
      <c r="A269" s="39" t="s">
        <v>1119</v>
      </c>
      <c r="B269" s="40"/>
      <c r="C269" s="39" t="s">
        <v>480</v>
      </c>
      <c r="D269" s="41">
        <v>1</v>
      </c>
      <c r="E269" s="41"/>
      <c r="F269" s="41"/>
      <c r="G269" s="41"/>
      <c r="H269" s="41">
        <f>+D269+E269+-F269</f>
        <v>1</v>
      </c>
      <c r="I269" s="42">
        <v>310</v>
      </c>
      <c r="J269" s="42">
        <f t="shared" si="5"/>
        <v>310</v>
      </c>
      <c r="K269" s="42"/>
      <c r="L269" s="42"/>
      <c r="M269" s="43" t="s">
        <v>454</v>
      </c>
    </row>
    <row r="270" spans="1:13" s="44" customFormat="1" ht="30" customHeight="1" x14ac:dyDescent="0.25">
      <c r="A270" s="39" t="s">
        <v>1598</v>
      </c>
      <c r="B270" s="50" t="s">
        <v>1594</v>
      </c>
      <c r="C270" s="51" t="s">
        <v>1593</v>
      </c>
      <c r="D270" s="52"/>
      <c r="E270" s="53">
        <v>600</v>
      </c>
      <c r="F270" s="53">
        <f>2+30+1+1+1+2</f>
        <v>37</v>
      </c>
      <c r="G270" s="53"/>
      <c r="H270" s="41">
        <f>+D270+E270-F270+G270</f>
        <v>563</v>
      </c>
      <c r="I270" s="55">
        <v>33.235999999999997</v>
      </c>
      <c r="J270" s="55">
        <f t="shared" si="5"/>
        <v>18711.867999999999</v>
      </c>
      <c r="K270" s="54"/>
      <c r="L270" s="54"/>
      <c r="M270" s="43" t="s">
        <v>248</v>
      </c>
    </row>
    <row r="271" spans="1:13" s="44" customFormat="1" ht="30" customHeight="1" x14ac:dyDescent="0.25">
      <c r="A271" s="39" t="s">
        <v>1566</v>
      </c>
      <c r="B271" s="50" t="s">
        <v>1561</v>
      </c>
      <c r="C271" s="51" t="s">
        <v>1573</v>
      </c>
      <c r="D271" s="52"/>
      <c r="E271" s="53">
        <v>10</v>
      </c>
      <c r="F271" s="53"/>
      <c r="G271" s="53"/>
      <c r="H271" s="41">
        <f>+D271+E271-F271+G271</f>
        <v>10</v>
      </c>
      <c r="I271" s="54">
        <v>522.95240000000001</v>
      </c>
      <c r="J271" s="55">
        <f t="shared" si="5"/>
        <v>5229.5240000000003</v>
      </c>
      <c r="K271" s="54"/>
      <c r="L271" s="54"/>
      <c r="M271" s="43" t="s">
        <v>1541</v>
      </c>
    </row>
    <row r="272" spans="1:13" s="44" customFormat="1" ht="30" customHeight="1" x14ac:dyDescent="0.25">
      <c r="A272" s="39" t="s">
        <v>1241</v>
      </c>
      <c r="B272" s="48">
        <v>45604</v>
      </c>
      <c r="C272" s="39" t="s">
        <v>1264</v>
      </c>
      <c r="D272" s="41"/>
      <c r="E272" s="41">
        <v>10</v>
      </c>
      <c r="F272" s="41">
        <v>10</v>
      </c>
      <c r="G272" s="41"/>
      <c r="H272" s="41">
        <f>+D272+E272+-F272</f>
        <v>0</v>
      </c>
      <c r="I272" s="42">
        <v>1368.8</v>
      </c>
      <c r="J272" s="42">
        <v>1368.8</v>
      </c>
      <c r="K272" s="42"/>
      <c r="L272" s="42"/>
      <c r="M272" s="43" t="s">
        <v>1238</v>
      </c>
    </row>
    <row r="273" spans="1:13" s="44" customFormat="1" ht="30" customHeight="1" x14ac:dyDescent="0.25">
      <c r="A273" s="39" t="s">
        <v>1247</v>
      </c>
      <c r="B273" s="77">
        <v>45597</v>
      </c>
      <c r="C273" s="63" t="s">
        <v>1265</v>
      </c>
      <c r="D273" s="64">
        <v>15</v>
      </c>
      <c r="E273" s="64"/>
      <c r="F273" s="64">
        <f>1+1+2</f>
        <v>4</v>
      </c>
      <c r="G273" s="64"/>
      <c r="H273" s="64">
        <f>+D273+E273-F273</f>
        <v>11</v>
      </c>
      <c r="I273" s="66"/>
      <c r="J273" s="66"/>
      <c r="K273" s="66">
        <v>1368.8</v>
      </c>
      <c r="L273" s="66">
        <f>+H273*K273</f>
        <v>15056.8</v>
      </c>
      <c r="M273" s="67" t="s">
        <v>1238</v>
      </c>
    </row>
    <row r="274" spans="1:13" s="44" customFormat="1" ht="30" customHeight="1" x14ac:dyDescent="0.25">
      <c r="A274" s="39" t="s">
        <v>957</v>
      </c>
      <c r="B274" s="40" t="s">
        <v>273</v>
      </c>
      <c r="C274" s="39" t="s">
        <v>346</v>
      </c>
      <c r="D274" s="41">
        <v>9</v>
      </c>
      <c r="E274" s="41"/>
      <c r="F274" s="41">
        <f>1+1+1</f>
        <v>3</v>
      </c>
      <c r="G274" s="41"/>
      <c r="H274" s="41">
        <f>+D274+E274+-F274</f>
        <v>6</v>
      </c>
      <c r="I274" s="42">
        <v>118.35</v>
      </c>
      <c r="J274" s="42">
        <f t="shared" ref="J274:J305" si="6">+H274*I274</f>
        <v>710.09999999999991</v>
      </c>
      <c r="K274" s="42"/>
      <c r="L274" s="42"/>
      <c r="M274" s="43" t="s">
        <v>313</v>
      </c>
    </row>
    <row r="275" spans="1:13" s="44" customFormat="1" ht="30" customHeight="1" x14ac:dyDescent="0.25">
      <c r="A275" s="39" t="s">
        <v>573</v>
      </c>
      <c r="B275" s="59" t="s">
        <v>6</v>
      </c>
      <c r="C275" s="39" t="s">
        <v>16</v>
      </c>
      <c r="D275" s="41">
        <v>1</v>
      </c>
      <c r="E275" s="41"/>
      <c r="F275" s="41"/>
      <c r="G275" s="41"/>
      <c r="H275" s="41">
        <f>+D275+E275-F275</f>
        <v>1</v>
      </c>
      <c r="I275" s="42">
        <v>1099</v>
      </c>
      <c r="J275" s="42">
        <f t="shared" si="6"/>
        <v>1099</v>
      </c>
      <c r="K275" s="42"/>
      <c r="L275" s="42"/>
      <c r="M275" s="43" t="s">
        <v>8</v>
      </c>
    </row>
    <row r="276" spans="1:13" s="44" customFormat="1" ht="30" customHeight="1" x14ac:dyDescent="0.25">
      <c r="A276" s="39" t="s">
        <v>565</v>
      </c>
      <c r="B276" s="59" t="s">
        <v>6</v>
      </c>
      <c r="C276" s="39" t="s">
        <v>7</v>
      </c>
      <c r="D276" s="41">
        <v>6</v>
      </c>
      <c r="E276" s="41"/>
      <c r="F276" s="41"/>
      <c r="G276" s="41"/>
      <c r="H276" s="41">
        <f>+D276+E276-F276</f>
        <v>6</v>
      </c>
      <c r="I276" s="42">
        <v>1099</v>
      </c>
      <c r="J276" s="42">
        <f t="shared" si="6"/>
        <v>6594</v>
      </c>
      <c r="K276" s="42"/>
      <c r="L276" s="42"/>
      <c r="M276" s="43" t="s">
        <v>8</v>
      </c>
    </row>
    <row r="277" spans="1:13" s="44" customFormat="1" ht="30" customHeight="1" x14ac:dyDescent="0.25">
      <c r="A277" s="39" t="s">
        <v>575</v>
      </c>
      <c r="B277" s="59" t="s">
        <v>6</v>
      </c>
      <c r="C277" s="45" t="s">
        <v>18</v>
      </c>
      <c r="D277" s="41">
        <v>3</v>
      </c>
      <c r="E277" s="41"/>
      <c r="F277" s="41"/>
      <c r="G277" s="41"/>
      <c r="H277" s="41">
        <f>+D277+E277-F277</f>
        <v>3</v>
      </c>
      <c r="I277" s="42">
        <v>1400</v>
      </c>
      <c r="J277" s="42">
        <f t="shared" si="6"/>
        <v>4200</v>
      </c>
      <c r="K277" s="42"/>
      <c r="L277" s="42"/>
      <c r="M277" s="43" t="s">
        <v>8</v>
      </c>
    </row>
    <row r="278" spans="1:13" s="44" customFormat="1" ht="30" customHeight="1" x14ac:dyDescent="0.25">
      <c r="A278" s="39" t="s">
        <v>566</v>
      </c>
      <c r="B278" s="59" t="s">
        <v>6</v>
      </c>
      <c r="C278" s="39" t="s">
        <v>9</v>
      </c>
      <c r="D278" s="41">
        <v>2</v>
      </c>
      <c r="E278" s="41"/>
      <c r="F278" s="41">
        <v>1</v>
      </c>
      <c r="G278" s="41"/>
      <c r="H278" s="41">
        <f>+D278+E278-F278</f>
        <v>1</v>
      </c>
      <c r="I278" s="42">
        <v>1099</v>
      </c>
      <c r="J278" s="42">
        <f t="shared" si="6"/>
        <v>1099</v>
      </c>
      <c r="K278" s="42"/>
      <c r="L278" s="42"/>
      <c r="M278" s="43" t="s">
        <v>8</v>
      </c>
    </row>
    <row r="279" spans="1:13" s="44" customFormat="1" ht="30" customHeight="1" x14ac:dyDescent="0.25">
      <c r="A279" s="39" t="s">
        <v>567</v>
      </c>
      <c r="B279" s="59" t="s">
        <v>6</v>
      </c>
      <c r="C279" s="39" t="s">
        <v>10</v>
      </c>
      <c r="D279" s="41">
        <v>2</v>
      </c>
      <c r="E279" s="41"/>
      <c r="F279" s="41"/>
      <c r="G279" s="41"/>
      <c r="H279" s="41">
        <f>+D279+E279-F279</f>
        <v>2</v>
      </c>
      <c r="I279" s="42">
        <v>1099</v>
      </c>
      <c r="J279" s="42">
        <f t="shared" si="6"/>
        <v>2198</v>
      </c>
      <c r="K279" s="42"/>
      <c r="L279" s="42"/>
      <c r="M279" s="43" t="s">
        <v>8</v>
      </c>
    </row>
    <row r="280" spans="1:13" s="44" customFormat="1" ht="30" customHeight="1" x14ac:dyDescent="0.25">
      <c r="A280" s="39" t="s">
        <v>568</v>
      </c>
      <c r="B280" s="59" t="s">
        <v>6</v>
      </c>
      <c r="C280" s="39" t="s">
        <v>11</v>
      </c>
      <c r="D280" s="41">
        <v>12</v>
      </c>
      <c r="E280" s="41"/>
      <c r="F280" s="41"/>
      <c r="G280" s="41"/>
      <c r="H280" s="41">
        <f>+D280+E280-F280</f>
        <v>12</v>
      </c>
      <c r="I280" s="42">
        <v>1099</v>
      </c>
      <c r="J280" s="42">
        <f t="shared" si="6"/>
        <v>13188</v>
      </c>
      <c r="K280" s="42"/>
      <c r="L280" s="42"/>
      <c r="M280" s="43" t="s">
        <v>8</v>
      </c>
    </row>
    <row r="281" spans="1:13" s="44" customFormat="1" ht="30" customHeight="1" x14ac:dyDescent="0.25">
      <c r="A281" s="39" t="s">
        <v>569</v>
      </c>
      <c r="B281" s="59" t="s">
        <v>6</v>
      </c>
      <c r="C281" s="39" t="s">
        <v>12</v>
      </c>
      <c r="D281" s="41">
        <v>3</v>
      </c>
      <c r="E281" s="41"/>
      <c r="F281" s="41"/>
      <c r="G281" s="41"/>
      <c r="H281" s="41">
        <f>+D281+E281-F281</f>
        <v>3</v>
      </c>
      <c r="I281" s="42">
        <v>1400</v>
      </c>
      <c r="J281" s="42">
        <f t="shared" si="6"/>
        <v>4200</v>
      </c>
      <c r="K281" s="42"/>
      <c r="L281" s="42"/>
      <c r="M281" s="43" t="s">
        <v>8</v>
      </c>
    </row>
    <row r="282" spans="1:13" s="44" customFormat="1" ht="30" customHeight="1" x14ac:dyDescent="0.25">
      <c r="A282" s="39" t="s">
        <v>571</v>
      </c>
      <c r="B282" s="59" t="s">
        <v>6</v>
      </c>
      <c r="C282" s="39" t="s">
        <v>14</v>
      </c>
      <c r="D282" s="41">
        <v>10</v>
      </c>
      <c r="E282" s="41"/>
      <c r="F282" s="41"/>
      <c r="G282" s="41"/>
      <c r="H282" s="41">
        <f>+D282+E282-F282</f>
        <v>10</v>
      </c>
      <c r="I282" s="42">
        <v>1400</v>
      </c>
      <c r="J282" s="42">
        <f t="shared" si="6"/>
        <v>14000</v>
      </c>
      <c r="K282" s="42"/>
      <c r="L282" s="42"/>
      <c r="M282" s="43" t="s">
        <v>8</v>
      </c>
    </row>
    <row r="283" spans="1:13" s="44" customFormat="1" ht="30" customHeight="1" x14ac:dyDescent="0.25">
      <c r="A283" s="39" t="s">
        <v>570</v>
      </c>
      <c r="B283" s="59" t="s">
        <v>6</v>
      </c>
      <c r="C283" s="39" t="s">
        <v>13</v>
      </c>
      <c r="D283" s="41">
        <v>6</v>
      </c>
      <c r="E283" s="41"/>
      <c r="F283" s="41">
        <v>2</v>
      </c>
      <c r="G283" s="41"/>
      <c r="H283" s="41">
        <f>+D283+E283-F283</f>
        <v>4</v>
      </c>
      <c r="I283" s="42">
        <v>1400</v>
      </c>
      <c r="J283" s="42">
        <f t="shared" si="6"/>
        <v>5600</v>
      </c>
      <c r="K283" s="42"/>
      <c r="L283" s="42"/>
      <c r="M283" s="43" t="s">
        <v>8</v>
      </c>
    </row>
    <row r="284" spans="1:13" s="44" customFormat="1" ht="30" customHeight="1" x14ac:dyDescent="0.25">
      <c r="A284" s="39" t="s">
        <v>1242</v>
      </c>
      <c r="B284" s="48">
        <v>45607</v>
      </c>
      <c r="C284" s="39" t="s">
        <v>1259</v>
      </c>
      <c r="D284" s="41"/>
      <c r="E284" s="41">
        <f>80+115</f>
        <v>195</v>
      </c>
      <c r="F284" s="41">
        <f>12+4+4+8+4+2+88+4</f>
        <v>126</v>
      </c>
      <c r="G284" s="41"/>
      <c r="H284" s="41">
        <f>+D284+E284+-F284</f>
        <v>69</v>
      </c>
      <c r="I284" s="42">
        <v>2006</v>
      </c>
      <c r="J284" s="42">
        <f t="shared" si="6"/>
        <v>138414</v>
      </c>
      <c r="K284" s="42"/>
      <c r="L284" s="42"/>
      <c r="M284" s="43" t="s">
        <v>454</v>
      </c>
    </row>
    <row r="285" spans="1:13" s="44" customFormat="1" ht="30" customHeight="1" x14ac:dyDescent="0.25">
      <c r="A285" s="39" t="s">
        <v>1120</v>
      </c>
      <c r="B285" s="48">
        <v>45384</v>
      </c>
      <c r="C285" s="39" t="s">
        <v>1307</v>
      </c>
      <c r="D285" s="41">
        <v>4</v>
      </c>
      <c r="E285" s="41"/>
      <c r="F285" s="41"/>
      <c r="G285" s="41"/>
      <c r="H285" s="41">
        <f>+D285+E285+-F285</f>
        <v>4</v>
      </c>
      <c r="I285" s="42">
        <v>309.83999999999997</v>
      </c>
      <c r="J285" s="42">
        <f t="shared" si="6"/>
        <v>1239.3599999999999</v>
      </c>
      <c r="K285" s="42"/>
      <c r="L285" s="42"/>
      <c r="M285" s="43" t="s">
        <v>454</v>
      </c>
    </row>
    <row r="286" spans="1:13" s="44" customFormat="1" ht="30" customHeight="1" x14ac:dyDescent="0.25">
      <c r="A286" s="39" t="s">
        <v>1192</v>
      </c>
      <c r="B286" s="78" t="s">
        <v>233</v>
      </c>
      <c r="C286" s="39" t="s">
        <v>536</v>
      </c>
      <c r="D286" s="41">
        <v>91</v>
      </c>
      <c r="E286" s="41"/>
      <c r="F286" s="41"/>
      <c r="G286" s="41"/>
      <c r="H286" s="41">
        <f>+D286+E286+-F286</f>
        <v>91</v>
      </c>
      <c r="I286" s="42">
        <v>28</v>
      </c>
      <c r="J286" s="42">
        <f t="shared" si="6"/>
        <v>2548</v>
      </c>
      <c r="K286" s="42"/>
      <c r="L286" s="42"/>
      <c r="M286" s="43" t="s">
        <v>535</v>
      </c>
    </row>
    <row r="287" spans="1:13" s="44" customFormat="1" ht="30" customHeight="1" x14ac:dyDescent="0.25">
      <c r="A287" s="39" t="s">
        <v>1331</v>
      </c>
      <c r="B287" s="46">
        <v>45623</v>
      </c>
      <c r="C287" s="47" t="s">
        <v>1336</v>
      </c>
      <c r="D287" s="39"/>
      <c r="E287" s="41">
        <v>30</v>
      </c>
      <c r="F287" s="41">
        <f>1+1+1</f>
        <v>3</v>
      </c>
      <c r="G287" s="41"/>
      <c r="H287" s="41">
        <f>+D287+E287-F287+G287</f>
        <v>27</v>
      </c>
      <c r="I287" s="42">
        <v>306.8</v>
      </c>
      <c r="J287" s="42">
        <f t="shared" si="6"/>
        <v>8283.6</v>
      </c>
      <c r="K287" s="42"/>
      <c r="L287" s="42"/>
      <c r="M287" s="43" t="s">
        <v>27</v>
      </c>
    </row>
    <row r="288" spans="1:13" s="44" customFormat="1" ht="30" customHeight="1" x14ac:dyDescent="0.25">
      <c r="A288" s="39" t="s">
        <v>1388</v>
      </c>
      <c r="B288" s="46">
        <v>45623</v>
      </c>
      <c r="C288" s="46" t="s">
        <v>1391</v>
      </c>
      <c r="D288" s="39"/>
      <c r="E288" s="41">
        <v>17</v>
      </c>
      <c r="F288" s="41">
        <v>1</v>
      </c>
      <c r="G288" s="41"/>
      <c r="H288" s="41">
        <f>+D288+E288-F288+G288</f>
        <v>16</v>
      </c>
      <c r="I288" s="42">
        <v>343</v>
      </c>
      <c r="J288" s="42">
        <f t="shared" si="6"/>
        <v>5488</v>
      </c>
      <c r="K288" s="42"/>
      <c r="L288" s="42"/>
      <c r="M288" s="43" t="s">
        <v>27</v>
      </c>
    </row>
    <row r="289" spans="1:13" s="44" customFormat="1" ht="30" customHeight="1" x14ac:dyDescent="0.25">
      <c r="A289" s="39" t="s">
        <v>958</v>
      </c>
      <c r="B289" s="49">
        <v>45022</v>
      </c>
      <c r="C289" s="39" t="s">
        <v>347</v>
      </c>
      <c r="D289" s="41">
        <v>1</v>
      </c>
      <c r="E289" s="41"/>
      <c r="F289" s="41"/>
      <c r="G289" s="41"/>
      <c r="H289" s="41">
        <f>+D289+E289+-F289</f>
        <v>1</v>
      </c>
      <c r="I289" s="42">
        <v>275</v>
      </c>
      <c r="J289" s="42">
        <f t="shared" si="6"/>
        <v>275</v>
      </c>
      <c r="K289" s="42"/>
      <c r="L289" s="42"/>
      <c r="M289" s="43" t="s">
        <v>313</v>
      </c>
    </row>
    <row r="290" spans="1:13" s="44" customFormat="1" ht="30" customHeight="1" x14ac:dyDescent="0.25">
      <c r="A290" s="39" t="s">
        <v>1462</v>
      </c>
      <c r="B290" s="50">
        <v>45628</v>
      </c>
      <c r="C290" s="51" t="s">
        <v>1470</v>
      </c>
      <c r="D290" s="52"/>
      <c r="E290" s="53">
        <v>1</v>
      </c>
      <c r="F290" s="53">
        <v>1</v>
      </c>
      <c r="G290" s="53"/>
      <c r="H290" s="41">
        <f>+D290+E290-F290+G290</f>
        <v>0</v>
      </c>
      <c r="I290" s="54">
        <v>20467.34</v>
      </c>
      <c r="J290" s="55">
        <f t="shared" si="6"/>
        <v>0</v>
      </c>
      <c r="K290" s="54"/>
      <c r="L290" s="54"/>
      <c r="M290" s="60" t="s">
        <v>1541</v>
      </c>
    </row>
    <row r="291" spans="1:13" s="44" customFormat="1" ht="30" customHeight="1" x14ac:dyDescent="0.25">
      <c r="A291" s="39" t="s">
        <v>1461</v>
      </c>
      <c r="B291" s="50">
        <v>45628</v>
      </c>
      <c r="C291" s="51" t="s">
        <v>1465</v>
      </c>
      <c r="D291" s="52"/>
      <c r="E291" s="53">
        <v>1</v>
      </c>
      <c r="F291" s="53">
        <v>1</v>
      </c>
      <c r="G291" s="53"/>
      <c r="H291" s="41">
        <f>+D291+E291-F291+G291</f>
        <v>0</v>
      </c>
      <c r="I291" s="54">
        <v>8059.4</v>
      </c>
      <c r="J291" s="55">
        <f t="shared" si="6"/>
        <v>0</v>
      </c>
      <c r="K291" s="54"/>
      <c r="L291" s="54"/>
      <c r="M291" s="60" t="s">
        <v>1541</v>
      </c>
    </row>
    <row r="292" spans="1:13" s="44" customFormat="1" ht="42.75" customHeight="1" x14ac:dyDescent="0.25">
      <c r="A292" s="39" t="s">
        <v>1382</v>
      </c>
      <c r="B292" s="46">
        <v>45623</v>
      </c>
      <c r="C292" s="46" t="s">
        <v>1371</v>
      </c>
      <c r="D292" s="39"/>
      <c r="E292" s="41">
        <v>1</v>
      </c>
      <c r="F292" s="41"/>
      <c r="G292" s="41"/>
      <c r="H292" s="41">
        <f>+D292+E292-F292+G292</f>
        <v>1</v>
      </c>
      <c r="I292" s="42">
        <v>10962.67</v>
      </c>
      <c r="J292" s="42">
        <f t="shared" si="6"/>
        <v>10962.67</v>
      </c>
      <c r="K292" s="42"/>
      <c r="L292" s="42"/>
      <c r="M292" s="43" t="s">
        <v>1372</v>
      </c>
    </row>
    <row r="293" spans="1:13" s="44" customFormat="1" ht="30" customHeight="1" x14ac:dyDescent="0.25">
      <c r="A293" s="39" t="s">
        <v>878</v>
      </c>
      <c r="B293" s="40" t="s">
        <v>273</v>
      </c>
      <c r="C293" s="39" t="s">
        <v>274</v>
      </c>
      <c r="D293" s="41">
        <v>12</v>
      </c>
      <c r="E293" s="41"/>
      <c r="F293" s="41"/>
      <c r="G293" s="41"/>
      <c r="H293" s="41">
        <f>+D293+E293+-F293</f>
        <v>12</v>
      </c>
      <c r="I293" s="42">
        <v>115.53</v>
      </c>
      <c r="J293" s="42">
        <f t="shared" si="6"/>
        <v>1386.3600000000001</v>
      </c>
      <c r="K293" s="42"/>
      <c r="L293" s="42"/>
      <c r="M293" s="43" t="s">
        <v>248</v>
      </c>
    </row>
    <row r="294" spans="1:13" s="44" customFormat="1" ht="30" customHeight="1" x14ac:dyDescent="0.25">
      <c r="A294" s="39" t="s">
        <v>879</v>
      </c>
      <c r="B294" s="48">
        <v>45019</v>
      </c>
      <c r="C294" s="39" t="s">
        <v>275</v>
      </c>
      <c r="D294" s="41">
        <f>82-24</f>
        <v>58</v>
      </c>
      <c r="E294" s="41"/>
      <c r="F294" s="41">
        <f>6+4+2-3</f>
        <v>9</v>
      </c>
      <c r="G294" s="41"/>
      <c r="H294" s="41">
        <f>+D294+E294+-F294</f>
        <v>49</v>
      </c>
      <c r="I294" s="42">
        <v>154.51</v>
      </c>
      <c r="J294" s="42">
        <f t="shared" si="6"/>
        <v>7570.99</v>
      </c>
      <c r="K294" s="42"/>
      <c r="L294" s="42"/>
      <c r="M294" s="43" t="s">
        <v>248</v>
      </c>
    </row>
    <row r="295" spans="1:13" s="44" customFormat="1" ht="30" customHeight="1" x14ac:dyDescent="0.25">
      <c r="A295" s="39" t="s">
        <v>877</v>
      </c>
      <c r="B295" s="48">
        <v>45418</v>
      </c>
      <c r="C295" s="39" t="s">
        <v>1457</v>
      </c>
      <c r="D295" s="41">
        <f>60-1</f>
        <v>59</v>
      </c>
      <c r="E295" s="41"/>
      <c r="F295" s="41">
        <f>10+5+7+1</f>
        <v>23</v>
      </c>
      <c r="G295" s="41"/>
      <c r="H295" s="41">
        <f>+D295+E295+-F295</f>
        <v>36</v>
      </c>
      <c r="I295" s="42">
        <v>127.83</v>
      </c>
      <c r="J295" s="42">
        <f t="shared" si="6"/>
        <v>4601.88</v>
      </c>
      <c r="K295" s="42"/>
      <c r="L295" s="42"/>
      <c r="M295" s="43" t="s">
        <v>248</v>
      </c>
    </row>
    <row r="296" spans="1:13" s="44" customFormat="1" ht="30" customHeight="1" x14ac:dyDescent="0.25">
      <c r="A296" s="39" t="s">
        <v>880</v>
      </c>
      <c r="B296" s="40" t="s">
        <v>273</v>
      </c>
      <c r="C296" s="39" t="s">
        <v>276</v>
      </c>
      <c r="D296" s="41">
        <v>5</v>
      </c>
      <c r="E296" s="41"/>
      <c r="F296" s="41">
        <v>5</v>
      </c>
      <c r="G296" s="41"/>
      <c r="H296" s="41">
        <f>+D296+E296+-F296</f>
        <v>0</v>
      </c>
      <c r="I296" s="42">
        <v>115.53</v>
      </c>
      <c r="J296" s="42">
        <f t="shared" si="6"/>
        <v>0</v>
      </c>
      <c r="K296" s="42"/>
      <c r="L296" s="42"/>
      <c r="M296" s="43" t="s">
        <v>248</v>
      </c>
    </row>
    <row r="297" spans="1:13" s="44" customFormat="1" ht="30" customHeight="1" x14ac:dyDescent="0.25">
      <c r="A297" s="39" t="s">
        <v>881</v>
      </c>
      <c r="B297" s="48">
        <v>45019</v>
      </c>
      <c r="C297" s="39" t="s">
        <v>277</v>
      </c>
      <c r="D297" s="41">
        <v>37</v>
      </c>
      <c r="E297" s="41"/>
      <c r="F297" s="41">
        <f>1+1+3+1+1+8-1</f>
        <v>14</v>
      </c>
      <c r="G297" s="41"/>
      <c r="H297" s="41">
        <f>+D297+E297+-F297</f>
        <v>23</v>
      </c>
      <c r="I297" s="42">
        <v>115.53</v>
      </c>
      <c r="J297" s="42">
        <f t="shared" si="6"/>
        <v>2657.19</v>
      </c>
      <c r="K297" s="42"/>
      <c r="L297" s="42"/>
      <c r="M297" s="43" t="s">
        <v>248</v>
      </c>
    </row>
    <row r="298" spans="1:13" s="44" customFormat="1" ht="30" customHeight="1" x14ac:dyDescent="0.25">
      <c r="A298" s="39" t="s">
        <v>1570</v>
      </c>
      <c r="B298" s="50" t="s">
        <v>1561</v>
      </c>
      <c r="C298" s="51" t="s">
        <v>1706</v>
      </c>
      <c r="D298" s="52"/>
      <c r="E298" s="53">
        <v>4</v>
      </c>
      <c r="F298" s="53">
        <v>4</v>
      </c>
      <c r="G298" s="53"/>
      <c r="H298" s="41">
        <f>+D298+E298-F298+G298</f>
        <v>0</v>
      </c>
      <c r="I298" s="79">
        <v>1192.3900000000001</v>
      </c>
      <c r="J298" s="55">
        <f t="shared" si="6"/>
        <v>0</v>
      </c>
      <c r="K298" s="54"/>
      <c r="L298" s="54"/>
      <c r="M298" s="43" t="s">
        <v>1541</v>
      </c>
    </row>
    <row r="299" spans="1:13" s="44" customFormat="1" ht="30" customHeight="1" x14ac:dyDescent="0.25">
      <c r="A299" s="39" t="s">
        <v>722</v>
      </c>
      <c r="B299" s="49">
        <v>45111</v>
      </c>
      <c r="C299" s="39" t="s">
        <v>1282</v>
      </c>
      <c r="D299" s="41">
        <v>3</v>
      </c>
      <c r="E299" s="41"/>
      <c r="F299" s="41"/>
      <c r="G299" s="41"/>
      <c r="H299" s="41">
        <f>+D299+E299-F299</f>
        <v>3</v>
      </c>
      <c r="I299" s="42">
        <v>1165.8399999999999</v>
      </c>
      <c r="J299" s="42">
        <f t="shared" si="6"/>
        <v>3497.5199999999995</v>
      </c>
      <c r="K299" s="42"/>
      <c r="L299" s="42"/>
      <c r="M299" s="43" t="s">
        <v>1238</v>
      </c>
    </row>
    <row r="300" spans="1:13" s="44" customFormat="1" ht="30" customHeight="1" x14ac:dyDescent="0.25">
      <c r="A300" s="39" t="s">
        <v>784</v>
      </c>
      <c r="B300" s="40"/>
      <c r="C300" s="39" t="s">
        <v>186</v>
      </c>
      <c r="D300" s="41">
        <v>1</v>
      </c>
      <c r="E300" s="41"/>
      <c r="F300" s="41"/>
      <c r="G300" s="41"/>
      <c r="H300" s="41">
        <f>+D300+E300+-F300</f>
        <v>1</v>
      </c>
      <c r="I300" s="42">
        <v>4700</v>
      </c>
      <c r="J300" s="42">
        <f t="shared" si="6"/>
        <v>4700</v>
      </c>
      <c r="K300" s="42"/>
      <c r="L300" s="42"/>
      <c r="M300" s="43" t="s">
        <v>1238</v>
      </c>
    </row>
    <row r="301" spans="1:13" s="44" customFormat="1" ht="30" customHeight="1" x14ac:dyDescent="0.25">
      <c r="A301" s="39" t="s">
        <v>785</v>
      </c>
      <c r="B301" s="40"/>
      <c r="C301" s="39" t="s">
        <v>187</v>
      </c>
      <c r="D301" s="41">
        <v>1</v>
      </c>
      <c r="E301" s="41"/>
      <c r="F301" s="41"/>
      <c r="G301" s="41"/>
      <c r="H301" s="41">
        <f>+D301+E301+-F301</f>
        <v>1</v>
      </c>
      <c r="I301" s="42">
        <v>4900</v>
      </c>
      <c r="J301" s="42">
        <f t="shared" si="6"/>
        <v>4900</v>
      </c>
      <c r="K301" s="42"/>
      <c r="L301" s="42"/>
      <c r="M301" s="43" t="s">
        <v>1238</v>
      </c>
    </row>
    <row r="302" spans="1:13" s="44" customFormat="1" ht="30" customHeight="1" x14ac:dyDescent="0.25">
      <c r="A302" s="39" t="s">
        <v>701</v>
      </c>
      <c r="B302" s="49">
        <v>45414</v>
      </c>
      <c r="C302" s="39" t="s">
        <v>123</v>
      </c>
      <c r="D302" s="41">
        <v>7</v>
      </c>
      <c r="E302" s="41"/>
      <c r="F302" s="41">
        <f>1+1</f>
        <v>2</v>
      </c>
      <c r="G302" s="41"/>
      <c r="H302" s="41">
        <f>+D302+E302-F302</f>
        <v>5</v>
      </c>
      <c r="I302" s="42">
        <v>56.05</v>
      </c>
      <c r="J302" s="42">
        <f t="shared" si="6"/>
        <v>280.25</v>
      </c>
      <c r="K302" s="42"/>
      <c r="L302" s="42"/>
      <c r="M302" s="43" t="s">
        <v>115</v>
      </c>
    </row>
    <row r="303" spans="1:13" s="44" customFormat="1" ht="30" customHeight="1" x14ac:dyDescent="0.25">
      <c r="A303" s="39" t="s">
        <v>1232</v>
      </c>
      <c r="B303" s="40"/>
      <c r="C303" s="39" t="s">
        <v>1230</v>
      </c>
      <c r="D303" s="41">
        <v>8</v>
      </c>
      <c r="E303" s="41"/>
      <c r="F303" s="41">
        <f>1+1+1+1+2</f>
        <v>6</v>
      </c>
      <c r="G303" s="41"/>
      <c r="H303" s="41">
        <f>+D303+E303+-F303</f>
        <v>2</v>
      </c>
      <c r="I303" s="42">
        <v>35</v>
      </c>
      <c r="J303" s="42">
        <f t="shared" si="6"/>
        <v>70</v>
      </c>
      <c r="K303" s="42"/>
      <c r="L303" s="42"/>
      <c r="M303" s="43" t="s">
        <v>115</v>
      </c>
    </row>
    <row r="304" spans="1:13" s="44" customFormat="1" ht="30" customHeight="1" x14ac:dyDescent="0.25">
      <c r="A304" s="39" t="s">
        <v>702</v>
      </c>
      <c r="B304" s="48">
        <v>45555</v>
      </c>
      <c r="C304" s="39" t="s">
        <v>124</v>
      </c>
      <c r="D304" s="41">
        <v>10</v>
      </c>
      <c r="E304" s="41"/>
      <c r="F304" s="41">
        <f>1+1</f>
        <v>2</v>
      </c>
      <c r="G304" s="41"/>
      <c r="H304" s="41">
        <f>+D304+E304-F304</f>
        <v>8</v>
      </c>
      <c r="I304" s="42">
        <v>153.4</v>
      </c>
      <c r="J304" s="42">
        <f t="shared" si="6"/>
        <v>1227.2</v>
      </c>
      <c r="K304" s="42"/>
      <c r="L304" s="42"/>
      <c r="M304" s="43" t="s">
        <v>115</v>
      </c>
    </row>
    <row r="305" spans="1:13" s="44" customFormat="1" ht="30" customHeight="1" x14ac:dyDescent="0.25">
      <c r="A305" s="39" t="s">
        <v>703</v>
      </c>
      <c r="B305" s="48">
        <v>45555</v>
      </c>
      <c r="C305" s="39" t="s">
        <v>125</v>
      </c>
      <c r="D305" s="41">
        <v>10</v>
      </c>
      <c r="E305" s="41"/>
      <c r="F305" s="41">
        <f>2+1+2+3+2</f>
        <v>10</v>
      </c>
      <c r="G305" s="41"/>
      <c r="H305" s="41">
        <f>+D305+E305-F305</f>
        <v>0</v>
      </c>
      <c r="I305" s="42">
        <v>141.6</v>
      </c>
      <c r="J305" s="42">
        <f t="shared" si="6"/>
        <v>0</v>
      </c>
      <c r="K305" s="42"/>
      <c r="L305" s="42"/>
      <c r="M305" s="43" t="s">
        <v>115</v>
      </c>
    </row>
    <row r="306" spans="1:13" s="44" customFormat="1" ht="30" customHeight="1" x14ac:dyDescent="0.25">
      <c r="A306" s="39" t="s">
        <v>961</v>
      </c>
      <c r="B306" s="40" t="s">
        <v>6</v>
      </c>
      <c r="C306" s="39" t="s">
        <v>350</v>
      </c>
      <c r="D306" s="41">
        <v>78</v>
      </c>
      <c r="E306" s="41"/>
      <c r="F306" s="41"/>
      <c r="G306" s="41"/>
      <c r="H306" s="41">
        <f>+D306+E306+-F306</f>
        <v>78</v>
      </c>
      <c r="I306" s="42">
        <v>7.2</v>
      </c>
      <c r="J306" s="42">
        <f t="shared" ref="J306:J337" si="7">+H306*I306</f>
        <v>561.6</v>
      </c>
      <c r="K306" s="42"/>
      <c r="L306" s="42"/>
      <c r="M306" s="43" t="s">
        <v>313</v>
      </c>
    </row>
    <row r="307" spans="1:13" s="44" customFormat="1" ht="30" customHeight="1" x14ac:dyDescent="0.25">
      <c r="A307" s="39" t="s">
        <v>965</v>
      </c>
      <c r="B307" s="40" t="s">
        <v>6</v>
      </c>
      <c r="C307" s="39" t="s">
        <v>354</v>
      </c>
      <c r="D307" s="41">
        <f>150+90+100</f>
        <v>340</v>
      </c>
      <c r="E307" s="41"/>
      <c r="F307" s="41"/>
      <c r="G307" s="41"/>
      <c r="H307" s="41">
        <f>+D307+E307+-F307</f>
        <v>340</v>
      </c>
      <c r="I307" s="42">
        <v>7.2</v>
      </c>
      <c r="J307" s="42">
        <f t="shared" si="7"/>
        <v>2448</v>
      </c>
      <c r="K307" s="42"/>
      <c r="L307" s="42"/>
      <c r="M307" s="43" t="s">
        <v>313</v>
      </c>
    </row>
    <row r="308" spans="1:13" s="44" customFormat="1" ht="30" customHeight="1" x14ac:dyDescent="0.25">
      <c r="A308" s="39" t="s">
        <v>967</v>
      </c>
      <c r="B308" s="40" t="s">
        <v>6</v>
      </c>
      <c r="C308" s="39" t="s">
        <v>356</v>
      </c>
      <c r="D308" s="41">
        <v>92</v>
      </c>
      <c r="E308" s="41"/>
      <c r="F308" s="41"/>
      <c r="G308" s="41"/>
      <c r="H308" s="41">
        <f>+D308+E308+-F308</f>
        <v>92</v>
      </c>
      <c r="I308" s="42">
        <v>7.2</v>
      </c>
      <c r="J308" s="42">
        <f t="shared" si="7"/>
        <v>662.4</v>
      </c>
      <c r="K308" s="42"/>
      <c r="L308" s="42"/>
      <c r="M308" s="43" t="s">
        <v>313</v>
      </c>
    </row>
    <row r="309" spans="1:13" s="44" customFormat="1" ht="30" customHeight="1" x14ac:dyDescent="0.25">
      <c r="A309" s="39" t="s">
        <v>968</v>
      </c>
      <c r="B309" s="40" t="s">
        <v>6</v>
      </c>
      <c r="C309" s="39" t="s">
        <v>357</v>
      </c>
      <c r="D309" s="41">
        <v>37</v>
      </c>
      <c r="E309" s="41"/>
      <c r="F309" s="41"/>
      <c r="G309" s="41"/>
      <c r="H309" s="41">
        <f>+D309+E309+-F309</f>
        <v>37</v>
      </c>
      <c r="I309" s="42">
        <v>7.2</v>
      </c>
      <c r="J309" s="42">
        <f t="shared" si="7"/>
        <v>266.40000000000003</v>
      </c>
      <c r="K309" s="42"/>
      <c r="L309" s="42"/>
      <c r="M309" s="43" t="s">
        <v>313</v>
      </c>
    </row>
    <row r="310" spans="1:13" s="44" customFormat="1" ht="30" customHeight="1" x14ac:dyDescent="0.25">
      <c r="A310" s="39" t="s">
        <v>960</v>
      </c>
      <c r="B310" s="40" t="s">
        <v>6</v>
      </c>
      <c r="C310" s="39" t="s">
        <v>349</v>
      </c>
      <c r="D310" s="41">
        <v>94</v>
      </c>
      <c r="E310" s="41"/>
      <c r="F310" s="41"/>
      <c r="G310" s="41"/>
      <c r="H310" s="41">
        <f>+D310+E310+-F310</f>
        <v>94</v>
      </c>
      <c r="I310" s="42">
        <v>7.2</v>
      </c>
      <c r="J310" s="42">
        <f t="shared" si="7"/>
        <v>676.80000000000007</v>
      </c>
      <c r="K310" s="42"/>
      <c r="L310" s="42"/>
      <c r="M310" s="43" t="s">
        <v>313</v>
      </c>
    </row>
    <row r="311" spans="1:13" s="44" customFormat="1" ht="30" customHeight="1" x14ac:dyDescent="0.25">
      <c r="A311" s="39" t="s">
        <v>959</v>
      </c>
      <c r="B311" s="40" t="s">
        <v>6</v>
      </c>
      <c r="C311" s="39" t="s">
        <v>348</v>
      </c>
      <c r="D311" s="41">
        <v>42</v>
      </c>
      <c r="E311" s="41"/>
      <c r="F311" s="41"/>
      <c r="G311" s="41"/>
      <c r="H311" s="41">
        <f>+D311+E311+-F311</f>
        <v>42</v>
      </c>
      <c r="I311" s="42">
        <v>7.2</v>
      </c>
      <c r="J311" s="42">
        <f t="shared" si="7"/>
        <v>302.40000000000003</v>
      </c>
      <c r="K311" s="42"/>
      <c r="L311" s="42"/>
      <c r="M311" s="43" t="s">
        <v>313</v>
      </c>
    </row>
    <row r="312" spans="1:13" s="44" customFormat="1" ht="30" customHeight="1" x14ac:dyDescent="0.25">
      <c r="A312" s="39" t="s">
        <v>966</v>
      </c>
      <c r="B312" s="40" t="s">
        <v>6</v>
      </c>
      <c r="C312" s="39" t="s">
        <v>355</v>
      </c>
      <c r="D312" s="41">
        <v>36</v>
      </c>
      <c r="E312" s="41"/>
      <c r="F312" s="41"/>
      <c r="G312" s="41"/>
      <c r="H312" s="41">
        <f>+D312+E312+-F312</f>
        <v>36</v>
      </c>
      <c r="I312" s="42">
        <v>7.2</v>
      </c>
      <c r="J312" s="42">
        <f t="shared" si="7"/>
        <v>259.2</v>
      </c>
      <c r="K312" s="42"/>
      <c r="L312" s="42"/>
      <c r="M312" s="43" t="s">
        <v>313</v>
      </c>
    </row>
    <row r="313" spans="1:13" s="44" customFormat="1" ht="30" customHeight="1" x14ac:dyDescent="0.25">
      <c r="A313" s="39" t="s">
        <v>962</v>
      </c>
      <c r="B313" s="40" t="s">
        <v>6</v>
      </c>
      <c r="C313" s="39" t="s">
        <v>351</v>
      </c>
      <c r="D313" s="41">
        <v>39</v>
      </c>
      <c r="E313" s="41"/>
      <c r="F313" s="41"/>
      <c r="G313" s="41"/>
      <c r="H313" s="41">
        <f>+D313+E313+-F313</f>
        <v>39</v>
      </c>
      <c r="I313" s="42">
        <v>7.2</v>
      </c>
      <c r="J313" s="42">
        <f t="shared" si="7"/>
        <v>280.8</v>
      </c>
      <c r="K313" s="42"/>
      <c r="L313" s="42"/>
      <c r="M313" s="43" t="s">
        <v>313</v>
      </c>
    </row>
    <row r="314" spans="1:13" s="44" customFormat="1" ht="30" customHeight="1" x14ac:dyDescent="0.25">
      <c r="A314" s="39" t="s">
        <v>963</v>
      </c>
      <c r="B314" s="40" t="s">
        <v>6</v>
      </c>
      <c r="C314" s="39" t="s">
        <v>352</v>
      </c>
      <c r="D314" s="41">
        <v>30</v>
      </c>
      <c r="E314" s="41"/>
      <c r="F314" s="41"/>
      <c r="G314" s="41"/>
      <c r="H314" s="41">
        <f>+D314+E314+-F314</f>
        <v>30</v>
      </c>
      <c r="I314" s="42">
        <v>7.2</v>
      </c>
      <c r="J314" s="42">
        <f t="shared" si="7"/>
        <v>216</v>
      </c>
      <c r="K314" s="42"/>
      <c r="L314" s="42"/>
      <c r="M314" s="43" t="s">
        <v>313</v>
      </c>
    </row>
    <row r="315" spans="1:13" s="44" customFormat="1" ht="30" customHeight="1" x14ac:dyDescent="0.25">
      <c r="A315" s="39" t="s">
        <v>964</v>
      </c>
      <c r="B315" s="40" t="s">
        <v>6</v>
      </c>
      <c r="C315" s="39" t="s">
        <v>353</v>
      </c>
      <c r="D315" s="41">
        <v>11</v>
      </c>
      <c r="E315" s="41"/>
      <c r="F315" s="41"/>
      <c r="G315" s="41"/>
      <c r="H315" s="41">
        <f>+D315+E315+-F315</f>
        <v>11</v>
      </c>
      <c r="I315" s="42">
        <v>7.2</v>
      </c>
      <c r="J315" s="42">
        <f t="shared" si="7"/>
        <v>79.2</v>
      </c>
      <c r="K315" s="42"/>
      <c r="L315" s="42"/>
      <c r="M315" s="43" t="s">
        <v>313</v>
      </c>
    </row>
    <row r="316" spans="1:13" s="44" customFormat="1" ht="30" customHeight="1" x14ac:dyDescent="0.25">
      <c r="A316" s="39" t="s">
        <v>1468</v>
      </c>
      <c r="B316" s="50">
        <v>45631</v>
      </c>
      <c r="C316" s="51" t="s">
        <v>1690</v>
      </c>
      <c r="D316" s="52"/>
      <c r="E316" s="53">
        <v>20</v>
      </c>
      <c r="F316" s="53">
        <f>3</f>
        <v>3</v>
      </c>
      <c r="G316" s="53"/>
      <c r="H316" s="41">
        <f>+D316+E316-F316+G316</f>
        <v>17</v>
      </c>
      <c r="I316" s="54">
        <v>44.84</v>
      </c>
      <c r="J316" s="55">
        <f t="shared" si="7"/>
        <v>762.28000000000009</v>
      </c>
      <c r="K316" s="54"/>
      <c r="L316" s="54"/>
      <c r="M316" s="43" t="s">
        <v>248</v>
      </c>
    </row>
    <row r="317" spans="1:13" s="44" customFormat="1" ht="30" customHeight="1" x14ac:dyDescent="0.25">
      <c r="A317" s="39" t="s">
        <v>620</v>
      </c>
      <c r="B317" s="40"/>
      <c r="C317" s="45" t="s">
        <v>55</v>
      </c>
      <c r="D317" s="41">
        <v>1</v>
      </c>
      <c r="E317" s="41"/>
      <c r="F317" s="41"/>
      <c r="G317" s="41"/>
      <c r="H317" s="41">
        <f>+D317+E317-F317</f>
        <v>1</v>
      </c>
      <c r="I317" s="42">
        <v>405</v>
      </c>
      <c r="J317" s="42">
        <f t="shared" si="7"/>
        <v>405</v>
      </c>
      <c r="K317" s="42"/>
      <c r="L317" s="42"/>
      <c r="M317" s="43" t="s">
        <v>27</v>
      </c>
    </row>
    <row r="318" spans="1:13" s="44" customFormat="1" ht="30" customHeight="1" x14ac:dyDescent="0.25">
      <c r="A318" s="39" t="s">
        <v>990</v>
      </c>
      <c r="B318" s="40"/>
      <c r="C318" s="39" t="s">
        <v>374</v>
      </c>
      <c r="D318" s="41">
        <v>1</v>
      </c>
      <c r="E318" s="41"/>
      <c r="F318" s="41"/>
      <c r="G318" s="41"/>
      <c r="H318" s="41">
        <f>+D318+E318+-F318</f>
        <v>1</v>
      </c>
      <c r="I318" s="42"/>
      <c r="J318" s="42">
        <f t="shared" si="7"/>
        <v>0</v>
      </c>
      <c r="K318" s="42"/>
      <c r="L318" s="42"/>
      <c r="M318" s="43" t="s">
        <v>313</v>
      </c>
    </row>
    <row r="319" spans="1:13" s="44" customFormat="1" ht="30" customHeight="1" x14ac:dyDescent="0.25">
      <c r="A319" s="39" t="s">
        <v>638</v>
      </c>
      <c r="B319" s="40"/>
      <c r="C319" s="45" t="s">
        <v>73</v>
      </c>
      <c r="D319" s="41">
        <v>1</v>
      </c>
      <c r="E319" s="41"/>
      <c r="F319" s="41"/>
      <c r="G319" s="41"/>
      <c r="H319" s="41">
        <f>+D319+E319-F319</f>
        <v>1</v>
      </c>
      <c r="I319" s="42">
        <v>1420</v>
      </c>
      <c r="J319" s="42">
        <f t="shared" si="7"/>
        <v>1420</v>
      </c>
      <c r="K319" s="42"/>
      <c r="L319" s="42"/>
      <c r="M319" s="43" t="s">
        <v>27</v>
      </c>
    </row>
    <row r="320" spans="1:13" s="44" customFormat="1" ht="30" customHeight="1" x14ac:dyDescent="0.25">
      <c r="A320" s="39" t="s">
        <v>639</v>
      </c>
      <c r="B320" s="40"/>
      <c r="C320" s="45" t="s">
        <v>74</v>
      </c>
      <c r="D320" s="41">
        <v>9</v>
      </c>
      <c r="E320" s="41"/>
      <c r="F320" s="41"/>
      <c r="G320" s="41"/>
      <c r="H320" s="41">
        <f>+D320+E320-F320</f>
        <v>9</v>
      </c>
      <c r="I320" s="42">
        <v>155</v>
      </c>
      <c r="J320" s="42">
        <f t="shared" si="7"/>
        <v>1395</v>
      </c>
      <c r="K320" s="42"/>
      <c r="L320" s="42"/>
      <c r="M320" s="43" t="s">
        <v>27</v>
      </c>
    </row>
    <row r="321" spans="1:13" s="44" customFormat="1" ht="30" customHeight="1" x14ac:dyDescent="0.25">
      <c r="A321" s="39" t="s">
        <v>735</v>
      </c>
      <c r="B321" s="48">
        <v>45512</v>
      </c>
      <c r="C321" s="39" t="s">
        <v>149</v>
      </c>
      <c r="D321" s="41">
        <v>0</v>
      </c>
      <c r="E321" s="41"/>
      <c r="F321" s="41"/>
      <c r="G321" s="41"/>
      <c r="H321" s="41">
        <f>+D321+E321-F321</f>
        <v>0</v>
      </c>
      <c r="I321" s="42">
        <v>573.85</v>
      </c>
      <c r="J321" s="42">
        <f t="shared" si="7"/>
        <v>0</v>
      </c>
      <c r="K321" s="42"/>
      <c r="L321" s="42"/>
      <c r="M321" s="43" t="s">
        <v>147</v>
      </c>
    </row>
    <row r="322" spans="1:13" s="44" customFormat="1" ht="30" customHeight="1" x14ac:dyDescent="0.25">
      <c r="A322" s="39" t="s">
        <v>736</v>
      </c>
      <c r="B322" s="48">
        <v>45512</v>
      </c>
      <c r="C322" s="39" t="s">
        <v>150</v>
      </c>
      <c r="D322" s="41">
        <v>0</v>
      </c>
      <c r="E322" s="41"/>
      <c r="F322" s="41"/>
      <c r="G322" s="41"/>
      <c r="H322" s="41">
        <f>+D322+E322-F322</f>
        <v>0</v>
      </c>
      <c r="I322" s="42">
        <v>566.41999999999996</v>
      </c>
      <c r="J322" s="42">
        <f t="shared" si="7"/>
        <v>0</v>
      </c>
      <c r="K322" s="42"/>
      <c r="L322" s="42"/>
      <c r="M322" s="43" t="s">
        <v>147</v>
      </c>
    </row>
    <row r="323" spans="1:13" s="44" customFormat="1" ht="30" customHeight="1" x14ac:dyDescent="0.25">
      <c r="A323" s="39" t="s">
        <v>737</v>
      </c>
      <c r="B323" s="48">
        <v>45512</v>
      </c>
      <c r="C323" s="39" t="s">
        <v>151</v>
      </c>
      <c r="D323" s="41">
        <v>2</v>
      </c>
      <c r="E323" s="41"/>
      <c r="F323" s="41">
        <v>2</v>
      </c>
      <c r="G323" s="41"/>
      <c r="H323" s="41">
        <f>+D323+E323-F323</f>
        <v>0</v>
      </c>
      <c r="I323" s="42">
        <v>581.15</v>
      </c>
      <c r="J323" s="42">
        <f t="shared" si="7"/>
        <v>0</v>
      </c>
      <c r="K323" s="42"/>
      <c r="L323" s="42"/>
      <c r="M323" s="43" t="s">
        <v>147</v>
      </c>
    </row>
    <row r="324" spans="1:13" s="44" customFormat="1" ht="30" customHeight="1" x14ac:dyDescent="0.25">
      <c r="A324" s="39" t="s">
        <v>1413</v>
      </c>
      <c r="B324" s="46">
        <v>45631</v>
      </c>
      <c r="C324" s="47" t="s">
        <v>1436</v>
      </c>
      <c r="D324" s="56">
        <v>1</v>
      </c>
      <c r="E324" s="41"/>
      <c r="F324" s="41">
        <v>1</v>
      </c>
      <c r="G324" s="41"/>
      <c r="H324" s="41">
        <f>+D324+E324-F324+G324</f>
        <v>0</v>
      </c>
      <c r="I324" s="42">
        <v>560.51</v>
      </c>
      <c r="J324" s="42">
        <f t="shared" si="7"/>
        <v>0</v>
      </c>
      <c r="K324" s="42"/>
      <c r="L324" s="42"/>
      <c r="M324" s="43" t="s">
        <v>1605</v>
      </c>
    </row>
    <row r="325" spans="1:13" s="44" customFormat="1" ht="30" customHeight="1" x14ac:dyDescent="0.25">
      <c r="A325" s="39" t="s">
        <v>580</v>
      </c>
      <c r="B325" s="48">
        <v>45412</v>
      </c>
      <c r="C325" s="39" t="s">
        <v>1454</v>
      </c>
      <c r="D325" s="57">
        <f>69-1-1-1-1-1-1-1-2</f>
        <v>60</v>
      </c>
      <c r="E325" s="57"/>
      <c r="F325" s="57">
        <f>2+1+1+1+1+4+1+1+1+1+2+2+1+1+1+1+1+1+1+1+2+2+1+1+1+1+2+1+2+1+1+1+1+1+2+1+1</f>
        <v>48</v>
      </c>
      <c r="G325" s="57"/>
      <c r="H325" s="41">
        <f>+D325+E325-F325</f>
        <v>12</v>
      </c>
      <c r="I325" s="58">
        <v>174</v>
      </c>
      <c r="J325" s="42">
        <f t="shared" si="7"/>
        <v>2088</v>
      </c>
      <c r="K325" s="42"/>
      <c r="L325" s="42"/>
      <c r="M325" s="43" t="s">
        <v>20</v>
      </c>
    </row>
    <row r="326" spans="1:13" s="44" customFormat="1" ht="30" customHeight="1" x14ac:dyDescent="0.25">
      <c r="A326" s="39" t="s">
        <v>786</v>
      </c>
      <c r="B326" s="40"/>
      <c r="C326" s="39" t="s">
        <v>188</v>
      </c>
      <c r="D326" s="41">
        <v>5</v>
      </c>
      <c r="E326" s="41"/>
      <c r="F326" s="41"/>
      <c r="G326" s="41"/>
      <c r="H326" s="41">
        <f>+D326+E326+-F326</f>
        <v>5</v>
      </c>
      <c r="I326" s="42">
        <v>958</v>
      </c>
      <c r="J326" s="42">
        <f t="shared" si="7"/>
        <v>4790</v>
      </c>
      <c r="K326" s="42"/>
      <c r="L326" s="42"/>
      <c r="M326" s="43" t="s">
        <v>169</v>
      </c>
    </row>
    <row r="327" spans="1:13" s="44" customFormat="1" ht="30" customHeight="1" x14ac:dyDescent="0.25">
      <c r="A327" s="39" t="s">
        <v>969</v>
      </c>
      <c r="B327" s="40"/>
      <c r="C327" s="39" t="s">
        <v>358</v>
      </c>
      <c r="D327" s="41">
        <v>10</v>
      </c>
      <c r="E327" s="41"/>
      <c r="F327" s="41">
        <f>3+1+2+3</f>
        <v>9</v>
      </c>
      <c r="G327" s="41"/>
      <c r="H327" s="41">
        <f>+D327+E327+-F327</f>
        <v>1</v>
      </c>
      <c r="I327" s="42">
        <v>117</v>
      </c>
      <c r="J327" s="42">
        <f t="shared" si="7"/>
        <v>117</v>
      </c>
      <c r="K327" s="42"/>
      <c r="L327" s="42"/>
      <c r="M327" s="43" t="s">
        <v>313</v>
      </c>
    </row>
    <row r="328" spans="1:13" s="44" customFormat="1" ht="30" customHeight="1" x14ac:dyDescent="0.25">
      <c r="A328" s="39" t="s">
        <v>970</v>
      </c>
      <c r="B328" s="40"/>
      <c r="C328" s="39" t="s">
        <v>359</v>
      </c>
      <c r="D328" s="41">
        <v>3</v>
      </c>
      <c r="E328" s="41"/>
      <c r="F328" s="41"/>
      <c r="G328" s="41"/>
      <c r="H328" s="41">
        <f>+D328+E328+-F328</f>
        <v>3</v>
      </c>
      <c r="I328" s="42">
        <v>175</v>
      </c>
      <c r="J328" s="42">
        <f t="shared" si="7"/>
        <v>525</v>
      </c>
      <c r="K328" s="42"/>
      <c r="L328" s="42"/>
      <c r="M328" s="43" t="s">
        <v>313</v>
      </c>
    </row>
    <row r="329" spans="1:13" s="44" customFormat="1" ht="30" customHeight="1" x14ac:dyDescent="0.25">
      <c r="A329" s="39" t="s">
        <v>1550</v>
      </c>
      <c r="B329" s="50" t="s">
        <v>1561</v>
      </c>
      <c r="C329" s="51" t="s">
        <v>1562</v>
      </c>
      <c r="D329" s="52"/>
      <c r="E329" s="53">
        <v>10</v>
      </c>
      <c r="F329" s="53"/>
      <c r="G329" s="53"/>
      <c r="H329" s="68">
        <f>+D329+E329-F329+G329</f>
        <v>10</v>
      </c>
      <c r="I329" s="54">
        <v>124.997</v>
      </c>
      <c r="J329" s="55">
        <f t="shared" si="7"/>
        <v>1249.97</v>
      </c>
      <c r="K329" s="54"/>
      <c r="L329" s="54"/>
      <c r="M329" s="43" t="s">
        <v>1541</v>
      </c>
    </row>
    <row r="330" spans="1:13" s="44" customFormat="1" ht="30" customHeight="1" x14ac:dyDescent="0.25">
      <c r="A330" s="39" t="s">
        <v>971</v>
      </c>
      <c r="B330" s="40"/>
      <c r="C330" s="39" t="s">
        <v>360</v>
      </c>
      <c r="D330" s="41">
        <v>110</v>
      </c>
      <c r="E330" s="41"/>
      <c r="F330" s="41"/>
      <c r="G330" s="41"/>
      <c r="H330" s="41">
        <f>+D330+E330+-F330</f>
        <v>110</v>
      </c>
      <c r="I330" s="42">
        <v>14.99</v>
      </c>
      <c r="J330" s="42">
        <f t="shared" si="7"/>
        <v>1648.9</v>
      </c>
      <c r="K330" s="42"/>
      <c r="L330" s="42"/>
      <c r="M330" s="43" t="s">
        <v>313</v>
      </c>
    </row>
    <row r="331" spans="1:13" s="44" customFormat="1" ht="30" customHeight="1" x14ac:dyDescent="0.25">
      <c r="A331" s="39" t="s">
        <v>826</v>
      </c>
      <c r="B331" s="40"/>
      <c r="C331" s="39" t="s">
        <v>223</v>
      </c>
      <c r="D331" s="41">
        <v>11</v>
      </c>
      <c r="E331" s="41"/>
      <c r="F331" s="41">
        <v>1</v>
      </c>
      <c r="G331" s="41"/>
      <c r="H331" s="41">
        <f>+D331+E331+-F331</f>
        <v>10</v>
      </c>
      <c r="I331" s="42"/>
      <c r="J331" s="42">
        <f t="shared" si="7"/>
        <v>0</v>
      </c>
      <c r="K331" s="42"/>
      <c r="L331" s="42"/>
      <c r="M331" s="43" t="s">
        <v>222</v>
      </c>
    </row>
    <row r="332" spans="1:13" s="44" customFormat="1" ht="30" customHeight="1" x14ac:dyDescent="0.25">
      <c r="A332" s="39" t="s">
        <v>836</v>
      </c>
      <c r="B332" s="80" t="s">
        <v>233</v>
      </c>
      <c r="C332" s="39" t="s">
        <v>234</v>
      </c>
      <c r="D332" s="41">
        <v>7</v>
      </c>
      <c r="E332" s="41"/>
      <c r="F332" s="41"/>
      <c r="G332" s="41"/>
      <c r="H332" s="41">
        <f>+D332+E332+-F332</f>
        <v>7</v>
      </c>
      <c r="I332" s="42">
        <v>1375</v>
      </c>
      <c r="J332" s="42">
        <f t="shared" si="7"/>
        <v>9625</v>
      </c>
      <c r="K332" s="42"/>
      <c r="L332" s="42"/>
      <c r="M332" s="43" t="s">
        <v>222</v>
      </c>
    </row>
    <row r="333" spans="1:13" s="44" customFormat="1" ht="30" customHeight="1" x14ac:dyDescent="0.25">
      <c r="A333" s="39" t="s">
        <v>839</v>
      </c>
      <c r="B333" s="48">
        <v>45474</v>
      </c>
      <c r="C333" s="39" t="s">
        <v>237</v>
      </c>
      <c r="D333" s="41">
        <v>3</v>
      </c>
      <c r="E333" s="41"/>
      <c r="F333" s="41">
        <v>1</v>
      </c>
      <c r="G333" s="41"/>
      <c r="H333" s="41">
        <f>+D333+E333+-F333</f>
        <v>2</v>
      </c>
      <c r="I333" s="42">
        <v>3380.7</v>
      </c>
      <c r="J333" s="42">
        <f t="shared" si="7"/>
        <v>6761.4</v>
      </c>
      <c r="K333" s="42"/>
      <c r="L333" s="42"/>
      <c r="M333" s="43" t="s">
        <v>222</v>
      </c>
    </row>
    <row r="334" spans="1:13" s="44" customFormat="1" ht="30" customHeight="1" x14ac:dyDescent="0.25">
      <c r="A334" s="39" t="s">
        <v>838</v>
      </c>
      <c r="B334" s="40"/>
      <c r="C334" s="39" t="s">
        <v>236</v>
      </c>
      <c r="D334" s="41">
        <v>4</v>
      </c>
      <c r="E334" s="41"/>
      <c r="F334" s="41"/>
      <c r="G334" s="41"/>
      <c r="H334" s="41">
        <f>+D334+E334+-F334</f>
        <v>4</v>
      </c>
      <c r="I334" s="42">
        <v>1002</v>
      </c>
      <c r="J334" s="42">
        <f t="shared" si="7"/>
        <v>4008</v>
      </c>
      <c r="K334" s="42"/>
      <c r="L334" s="42"/>
      <c r="M334" s="43" t="s">
        <v>222</v>
      </c>
    </row>
    <row r="335" spans="1:13" s="44" customFormat="1" ht="30" customHeight="1" x14ac:dyDescent="0.25">
      <c r="A335" s="39" t="s">
        <v>837</v>
      </c>
      <c r="B335" s="59" t="s">
        <v>6</v>
      </c>
      <c r="C335" s="39" t="s">
        <v>235</v>
      </c>
      <c r="D335" s="41">
        <v>7</v>
      </c>
      <c r="E335" s="41"/>
      <c r="F335" s="41"/>
      <c r="G335" s="41"/>
      <c r="H335" s="41">
        <f>+D335+E335+-F335</f>
        <v>7</v>
      </c>
      <c r="I335" s="42">
        <v>436.6</v>
      </c>
      <c r="J335" s="42">
        <f t="shared" si="7"/>
        <v>3056.2000000000003</v>
      </c>
      <c r="K335" s="42"/>
      <c r="L335" s="42"/>
      <c r="M335" s="43" t="s">
        <v>222</v>
      </c>
    </row>
    <row r="336" spans="1:13" s="44" customFormat="1" ht="30" customHeight="1" x14ac:dyDescent="0.4">
      <c r="A336" s="39" t="s">
        <v>1674</v>
      </c>
      <c r="B336" s="50">
        <v>45840</v>
      </c>
      <c r="C336" s="51" t="s">
        <v>1688</v>
      </c>
      <c r="D336" s="52"/>
      <c r="E336" s="53">
        <v>10</v>
      </c>
      <c r="F336" s="53"/>
      <c r="G336" s="53"/>
      <c r="H336" s="68">
        <f>+D336+E336-F336</f>
        <v>10</v>
      </c>
      <c r="I336" s="54">
        <v>3273.0839999999998</v>
      </c>
      <c r="J336" s="54">
        <f t="shared" si="7"/>
        <v>32730.839999999997</v>
      </c>
      <c r="K336" s="69"/>
      <c r="L336" s="69"/>
      <c r="M336" s="43" t="s">
        <v>222</v>
      </c>
    </row>
    <row r="337" spans="1:13" s="44" customFormat="1" ht="30" customHeight="1" x14ac:dyDescent="0.25">
      <c r="A337" s="39" t="s">
        <v>827</v>
      </c>
      <c r="B337" s="49">
        <v>44193</v>
      </c>
      <c r="C337" s="39" t="s">
        <v>224</v>
      </c>
      <c r="D337" s="41">
        <v>9</v>
      </c>
      <c r="E337" s="41"/>
      <c r="F337" s="41">
        <v>1</v>
      </c>
      <c r="G337" s="41"/>
      <c r="H337" s="41">
        <f>+D337+E337+-F337</f>
        <v>8</v>
      </c>
      <c r="I337" s="42">
        <v>2600</v>
      </c>
      <c r="J337" s="42">
        <f t="shared" si="7"/>
        <v>20800</v>
      </c>
      <c r="K337" s="42"/>
      <c r="L337" s="42"/>
      <c r="M337" s="43" t="s">
        <v>222</v>
      </c>
    </row>
    <row r="338" spans="1:13" s="44" customFormat="1" ht="30" customHeight="1" x14ac:dyDescent="0.25">
      <c r="A338" s="39" t="s">
        <v>828</v>
      </c>
      <c r="B338" s="49" t="s">
        <v>6</v>
      </c>
      <c r="C338" s="39" t="s">
        <v>225</v>
      </c>
      <c r="D338" s="41">
        <v>8</v>
      </c>
      <c r="E338" s="41"/>
      <c r="F338" s="41"/>
      <c r="G338" s="41"/>
      <c r="H338" s="41">
        <f>+D338+E338+-F338</f>
        <v>8</v>
      </c>
      <c r="I338" s="42">
        <v>1250</v>
      </c>
      <c r="J338" s="42">
        <f t="shared" ref="J338:J369" si="8">+H338*I338</f>
        <v>10000</v>
      </c>
      <c r="K338" s="42"/>
      <c r="L338" s="42"/>
      <c r="M338" s="43" t="s">
        <v>222</v>
      </c>
    </row>
    <row r="339" spans="1:13" s="44" customFormat="1" ht="30" customHeight="1" x14ac:dyDescent="0.25">
      <c r="A339" s="39" t="s">
        <v>829</v>
      </c>
      <c r="B339" s="49">
        <v>44193</v>
      </c>
      <c r="C339" s="39" t="s">
        <v>226</v>
      </c>
      <c r="D339" s="41">
        <v>8</v>
      </c>
      <c r="E339" s="41"/>
      <c r="F339" s="41"/>
      <c r="G339" s="41"/>
      <c r="H339" s="41">
        <f>+D339+E339+-F339</f>
        <v>8</v>
      </c>
      <c r="I339" s="42">
        <v>1375</v>
      </c>
      <c r="J339" s="42">
        <f t="shared" si="8"/>
        <v>11000</v>
      </c>
      <c r="K339" s="42"/>
      <c r="L339" s="42"/>
      <c r="M339" s="43" t="s">
        <v>222</v>
      </c>
    </row>
    <row r="340" spans="1:13" s="44" customFormat="1" ht="30" customHeight="1" x14ac:dyDescent="0.25">
      <c r="A340" s="39" t="s">
        <v>830</v>
      </c>
      <c r="B340" s="40"/>
      <c r="C340" s="39" t="s">
        <v>227</v>
      </c>
      <c r="D340" s="41">
        <v>12</v>
      </c>
      <c r="E340" s="41"/>
      <c r="F340" s="41">
        <v>3</v>
      </c>
      <c r="G340" s="41"/>
      <c r="H340" s="41">
        <f>+D340+E340+-F340</f>
        <v>9</v>
      </c>
      <c r="I340" s="42"/>
      <c r="J340" s="42">
        <f t="shared" si="8"/>
        <v>0</v>
      </c>
      <c r="K340" s="42"/>
      <c r="L340" s="42"/>
      <c r="M340" s="43" t="s">
        <v>222</v>
      </c>
    </row>
    <row r="341" spans="1:13" s="44" customFormat="1" ht="30" customHeight="1" x14ac:dyDescent="0.4">
      <c r="A341" s="39" t="s">
        <v>1670</v>
      </c>
      <c r="B341" s="50" t="s">
        <v>1659</v>
      </c>
      <c r="C341" s="51" t="s">
        <v>1682</v>
      </c>
      <c r="D341" s="52"/>
      <c r="E341" s="81">
        <v>30</v>
      </c>
      <c r="F341" s="53"/>
      <c r="G341" s="53"/>
      <c r="H341" s="68">
        <f>+D341+E341-F341</f>
        <v>30</v>
      </c>
      <c r="I341" s="53">
        <v>521.08799999999997</v>
      </c>
      <c r="J341" s="54">
        <f t="shared" si="8"/>
        <v>15632.64</v>
      </c>
      <c r="K341" s="69"/>
      <c r="L341" s="69"/>
      <c r="M341" s="43" t="s">
        <v>222</v>
      </c>
    </row>
    <row r="342" spans="1:13" s="44" customFormat="1" ht="30" customHeight="1" x14ac:dyDescent="0.25">
      <c r="A342" s="39" t="s">
        <v>640</v>
      </c>
      <c r="B342" s="40"/>
      <c r="C342" s="45" t="s">
        <v>75</v>
      </c>
      <c r="D342" s="41">
        <v>2</v>
      </c>
      <c r="E342" s="41"/>
      <c r="F342" s="41"/>
      <c r="G342" s="41"/>
      <c r="H342" s="41">
        <f>+D342+E342-F342</f>
        <v>2</v>
      </c>
      <c r="I342" s="42">
        <v>617</v>
      </c>
      <c r="J342" s="42">
        <f t="shared" si="8"/>
        <v>1234</v>
      </c>
      <c r="K342" s="42"/>
      <c r="L342" s="42"/>
      <c r="M342" s="43" t="s">
        <v>27</v>
      </c>
    </row>
    <row r="343" spans="1:13" s="44" customFormat="1" ht="30" customHeight="1" x14ac:dyDescent="0.25">
      <c r="A343" s="39" t="s">
        <v>641</v>
      </c>
      <c r="B343" s="40"/>
      <c r="C343" s="45" t="s">
        <v>76</v>
      </c>
      <c r="D343" s="41">
        <v>2</v>
      </c>
      <c r="E343" s="41"/>
      <c r="F343" s="41"/>
      <c r="G343" s="41"/>
      <c r="H343" s="41">
        <f>+D343+E343-F343</f>
        <v>2</v>
      </c>
      <c r="I343" s="42">
        <v>660</v>
      </c>
      <c r="J343" s="42">
        <f t="shared" si="8"/>
        <v>1320</v>
      </c>
      <c r="K343" s="42"/>
      <c r="L343" s="42"/>
      <c r="M343" s="43" t="s">
        <v>27</v>
      </c>
    </row>
    <row r="344" spans="1:13" s="44" customFormat="1" ht="30" customHeight="1" x14ac:dyDescent="0.4">
      <c r="A344" s="39" t="s">
        <v>1658</v>
      </c>
      <c r="B344" s="50" t="s">
        <v>1659</v>
      </c>
      <c r="C344" s="51" t="s">
        <v>1660</v>
      </c>
      <c r="D344" s="52"/>
      <c r="E344" s="53">
        <v>10</v>
      </c>
      <c r="F344" s="53"/>
      <c r="G344" s="53"/>
      <c r="H344" s="68">
        <f>+D344+E344-F344</f>
        <v>10</v>
      </c>
      <c r="I344" s="54">
        <v>1369.4844000000001</v>
      </c>
      <c r="J344" s="54">
        <f t="shared" si="8"/>
        <v>13694.844000000001</v>
      </c>
      <c r="K344" s="69"/>
      <c r="L344" s="69"/>
      <c r="M344" s="43" t="s">
        <v>1541</v>
      </c>
    </row>
    <row r="345" spans="1:13" s="44" customFormat="1" ht="30" customHeight="1" x14ac:dyDescent="0.25">
      <c r="A345" s="39" t="s">
        <v>831</v>
      </c>
      <c r="B345" s="40"/>
      <c r="C345" s="39" t="s">
        <v>228</v>
      </c>
      <c r="D345" s="41">
        <v>3</v>
      </c>
      <c r="E345" s="41"/>
      <c r="F345" s="41"/>
      <c r="G345" s="41"/>
      <c r="H345" s="41">
        <f>+D345+E345+-F345</f>
        <v>3</v>
      </c>
      <c r="I345" s="42">
        <v>650</v>
      </c>
      <c r="J345" s="42">
        <f t="shared" si="8"/>
        <v>1950</v>
      </c>
      <c r="K345" s="42"/>
      <c r="L345" s="42"/>
      <c r="M345" s="43" t="s">
        <v>222</v>
      </c>
    </row>
    <row r="346" spans="1:13" s="44" customFormat="1" ht="30" customHeight="1" x14ac:dyDescent="0.25">
      <c r="A346" s="39" t="s">
        <v>840</v>
      </c>
      <c r="B346" s="80" t="s">
        <v>238</v>
      </c>
      <c r="C346" s="39" t="s">
        <v>239</v>
      </c>
      <c r="D346" s="41">
        <v>4</v>
      </c>
      <c r="E346" s="41"/>
      <c r="F346" s="41"/>
      <c r="G346" s="41"/>
      <c r="H346" s="41">
        <f>+D346+E346+-F346</f>
        <v>4</v>
      </c>
      <c r="I346" s="42">
        <v>2600</v>
      </c>
      <c r="J346" s="42">
        <f t="shared" si="8"/>
        <v>10400</v>
      </c>
      <c r="K346" s="42"/>
      <c r="L346" s="42"/>
      <c r="M346" s="43" t="s">
        <v>222</v>
      </c>
    </row>
    <row r="347" spans="1:13" s="44" customFormat="1" ht="30" customHeight="1" x14ac:dyDescent="0.25">
      <c r="A347" s="39" t="s">
        <v>832</v>
      </c>
      <c r="B347" s="40"/>
      <c r="C347" s="39" t="s">
        <v>229</v>
      </c>
      <c r="D347" s="41">
        <v>1</v>
      </c>
      <c r="E347" s="41"/>
      <c r="F347" s="41"/>
      <c r="G347" s="41"/>
      <c r="H347" s="41">
        <f>+D347+E347+-F347</f>
        <v>1</v>
      </c>
      <c r="I347" s="42">
        <v>2950</v>
      </c>
      <c r="J347" s="42">
        <f t="shared" si="8"/>
        <v>2950</v>
      </c>
      <c r="K347" s="42"/>
      <c r="L347" s="42"/>
      <c r="M347" s="43" t="s">
        <v>222</v>
      </c>
    </row>
    <row r="348" spans="1:13" s="44" customFormat="1" ht="30" customHeight="1" x14ac:dyDescent="0.25">
      <c r="A348" s="39" t="s">
        <v>833</v>
      </c>
      <c r="B348" s="40"/>
      <c r="C348" s="39" t="s">
        <v>230</v>
      </c>
      <c r="D348" s="41">
        <v>4</v>
      </c>
      <c r="E348" s="41"/>
      <c r="F348" s="41"/>
      <c r="G348" s="41"/>
      <c r="H348" s="41">
        <f>+D348+E348+-F348</f>
        <v>4</v>
      </c>
      <c r="I348" s="42"/>
      <c r="J348" s="42">
        <f t="shared" si="8"/>
        <v>0</v>
      </c>
      <c r="K348" s="42"/>
      <c r="L348" s="42"/>
      <c r="M348" s="43" t="s">
        <v>222</v>
      </c>
    </row>
    <row r="349" spans="1:13" s="44" customFormat="1" ht="30" customHeight="1" x14ac:dyDescent="0.25">
      <c r="A349" s="39" t="s">
        <v>834</v>
      </c>
      <c r="B349" s="40"/>
      <c r="C349" s="39" t="s">
        <v>231</v>
      </c>
      <c r="D349" s="41">
        <v>4</v>
      </c>
      <c r="E349" s="41"/>
      <c r="F349" s="41"/>
      <c r="G349" s="41"/>
      <c r="H349" s="41">
        <f>+D349+E349+-F349</f>
        <v>4</v>
      </c>
      <c r="I349" s="42">
        <v>837</v>
      </c>
      <c r="J349" s="42">
        <f t="shared" si="8"/>
        <v>3348</v>
      </c>
      <c r="K349" s="42"/>
      <c r="L349" s="42"/>
      <c r="M349" s="43" t="s">
        <v>222</v>
      </c>
    </row>
    <row r="350" spans="1:13" s="44" customFormat="1" ht="30" customHeight="1" x14ac:dyDescent="0.25">
      <c r="A350" s="39" t="s">
        <v>835</v>
      </c>
      <c r="B350" s="59" t="s">
        <v>6</v>
      </c>
      <c r="C350" s="39" t="s">
        <v>232</v>
      </c>
      <c r="D350" s="41">
        <v>50</v>
      </c>
      <c r="E350" s="41"/>
      <c r="F350" s="41">
        <v>10</v>
      </c>
      <c r="G350" s="41"/>
      <c r="H350" s="41">
        <f>+D350+E350+-F350</f>
        <v>40</v>
      </c>
      <c r="I350" s="42">
        <v>1250</v>
      </c>
      <c r="J350" s="42">
        <f t="shared" si="8"/>
        <v>50000</v>
      </c>
      <c r="K350" s="42"/>
      <c r="L350" s="42"/>
      <c r="M350" s="43" t="s">
        <v>222</v>
      </c>
    </row>
    <row r="351" spans="1:13" s="44" customFormat="1" ht="30" customHeight="1" x14ac:dyDescent="0.25">
      <c r="A351" s="39" t="s">
        <v>841</v>
      </c>
      <c r="B351" s="40"/>
      <c r="C351" s="39" t="s">
        <v>240</v>
      </c>
      <c r="D351" s="41">
        <v>11</v>
      </c>
      <c r="E351" s="41"/>
      <c r="F351" s="41"/>
      <c r="G351" s="41"/>
      <c r="H351" s="41">
        <f>+D351+E351+-F351</f>
        <v>11</v>
      </c>
      <c r="I351" s="42">
        <v>1090</v>
      </c>
      <c r="J351" s="42">
        <f t="shared" si="8"/>
        <v>11990</v>
      </c>
      <c r="K351" s="42"/>
      <c r="L351" s="42"/>
      <c r="M351" s="43" t="s">
        <v>222</v>
      </c>
    </row>
    <row r="352" spans="1:13" s="44" customFormat="1" ht="30" customHeight="1" x14ac:dyDescent="0.25">
      <c r="A352" s="39" t="s">
        <v>1415</v>
      </c>
      <c r="B352" s="46">
        <v>45631</v>
      </c>
      <c r="C352" s="47" t="s">
        <v>1443</v>
      </c>
      <c r="D352" s="56">
        <v>8</v>
      </c>
      <c r="E352" s="41"/>
      <c r="F352" s="41">
        <v>8</v>
      </c>
      <c r="G352" s="41"/>
      <c r="H352" s="41">
        <f>+D352+E352-F352+G352</f>
        <v>0</v>
      </c>
      <c r="I352" s="42">
        <v>383.5</v>
      </c>
      <c r="J352" s="42">
        <f t="shared" si="8"/>
        <v>0</v>
      </c>
      <c r="K352" s="42"/>
      <c r="L352" s="42"/>
      <c r="M352" s="43" t="s">
        <v>1605</v>
      </c>
    </row>
    <row r="353" spans="1:13" s="44" customFormat="1" ht="30" customHeight="1" x14ac:dyDescent="0.25">
      <c r="A353" s="39" t="s">
        <v>977</v>
      </c>
      <c r="B353" s="40" t="s">
        <v>273</v>
      </c>
      <c r="C353" s="39" t="s">
        <v>1289</v>
      </c>
      <c r="D353" s="41">
        <v>9</v>
      </c>
      <c r="E353" s="41"/>
      <c r="F353" s="41">
        <f>1+2+1+1+1+1</f>
        <v>7</v>
      </c>
      <c r="G353" s="41"/>
      <c r="H353" s="41">
        <f>+D353+E353+-F353</f>
        <v>2</v>
      </c>
      <c r="I353" s="42">
        <v>360</v>
      </c>
      <c r="J353" s="42">
        <f t="shared" si="8"/>
        <v>720</v>
      </c>
      <c r="K353" s="42"/>
      <c r="L353" s="42"/>
      <c r="M353" s="43" t="s">
        <v>313</v>
      </c>
    </row>
    <row r="354" spans="1:13" s="44" customFormat="1" ht="30" customHeight="1" x14ac:dyDescent="0.25">
      <c r="A354" s="39" t="s">
        <v>972</v>
      </c>
      <c r="B354" s="59">
        <v>45469</v>
      </c>
      <c r="C354" s="39" t="s">
        <v>1654</v>
      </c>
      <c r="D354" s="41">
        <v>8</v>
      </c>
      <c r="E354" s="41"/>
      <c r="F354" s="41">
        <f>1+1+1+1+1+1+1</f>
        <v>7</v>
      </c>
      <c r="G354" s="41"/>
      <c r="H354" s="41">
        <f>+D354+E354+-F354</f>
        <v>1</v>
      </c>
      <c r="I354" s="42">
        <v>650</v>
      </c>
      <c r="J354" s="42">
        <f t="shared" si="8"/>
        <v>650</v>
      </c>
      <c r="K354" s="42"/>
      <c r="L354" s="42"/>
      <c r="M354" s="43" t="s">
        <v>313</v>
      </c>
    </row>
    <row r="355" spans="1:13" s="44" customFormat="1" ht="30" customHeight="1" x14ac:dyDescent="0.25">
      <c r="A355" s="39" t="s">
        <v>974</v>
      </c>
      <c r="B355" s="40"/>
      <c r="C355" s="39" t="s">
        <v>1655</v>
      </c>
      <c r="D355" s="41">
        <v>17</v>
      </c>
      <c r="E355" s="41"/>
      <c r="F355" s="41"/>
      <c r="G355" s="41"/>
      <c r="H355" s="41">
        <f>+D355+E355+-F355</f>
        <v>17</v>
      </c>
      <c r="I355" s="42">
        <v>100</v>
      </c>
      <c r="J355" s="42">
        <f t="shared" si="8"/>
        <v>1700</v>
      </c>
      <c r="K355" s="42"/>
      <c r="L355" s="42"/>
      <c r="M355" s="43" t="s">
        <v>313</v>
      </c>
    </row>
    <row r="356" spans="1:13" s="44" customFormat="1" ht="30" customHeight="1" x14ac:dyDescent="0.25">
      <c r="A356" s="39" t="s">
        <v>973</v>
      </c>
      <c r="B356" s="40"/>
      <c r="C356" s="39" t="s">
        <v>1656</v>
      </c>
      <c r="D356" s="41">
        <v>29</v>
      </c>
      <c r="E356" s="41"/>
      <c r="F356" s="41">
        <v>10</v>
      </c>
      <c r="G356" s="41"/>
      <c r="H356" s="41">
        <f>+D356+E356+-F356</f>
        <v>19</v>
      </c>
      <c r="I356" s="42">
        <v>450</v>
      </c>
      <c r="J356" s="42">
        <f t="shared" si="8"/>
        <v>8550</v>
      </c>
      <c r="K356" s="42"/>
      <c r="L356" s="42"/>
      <c r="M356" s="43" t="s">
        <v>313</v>
      </c>
    </row>
    <row r="357" spans="1:13" s="44" customFormat="1" ht="30" customHeight="1" x14ac:dyDescent="0.25">
      <c r="A357" s="39" t="s">
        <v>978</v>
      </c>
      <c r="B357" s="49" t="s">
        <v>6</v>
      </c>
      <c r="C357" s="39" t="s">
        <v>363</v>
      </c>
      <c r="D357" s="41">
        <f>34-2</f>
        <v>32</v>
      </c>
      <c r="E357" s="41"/>
      <c r="F357" s="41">
        <f>4+3</f>
        <v>7</v>
      </c>
      <c r="G357" s="41"/>
      <c r="H357" s="41">
        <f>+D357+E357+-F357</f>
        <v>25</v>
      </c>
      <c r="I357" s="42">
        <v>4.55</v>
      </c>
      <c r="J357" s="42">
        <f t="shared" si="8"/>
        <v>113.75</v>
      </c>
      <c r="K357" s="42"/>
      <c r="L357" s="42"/>
      <c r="M357" s="43" t="s">
        <v>313</v>
      </c>
    </row>
    <row r="358" spans="1:13" s="44" customFormat="1" ht="30" customHeight="1" x14ac:dyDescent="0.25">
      <c r="A358" s="39" t="s">
        <v>979</v>
      </c>
      <c r="B358" s="40" t="s">
        <v>273</v>
      </c>
      <c r="C358" s="39" t="s">
        <v>1290</v>
      </c>
      <c r="D358" s="41">
        <v>15</v>
      </c>
      <c r="E358" s="41"/>
      <c r="F358" s="41">
        <f>1+2+1+1</f>
        <v>5</v>
      </c>
      <c r="G358" s="41"/>
      <c r="H358" s="41">
        <f>+D358+E358+-F358</f>
        <v>10</v>
      </c>
      <c r="I358" s="42">
        <v>360</v>
      </c>
      <c r="J358" s="42">
        <f t="shared" si="8"/>
        <v>3600</v>
      </c>
      <c r="K358" s="42"/>
      <c r="L358" s="42"/>
      <c r="M358" s="43" t="s">
        <v>313</v>
      </c>
    </row>
    <row r="359" spans="1:13" s="44" customFormat="1" ht="30" customHeight="1" x14ac:dyDescent="0.25">
      <c r="A359" s="39" t="s">
        <v>642</v>
      </c>
      <c r="B359" s="40"/>
      <c r="C359" s="45" t="s">
        <v>77</v>
      </c>
      <c r="D359" s="41">
        <v>4</v>
      </c>
      <c r="E359" s="41"/>
      <c r="F359" s="41">
        <v>1</v>
      </c>
      <c r="G359" s="41"/>
      <c r="H359" s="41">
        <f>+D359+E359-F359</f>
        <v>3</v>
      </c>
      <c r="I359" s="42">
        <v>269</v>
      </c>
      <c r="J359" s="42">
        <f t="shared" si="8"/>
        <v>807</v>
      </c>
      <c r="K359" s="42"/>
      <c r="L359" s="42"/>
      <c r="M359" s="43" t="s">
        <v>27</v>
      </c>
    </row>
    <row r="360" spans="1:13" s="44" customFormat="1" ht="31.5" x14ac:dyDescent="0.25">
      <c r="A360" s="39" t="s">
        <v>1617</v>
      </c>
      <c r="B360" s="50">
        <v>45932</v>
      </c>
      <c r="C360" s="51" t="s">
        <v>1599</v>
      </c>
      <c r="D360" s="52">
        <f>8*100</f>
        <v>800</v>
      </c>
      <c r="E360" s="53">
        <f>2000+3000</f>
        <v>5000</v>
      </c>
      <c r="F360" s="53">
        <f>2200+300+500+500+100</f>
        <v>3600</v>
      </c>
      <c r="G360" s="53"/>
      <c r="H360" s="41">
        <f>+D360+E360-F360+G360</f>
        <v>2200</v>
      </c>
      <c r="I360" s="54">
        <v>3.4809999999999999</v>
      </c>
      <c r="J360" s="55">
        <f t="shared" si="8"/>
        <v>7658.2</v>
      </c>
      <c r="K360" s="54"/>
      <c r="L360" s="54"/>
      <c r="M360" s="43" t="s">
        <v>248</v>
      </c>
    </row>
    <row r="361" spans="1:13" s="44" customFormat="1" ht="30" customHeight="1" x14ac:dyDescent="0.25">
      <c r="A361" s="39" t="s">
        <v>882</v>
      </c>
      <c r="B361" s="50">
        <v>45932</v>
      </c>
      <c r="C361" s="39" t="s">
        <v>278</v>
      </c>
      <c r="D361" s="41">
        <f>1400-200-100-100</f>
        <v>1000</v>
      </c>
      <c r="E361" s="41">
        <f>2500+3000</f>
        <v>5500</v>
      </c>
      <c r="F361" s="41">
        <f>100+100+100+100+100+400+1000+400+300-800+500+2900+300</f>
        <v>5500</v>
      </c>
      <c r="G361" s="41"/>
      <c r="H361" s="41">
        <f>+D361+E361+-F361</f>
        <v>1000</v>
      </c>
      <c r="I361" s="42">
        <v>5.31</v>
      </c>
      <c r="J361" s="42">
        <f t="shared" si="8"/>
        <v>5310</v>
      </c>
      <c r="K361" s="42"/>
      <c r="L361" s="42"/>
      <c r="M361" s="43" t="s">
        <v>248</v>
      </c>
    </row>
    <row r="362" spans="1:13" s="44" customFormat="1" ht="30" customHeight="1" x14ac:dyDescent="0.25">
      <c r="A362" s="39" t="s">
        <v>883</v>
      </c>
      <c r="B362" s="50">
        <v>45932</v>
      </c>
      <c r="C362" s="39" t="s">
        <v>279</v>
      </c>
      <c r="D362" s="41">
        <f>1600-100-100-200-100-100-100</f>
        <v>900</v>
      </c>
      <c r="E362" s="41">
        <f>2500+3000+2500</f>
        <v>8000</v>
      </c>
      <c r="F362" s="41">
        <f>700+100+100+100+300+1000+400+300-900+500</f>
        <v>2600</v>
      </c>
      <c r="G362" s="41"/>
      <c r="H362" s="41">
        <f>+D362+E362+-F362</f>
        <v>6300</v>
      </c>
      <c r="I362" s="42">
        <v>10.029999999999999</v>
      </c>
      <c r="J362" s="42">
        <f t="shared" si="8"/>
        <v>63188.999999999993</v>
      </c>
      <c r="K362" s="42"/>
      <c r="L362" s="42"/>
      <c r="M362" s="43" t="s">
        <v>248</v>
      </c>
    </row>
    <row r="363" spans="1:13" s="44" customFormat="1" ht="30" customHeight="1" x14ac:dyDescent="0.25">
      <c r="A363" s="39" t="s">
        <v>884</v>
      </c>
      <c r="B363" s="50">
        <v>45932</v>
      </c>
      <c r="C363" s="39" t="s">
        <v>280</v>
      </c>
      <c r="D363" s="41">
        <f>1600-100-100-100-100-100-100</f>
        <v>1000</v>
      </c>
      <c r="E363" s="41">
        <f>700+1800+400+3000</f>
        <v>5900</v>
      </c>
      <c r="F363" s="41">
        <f>600+300+300+1000+300+500+400+300</f>
        <v>3700</v>
      </c>
      <c r="G363" s="41"/>
      <c r="H363" s="41">
        <f>+D363+E363+-F363</f>
        <v>3200</v>
      </c>
      <c r="I363" s="42">
        <v>11.21</v>
      </c>
      <c r="J363" s="42">
        <f t="shared" si="8"/>
        <v>35872</v>
      </c>
      <c r="K363" s="42"/>
      <c r="L363" s="42"/>
      <c r="M363" s="43" t="s">
        <v>248</v>
      </c>
    </row>
    <row r="364" spans="1:13" s="44" customFormat="1" ht="30" customHeight="1" x14ac:dyDescent="0.25">
      <c r="A364" s="39" t="s">
        <v>758</v>
      </c>
      <c r="B364" s="40"/>
      <c r="C364" s="39" t="s">
        <v>168</v>
      </c>
      <c r="D364" s="41">
        <v>4</v>
      </c>
      <c r="E364" s="41"/>
      <c r="F364" s="41"/>
      <c r="G364" s="41"/>
      <c r="H364" s="41">
        <f>+D364+E364+-F364</f>
        <v>4</v>
      </c>
      <c r="I364" s="42">
        <v>130</v>
      </c>
      <c r="J364" s="42">
        <f t="shared" si="8"/>
        <v>520</v>
      </c>
      <c r="K364" s="42"/>
      <c r="L364" s="42"/>
      <c r="M364" s="43" t="s">
        <v>147</v>
      </c>
    </row>
    <row r="365" spans="1:13" s="44" customFormat="1" ht="30" customHeight="1" x14ac:dyDescent="0.25">
      <c r="A365" s="39" t="s">
        <v>1450</v>
      </c>
      <c r="B365" s="46">
        <v>45363</v>
      </c>
      <c r="C365" s="47" t="s">
        <v>1619</v>
      </c>
      <c r="D365" s="39"/>
      <c r="E365" s="41">
        <v>10</v>
      </c>
      <c r="F365" s="41">
        <v>1</v>
      </c>
      <c r="G365" s="41"/>
      <c r="H365" s="41">
        <f>+D365+E365-F365+G365</f>
        <v>9</v>
      </c>
      <c r="I365" s="42">
        <v>1888</v>
      </c>
      <c r="J365" s="42">
        <f t="shared" si="8"/>
        <v>16992</v>
      </c>
      <c r="K365" s="55"/>
      <c r="L365" s="55"/>
      <c r="M365" s="76" t="s">
        <v>1238</v>
      </c>
    </row>
    <row r="366" spans="1:13" s="44" customFormat="1" ht="30" customHeight="1" x14ac:dyDescent="0.25">
      <c r="A366" s="39" t="s">
        <v>980</v>
      </c>
      <c r="B366" s="40" t="s">
        <v>273</v>
      </c>
      <c r="C366" s="39" t="s">
        <v>364</v>
      </c>
      <c r="D366" s="41">
        <v>26</v>
      </c>
      <c r="E366" s="41"/>
      <c r="F366" s="41">
        <f>1+1+1+1+1</f>
        <v>5</v>
      </c>
      <c r="G366" s="41"/>
      <c r="H366" s="41">
        <f>+D366+E366+-F366</f>
        <v>21</v>
      </c>
      <c r="I366" s="42">
        <v>56.87</v>
      </c>
      <c r="J366" s="42">
        <f t="shared" si="8"/>
        <v>1194.27</v>
      </c>
      <c r="K366" s="42"/>
      <c r="L366" s="42"/>
      <c r="M366" s="43" t="s">
        <v>313</v>
      </c>
    </row>
    <row r="367" spans="1:13" s="44" customFormat="1" ht="30" customHeight="1" x14ac:dyDescent="0.25">
      <c r="A367" s="39" t="s">
        <v>746</v>
      </c>
      <c r="B367" s="40"/>
      <c r="C367" s="39" t="s">
        <v>157</v>
      </c>
      <c r="D367" s="41">
        <v>200</v>
      </c>
      <c r="E367" s="41"/>
      <c r="F367" s="41"/>
      <c r="G367" s="41"/>
      <c r="H367" s="41">
        <f>+D367+E367-F367</f>
        <v>200</v>
      </c>
      <c r="I367" s="42">
        <v>5.0999999999999996</v>
      </c>
      <c r="J367" s="42">
        <f t="shared" si="8"/>
        <v>1019.9999999999999</v>
      </c>
      <c r="K367" s="42"/>
      <c r="L367" s="42"/>
      <c r="M367" s="43" t="s">
        <v>147</v>
      </c>
    </row>
    <row r="368" spans="1:13" s="44" customFormat="1" ht="30" customHeight="1" x14ac:dyDescent="0.25">
      <c r="A368" s="39" t="s">
        <v>747</v>
      </c>
      <c r="B368" s="40"/>
      <c r="C368" s="39" t="s">
        <v>158</v>
      </c>
      <c r="D368" s="41">
        <f>339-100</f>
        <v>239</v>
      </c>
      <c r="E368" s="41"/>
      <c r="F368" s="41"/>
      <c r="G368" s="41"/>
      <c r="H368" s="41">
        <f>+D368+E368-F368</f>
        <v>239</v>
      </c>
      <c r="I368" s="42">
        <v>5.0999999999999996</v>
      </c>
      <c r="J368" s="42">
        <f t="shared" si="8"/>
        <v>1218.8999999999999</v>
      </c>
      <c r="K368" s="42"/>
      <c r="L368" s="42"/>
      <c r="M368" s="43" t="s">
        <v>147</v>
      </c>
    </row>
    <row r="369" spans="1:14" s="44" customFormat="1" ht="30" customHeight="1" x14ac:dyDescent="0.25">
      <c r="A369" s="39" t="s">
        <v>981</v>
      </c>
      <c r="B369" s="40" t="s">
        <v>273</v>
      </c>
      <c r="C369" s="39" t="s">
        <v>365</v>
      </c>
      <c r="D369" s="41">
        <v>1</v>
      </c>
      <c r="E369" s="41"/>
      <c r="F369" s="41"/>
      <c r="G369" s="41"/>
      <c r="H369" s="41">
        <f>+D369+E369+-F369</f>
        <v>1</v>
      </c>
      <c r="I369" s="42">
        <v>472</v>
      </c>
      <c r="J369" s="42">
        <f t="shared" si="8"/>
        <v>472</v>
      </c>
      <c r="K369" s="42"/>
      <c r="L369" s="42"/>
      <c r="M369" s="43" t="s">
        <v>313</v>
      </c>
    </row>
    <row r="370" spans="1:14" s="44" customFormat="1" ht="30" customHeight="1" x14ac:dyDescent="0.25">
      <c r="A370" s="39" t="s">
        <v>982</v>
      </c>
      <c r="B370" s="40" t="s">
        <v>273</v>
      </c>
      <c r="C370" s="39" t="s">
        <v>366</v>
      </c>
      <c r="D370" s="41">
        <f>12-1</f>
        <v>11</v>
      </c>
      <c r="E370" s="41"/>
      <c r="F370" s="41">
        <f>1+1+1+1+1+2+1</f>
        <v>8</v>
      </c>
      <c r="G370" s="41"/>
      <c r="H370" s="41">
        <f>+D370+E370+-F370</f>
        <v>3</v>
      </c>
      <c r="I370" s="42">
        <v>472</v>
      </c>
      <c r="J370" s="42">
        <f t="shared" ref="J370:J401" si="9">+H370*I370</f>
        <v>1416</v>
      </c>
      <c r="K370" s="42"/>
      <c r="L370" s="42"/>
      <c r="M370" s="43" t="s">
        <v>313</v>
      </c>
    </row>
    <row r="371" spans="1:14" s="44" customFormat="1" ht="30" customHeight="1" x14ac:dyDescent="0.25">
      <c r="A371" s="39" t="s">
        <v>1121</v>
      </c>
      <c r="B371" s="40"/>
      <c r="C371" s="45" t="s">
        <v>1308</v>
      </c>
      <c r="D371" s="41">
        <v>6</v>
      </c>
      <c r="E371" s="41"/>
      <c r="F371" s="41">
        <v>1</v>
      </c>
      <c r="G371" s="41"/>
      <c r="H371" s="41">
        <f>+D371+E371+-F371</f>
        <v>5</v>
      </c>
      <c r="I371" s="42">
        <v>1495</v>
      </c>
      <c r="J371" s="42">
        <f t="shared" si="9"/>
        <v>7475</v>
      </c>
      <c r="K371" s="42"/>
      <c r="L371" s="42"/>
      <c r="M371" s="43" t="s">
        <v>454</v>
      </c>
    </row>
    <row r="372" spans="1:14" s="44" customFormat="1" ht="30" customHeight="1" x14ac:dyDescent="0.25">
      <c r="A372" s="39" t="s">
        <v>1507</v>
      </c>
      <c r="B372" s="50">
        <v>45631</v>
      </c>
      <c r="C372" s="51" t="s">
        <v>1493</v>
      </c>
      <c r="D372" s="52"/>
      <c r="E372" s="53">
        <v>3</v>
      </c>
      <c r="F372" s="53"/>
      <c r="G372" s="53"/>
      <c r="H372" s="41">
        <f>+D372+E372-F372+G372</f>
        <v>3</v>
      </c>
      <c r="I372" s="54">
        <v>174.64</v>
      </c>
      <c r="J372" s="55">
        <f t="shared" si="9"/>
        <v>523.91999999999996</v>
      </c>
      <c r="K372" s="54"/>
      <c r="L372" s="54"/>
      <c r="M372" s="60" t="s">
        <v>1541</v>
      </c>
    </row>
    <row r="373" spans="1:14" s="44" customFormat="1" ht="30" customHeight="1" x14ac:dyDescent="0.25">
      <c r="A373" s="39" t="s">
        <v>855</v>
      </c>
      <c r="B373" s="49">
        <v>44193</v>
      </c>
      <c r="C373" s="39" t="s">
        <v>1721</v>
      </c>
      <c r="D373" s="41">
        <f>6-1</f>
        <v>5</v>
      </c>
      <c r="E373" s="41">
        <v>20</v>
      </c>
      <c r="F373" s="41">
        <f>2+1+1+1+1+1+5+2+4+5+2</f>
        <v>25</v>
      </c>
      <c r="G373" s="41"/>
      <c r="H373" s="41">
        <f>+D373+E373+-F373</f>
        <v>0</v>
      </c>
      <c r="I373" s="42">
        <v>37.76</v>
      </c>
      <c r="J373" s="42">
        <f t="shared" si="9"/>
        <v>0</v>
      </c>
      <c r="K373" s="42"/>
      <c r="L373" s="42"/>
      <c r="M373" s="43" t="s">
        <v>248</v>
      </c>
    </row>
    <row r="374" spans="1:14" s="44" customFormat="1" ht="30" customHeight="1" x14ac:dyDescent="0.4">
      <c r="A374" s="39" t="s">
        <v>1710</v>
      </c>
      <c r="B374" s="50"/>
      <c r="C374" s="39" t="s">
        <v>1722</v>
      </c>
      <c r="D374" s="52">
        <v>3</v>
      </c>
      <c r="E374" s="53">
        <v>0</v>
      </c>
      <c r="F374" s="53">
        <f>2+1</f>
        <v>3</v>
      </c>
      <c r="G374" s="53"/>
      <c r="H374" s="68">
        <f>+D374+E374-F374</f>
        <v>0</v>
      </c>
      <c r="I374" s="54"/>
      <c r="J374" s="54">
        <f t="shared" si="9"/>
        <v>0</v>
      </c>
      <c r="K374" s="69"/>
      <c r="L374" s="69"/>
      <c r="M374" s="43" t="s">
        <v>248</v>
      </c>
    </row>
    <row r="375" spans="1:14" s="44" customFormat="1" ht="30" customHeight="1" x14ac:dyDescent="0.25">
      <c r="A375" s="39" t="s">
        <v>856</v>
      </c>
      <c r="B375" s="49" t="s">
        <v>1594</v>
      </c>
      <c r="C375" s="39" t="s">
        <v>1723</v>
      </c>
      <c r="D375" s="41">
        <v>3</v>
      </c>
      <c r="E375" s="41">
        <v>20</v>
      </c>
      <c r="F375" s="41">
        <f>3+2+1+1+1+3+3+5+4</f>
        <v>23</v>
      </c>
      <c r="G375" s="41"/>
      <c r="H375" s="41">
        <f>+D375+E375+-F375</f>
        <v>0</v>
      </c>
      <c r="I375" s="42">
        <v>37.76</v>
      </c>
      <c r="J375" s="42">
        <f t="shared" si="9"/>
        <v>0</v>
      </c>
      <c r="K375" s="42"/>
      <c r="L375" s="42"/>
      <c r="M375" s="43" t="s">
        <v>248</v>
      </c>
    </row>
    <row r="376" spans="1:14" s="44" customFormat="1" ht="30" customHeight="1" x14ac:dyDescent="0.25">
      <c r="A376" s="39" t="s">
        <v>857</v>
      </c>
      <c r="B376" s="49" t="s">
        <v>1601</v>
      </c>
      <c r="C376" s="39" t="s">
        <v>1724</v>
      </c>
      <c r="D376" s="41">
        <v>0</v>
      </c>
      <c r="E376" s="41">
        <v>20</v>
      </c>
      <c r="F376" s="41">
        <f>5+1+10+3+1</f>
        <v>20</v>
      </c>
      <c r="G376" s="41"/>
      <c r="H376" s="41">
        <f>+D376+E376+-F376</f>
        <v>0</v>
      </c>
      <c r="I376" s="42">
        <v>32</v>
      </c>
      <c r="J376" s="42">
        <f t="shared" si="9"/>
        <v>0</v>
      </c>
      <c r="K376" s="42"/>
      <c r="L376" s="42"/>
      <c r="M376" s="43" t="s">
        <v>248</v>
      </c>
    </row>
    <row r="377" spans="1:14" s="44" customFormat="1" ht="30" customHeight="1" x14ac:dyDescent="0.25">
      <c r="A377" s="39" t="s">
        <v>1360</v>
      </c>
      <c r="B377" s="46">
        <v>45623</v>
      </c>
      <c r="C377" s="47" t="s">
        <v>1725</v>
      </c>
      <c r="D377" s="39"/>
      <c r="E377" s="41">
        <v>2</v>
      </c>
      <c r="F377" s="41"/>
      <c r="G377" s="41">
        <v>2</v>
      </c>
      <c r="H377" s="41">
        <f>+D377+E377-F377+G377</f>
        <v>4</v>
      </c>
      <c r="I377" s="42">
        <v>147.74</v>
      </c>
      <c r="J377" s="42">
        <f t="shared" si="9"/>
        <v>590.96</v>
      </c>
      <c r="K377" s="42"/>
      <c r="L377" s="42"/>
      <c r="M377" s="43" t="s">
        <v>1365</v>
      </c>
    </row>
    <row r="378" spans="1:14" s="44" customFormat="1" ht="30" customHeight="1" x14ac:dyDescent="0.25">
      <c r="A378" s="39" t="s">
        <v>1322</v>
      </c>
      <c r="B378" s="46">
        <v>45623</v>
      </c>
      <c r="C378" s="47" t="s">
        <v>1329</v>
      </c>
      <c r="D378" s="39"/>
      <c r="E378" s="41">
        <v>30</v>
      </c>
      <c r="F378" s="41">
        <f>8+4+5+2+10</f>
        <v>29</v>
      </c>
      <c r="G378" s="41"/>
      <c r="H378" s="64">
        <f>+D378+E378-F378+G378</f>
        <v>1</v>
      </c>
      <c r="I378" s="42">
        <v>348.1</v>
      </c>
      <c r="J378" s="42">
        <f t="shared" si="9"/>
        <v>348.1</v>
      </c>
      <c r="K378" s="42"/>
      <c r="L378" s="42"/>
      <c r="M378" s="43" t="s">
        <v>1327</v>
      </c>
    </row>
    <row r="379" spans="1:14" s="44" customFormat="1" ht="30" customHeight="1" x14ac:dyDescent="0.25">
      <c r="A379" s="39" t="s">
        <v>738</v>
      </c>
      <c r="B379" s="48">
        <v>45499</v>
      </c>
      <c r="C379" s="39" t="s">
        <v>152</v>
      </c>
      <c r="D379" s="41">
        <v>25</v>
      </c>
      <c r="E379" s="41"/>
      <c r="F379" s="41">
        <f>12+2+3</f>
        <v>17</v>
      </c>
      <c r="G379" s="41"/>
      <c r="H379" s="41">
        <f>+D379+E379-F379</f>
        <v>8</v>
      </c>
      <c r="I379" s="42">
        <v>224.2</v>
      </c>
      <c r="J379" s="42">
        <f t="shared" si="9"/>
        <v>1793.6</v>
      </c>
      <c r="K379" s="42"/>
      <c r="L379" s="42"/>
      <c r="M379" s="43" t="s">
        <v>147</v>
      </c>
      <c r="N379" s="44">
        <f>5*12</f>
        <v>60</v>
      </c>
    </row>
    <row r="380" spans="1:14" s="44" customFormat="1" ht="30" customHeight="1" x14ac:dyDescent="0.25">
      <c r="A380" s="39" t="s">
        <v>749</v>
      </c>
      <c r="B380" s="40"/>
      <c r="C380" s="39" t="s">
        <v>160</v>
      </c>
      <c r="D380" s="41">
        <f>6-2-1</f>
        <v>3</v>
      </c>
      <c r="E380" s="41"/>
      <c r="F380" s="41"/>
      <c r="G380" s="41"/>
      <c r="H380" s="41">
        <f>+D380+E380-F380</f>
        <v>3</v>
      </c>
      <c r="I380" s="42">
        <v>236</v>
      </c>
      <c r="J380" s="42">
        <f t="shared" si="9"/>
        <v>708</v>
      </c>
      <c r="K380" s="42"/>
      <c r="L380" s="42"/>
      <c r="M380" s="43" t="s">
        <v>147</v>
      </c>
    </row>
    <row r="381" spans="1:14" s="44" customFormat="1" ht="30" customHeight="1" x14ac:dyDescent="0.25">
      <c r="A381" s="39" t="s">
        <v>748</v>
      </c>
      <c r="B381" s="40"/>
      <c r="C381" s="39" t="s">
        <v>159</v>
      </c>
      <c r="D381" s="41">
        <v>2</v>
      </c>
      <c r="E381" s="41"/>
      <c r="F381" s="41">
        <v>2</v>
      </c>
      <c r="G381" s="41"/>
      <c r="H381" s="41">
        <f>+D381+E381-F381</f>
        <v>0</v>
      </c>
      <c r="I381" s="42">
        <v>236</v>
      </c>
      <c r="J381" s="42">
        <f t="shared" si="9"/>
        <v>0</v>
      </c>
      <c r="K381" s="42"/>
      <c r="L381" s="42"/>
      <c r="M381" s="43" t="s">
        <v>147</v>
      </c>
    </row>
    <row r="382" spans="1:14" s="44" customFormat="1" ht="30" customHeight="1" x14ac:dyDescent="0.25">
      <c r="A382" s="39" t="s">
        <v>750</v>
      </c>
      <c r="B382" s="40"/>
      <c r="C382" s="39" t="s">
        <v>161</v>
      </c>
      <c r="D382" s="41">
        <v>1</v>
      </c>
      <c r="E382" s="41"/>
      <c r="F382" s="41"/>
      <c r="G382" s="41"/>
      <c r="H382" s="41">
        <f>+D382+E382-F382</f>
        <v>1</v>
      </c>
      <c r="I382" s="42">
        <v>236</v>
      </c>
      <c r="J382" s="42">
        <f t="shared" si="9"/>
        <v>236</v>
      </c>
      <c r="K382" s="42"/>
      <c r="L382" s="42"/>
      <c r="M382" s="43" t="s">
        <v>147</v>
      </c>
    </row>
    <row r="383" spans="1:14" s="44" customFormat="1" ht="30" customHeight="1" x14ac:dyDescent="0.25">
      <c r="A383" s="39" t="s">
        <v>751</v>
      </c>
      <c r="B383" s="40"/>
      <c r="C383" s="39" t="s">
        <v>162</v>
      </c>
      <c r="D383" s="41">
        <v>3</v>
      </c>
      <c r="E383" s="41"/>
      <c r="F383" s="41">
        <v>1</v>
      </c>
      <c r="G383" s="41"/>
      <c r="H383" s="41">
        <f>+D383+E383-F383</f>
        <v>2</v>
      </c>
      <c r="I383" s="42">
        <v>236</v>
      </c>
      <c r="J383" s="42">
        <f t="shared" si="9"/>
        <v>472</v>
      </c>
      <c r="K383" s="42"/>
      <c r="L383" s="42"/>
      <c r="M383" s="43" t="s">
        <v>147</v>
      </c>
    </row>
    <row r="384" spans="1:14" s="44" customFormat="1" ht="30" customHeight="1" x14ac:dyDescent="0.25">
      <c r="A384" s="39" t="s">
        <v>752</v>
      </c>
      <c r="B384" s="40"/>
      <c r="C384" s="39" t="s">
        <v>163</v>
      </c>
      <c r="D384" s="41">
        <f>4-1</f>
        <v>3</v>
      </c>
      <c r="E384" s="41"/>
      <c r="F384" s="41">
        <f>1+1+1</f>
        <v>3</v>
      </c>
      <c r="G384" s="41"/>
      <c r="H384" s="41">
        <f>+D384+E384-F384</f>
        <v>0</v>
      </c>
      <c r="I384" s="42">
        <v>236</v>
      </c>
      <c r="J384" s="42">
        <f t="shared" si="9"/>
        <v>0</v>
      </c>
      <c r="K384" s="42"/>
      <c r="L384" s="42"/>
      <c r="M384" s="43" t="s">
        <v>147</v>
      </c>
    </row>
    <row r="385" spans="1:13" s="44" customFormat="1" ht="30" customHeight="1" x14ac:dyDescent="0.25">
      <c r="A385" s="39" t="s">
        <v>753</v>
      </c>
      <c r="B385" s="40"/>
      <c r="C385" s="39" t="s">
        <v>1624</v>
      </c>
      <c r="D385" s="41">
        <v>60</v>
      </c>
      <c r="E385" s="41"/>
      <c r="F385" s="41">
        <f>2+1+2+1+1+1+1+2</f>
        <v>11</v>
      </c>
      <c r="G385" s="41"/>
      <c r="H385" s="41">
        <f>+D385+E385-F385</f>
        <v>49</v>
      </c>
      <c r="I385" s="42">
        <v>236</v>
      </c>
      <c r="J385" s="42">
        <f t="shared" si="9"/>
        <v>11564</v>
      </c>
      <c r="K385" s="42"/>
      <c r="L385" s="42"/>
      <c r="M385" s="43" t="s">
        <v>147</v>
      </c>
    </row>
    <row r="386" spans="1:13" s="44" customFormat="1" ht="30" customHeight="1" x14ac:dyDescent="0.25">
      <c r="A386" s="39" t="s">
        <v>754</v>
      </c>
      <c r="B386" s="40"/>
      <c r="C386" s="39" t="s">
        <v>164</v>
      </c>
      <c r="D386" s="41">
        <v>60</v>
      </c>
      <c r="E386" s="41"/>
      <c r="F386" s="41">
        <f>1+1</f>
        <v>2</v>
      </c>
      <c r="G386" s="41"/>
      <c r="H386" s="41">
        <f>+D386+E386-F386</f>
        <v>58</v>
      </c>
      <c r="I386" s="42">
        <v>236</v>
      </c>
      <c r="J386" s="42">
        <f t="shared" si="9"/>
        <v>13688</v>
      </c>
      <c r="K386" s="42"/>
      <c r="L386" s="42"/>
      <c r="M386" s="43" t="s">
        <v>147</v>
      </c>
    </row>
    <row r="387" spans="1:13" s="44" customFormat="1" ht="30" customHeight="1" x14ac:dyDescent="0.25">
      <c r="A387" s="39" t="s">
        <v>755</v>
      </c>
      <c r="B387" s="40"/>
      <c r="C387" s="39" t="s">
        <v>165</v>
      </c>
      <c r="D387" s="41">
        <v>56</v>
      </c>
      <c r="E387" s="41"/>
      <c r="F387" s="41">
        <f>1+1</f>
        <v>2</v>
      </c>
      <c r="G387" s="41"/>
      <c r="H387" s="41">
        <f>+D387+E387+-F387</f>
        <v>54</v>
      </c>
      <c r="I387" s="42">
        <v>236</v>
      </c>
      <c r="J387" s="42">
        <f t="shared" si="9"/>
        <v>12744</v>
      </c>
      <c r="K387" s="42"/>
      <c r="L387" s="42"/>
      <c r="M387" s="43" t="s">
        <v>147</v>
      </c>
    </row>
    <row r="388" spans="1:13" s="44" customFormat="1" ht="30" customHeight="1" x14ac:dyDescent="0.25">
      <c r="A388" s="39" t="s">
        <v>739</v>
      </c>
      <c r="B388" s="48">
        <v>45499</v>
      </c>
      <c r="C388" s="39" t="s">
        <v>1641</v>
      </c>
      <c r="D388" s="41">
        <v>12</v>
      </c>
      <c r="E388" s="41"/>
      <c r="F388" s="41">
        <f>1+2+3+1+5</f>
        <v>12</v>
      </c>
      <c r="G388" s="41"/>
      <c r="H388" s="41">
        <f>+D388+E388-F388</f>
        <v>0</v>
      </c>
      <c r="I388" s="42">
        <v>224.2</v>
      </c>
      <c r="J388" s="42">
        <f t="shared" si="9"/>
        <v>0</v>
      </c>
      <c r="K388" s="42"/>
      <c r="L388" s="42"/>
      <c r="M388" s="43" t="s">
        <v>147</v>
      </c>
    </row>
    <row r="389" spans="1:13" s="44" customFormat="1" ht="39.75" customHeight="1" x14ac:dyDescent="0.25">
      <c r="A389" s="39" t="s">
        <v>787</v>
      </c>
      <c r="B389" s="48">
        <v>45514</v>
      </c>
      <c r="C389" s="39" t="s">
        <v>1231</v>
      </c>
      <c r="D389" s="41">
        <v>1</v>
      </c>
      <c r="E389" s="41">
        <v>3</v>
      </c>
      <c r="F389" s="41"/>
      <c r="G389" s="41"/>
      <c r="H389" s="41">
        <f>+D389+E389+-F389</f>
        <v>4</v>
      </c>
      <c r="I389" s="42">
        <v>1075.6400000000001</v>
      </c>
      <c r="J389" s="42">
        <f t="shared" si="9"/>
        <v>4302.5600000000004</v>
      </c>
      <c r="K389" s="42"/>
      <c r="L389" s="42"/>
      <c r="M389" s="43" t="s">
        <v>169</v>
      </c>
    </row>
    <row r="390" spans="1:13" s="44" customFormat="1" ht="30" customHeight="1" x14ac:dyDescent="0.25">
      <c r="A390" s="39" t="s">
        <v>983</v>
      </c>
      <c r="B390" s="40"/>
      <c r="C390" s="39" t="s">
        <v>367</v>
      </c>
      <c r="D390" s="41">
        <v>2</v>
      </c>
      <c r="E390" s="41"/>
      <c r="F390" s="41"/>
      <c r="G390" s="41"/>
      <c r="H390" s="41">
        <f>+D390+E390+-F390</f>
        <v>2</v>
      </c>
      <c r="I390" s="42">
        <v>1495</v>
      </c>
      <c r="J390" s="42">
        <f t="shared" si="9"/>
        <v>2990</v>
      </c>
      <c r="K390" s="42"/>
      <c r="L390" s="42"/>
      <c r="M390" s="43" t="s">
        <v>313</v>
      </c>
    </row>
    <row r="391" spans="1:13" s="44" customFormat="1" ht="30" customHeight="1" x14ac:dyDescent="0.25">
      <c r="A391" s="39" t="s">
        <v>643</v>
      </c>
      <c r="B391" s="49">
        <v>44193</v>
      </c>
      <c r="C391" s="45" t="s">
        <v>78</v>
      </c>
      <c r="D391" s="41">
        <f>21+9+2</f>
        <v>32</v>
      </c>
      <c r="E391" s="41"/>
      <c r="F391" s="41">
        <v>1</v>
      </c>
      <c r="G391" s="41"/>
      <c r="H391" s="41">
        <f>+D391+E391-F391</f>
        <v>31</v>
      </c>
      <c r="I391" s="42">
        <v>135</v>
      </c>
      <c r="J391" s="42">
        <f t="shared" si="9"/>
        <v>4185</v>
      </c>
      <c r="K391" s="42"/>
      <c r="L391" s="42"/>
      <c r="M391" s="43" t="s">
        <v>27</v>
      </c>
    </row>
    <row r="392" spans="1:13" s="44" customFormat="1" ht="30" customHeight="1" x14ac:dyDescent="0.25">
      <c r="A392" s="39" t="s">
        <v>683</v>
      </c>
      <c r="B392" s="48">
        <v>45500</v>
      </c>
      <c r="C392" s="39" t="s">
        <v>1709</v>
      </c>
      <c r="D392" s="41">
        <v>20</v>
      </c>
      <c r="E392" s="41"/>
      <c r="F392" s="41">
        <f>2+1+1</f>
        <v>4</v>
      </c>
      <c r="G392" s="41"/>
      <c r="H392" s="41">
        <f>+D392+E392-F392</f>
        <v>16</v>
      </c>
      <c r="I392" s="42">
        <v>129.80000000000001</v>
      </c>
      <c r="J392" s="42">
        <f t="shared" si="9"/>
        <v>2076.8000000000002</v>
      </c>
      <c r="K392" s="42"/>
      <c r="L392" s="42"/>
      <c r="M392" s="43" t="s">
        <v>27</v>
      </c>
    </row>
    <row r="393" spans="1:13" s="44" customFormat="1" ht="30" customHeight="1" x14ac:dyDescent="0.25">
      <c r="A393" s="39" t="s">
        <v>644</v>
      </c>
      <c r="B393" s="49">
        <v>44193</v>
      </c>
      <c r="C393" s="45" t="s">
        <v>79</v>
      </c>
      <c r="D393" s="41">
        <v>1</v>
      </c>
      <c r="E393" s="41"/>
      <c r="F393" s="41"/>
      <c r="G393" s="41"/>
      <c r="H393" s="41">
        <f>+D393+E393-F393</f>
        <v>1</v>
      </c>
      <c r="I393" s="42">
        <v>135</v>
      </c>
      <c r="J393" s="42">
        <f t="shared" si="9"/>
        <v>135</v>
      </c>
      <c r="K393" s="42"/>
      <c r="L393" s="42"/>
      <c r="M393" s="43" t="s">
        <v>27</v>
      </c>
    </row>
    <row r="394" spans="1:13" s="44" customFormat="1" ht="30" customHeight="1" x14ac:dyDescent="0.25">
      <c r="A394" s="39" t="s">
        <v>684</v>
      </c>
      <c r="B394" s="48">
        <v>45500</v>
      </c>
      <c r="C394" s="39" t="s">
        <v>109</v>
      </c>
      <c r="D394" s="41">
        <v>21</v>
      </c>
      <c r="E394" s="41"/>
      <c r="F394" s="41"/>
      <c r="G394" s="41"/>
      <c r="H394" s="41">
        <f>+D394+E394-F394</f>
        <v>21</v>
      </c>
      <c r="I394" s="42">
        <v>200.6</v>
      </c>
      <c r="J394" s="42">
        <f t="shared" si="9"/>
        <v>4212.5999999999995</v>
      </c>
      <c r="K394" s="42"/>
      <c r="L394" s="42"/>
      <c r="M394" s="43" t="s">
        <v>27</v>
      </c>
    </row>
    <row r="395" spans="1:13" s="44" customFormat="1" ht="30" customHeight="1" x14ac:dyDescent="0.25">
      <c r="A395" s="39" t="s">
        <v>1389</v>
      </c>
      <c r="B395" s="46">
        <v>45624</v>
      </c>
      <c r="C395" s="46" t="s">
        <v>1394</v>
      </c>
      <c r="D395" s="39">
        <v>1</v>
      </c>
      <c r="E395" s="41"/>
      <c r="F395" s="41">
        <v>1</v>
      </c>
      <c r="G395" s="41"/>
      <c r="H395" s="41">
        <f>+D395+E395-F395+G395</f>
        <v>0</v>
      </c>
      <c r="I395" s="42">
        <v>189</v>
      </c>
      <c r="J395" s="42">
        <f t="shared" si="9"/>
        <v>0</v>
      </c>
      <c r="K395" s="42"/>
      <c r="L395" s="42"/>
      <c r="M395" s="43" t="s">
        <v>27</v>
      </c>
    </row>
    <row r="396" spans="1:13" s="44" customFormat="1" ht="30" customHeight="1" x14ac:dyDescent="0.25">
      <c r="A396" s="39" t="s">
        <v>885</v>
      </c>
      <c r="B396" s="40" t="s">
        <v>269</v>
      </c>
      <c r="C396" s="39" t="s">
        <v>281</v>
      </c>
      <c r="D396" s="41">
        <v>2</v>
      </c>
      <c r="E396" s="41"/>
      <c r="F396" s="41"/>
      <c r="G396" s="41"/>
      <c r="H396" s="41">
        <f>+D396+E396+-F396</f>
        <v>2</v>
      </c>
      <c r="I396" s="42">
        <v>181.01</v>
      </c>
      <c r="J396" s="42">
        <f t="shared" si="9"/>
        <v>362.02</v>
      </c>
      <c r="K396" s="42"/>
      <c r="L396" s="42"/>
      <c r="M396" s="43" t="s">
        <v>248</v>
      </c>
    </row>
    <row r="397" spans="1:13" s="44" customFormat="1" ht="30" customHeight="1" x14ac:dyDescent="0.25">
      <c r="A397" s="39" t="s">
        <v>886</v>
      </c>
      <c r="B397" s="48">
        <v>45421</v>
      </c>
      <c r="C397" s="39" t="s">
        <v>282</v>
      </c>
      <c r="D397" s="41">
        <f>130+1-1-1-1-1-2-3-1</f>
        <v>121</v>
      </c>
      <c r="E397" s="41"/>
      <c r="F397" s="41">
        <f>4+1+1+1+1+2+6+3+5+2+1+4+9+5+3+6+6+5+3+3+7+1+4</f>
        <v>83</v>
      </c>
      <c r="G397" s="41"/>
      <c r="H397" s="41">
        <f>+D397+E397+-F397</f>
        <v>38</v>
      </c>
      <c r="I397" s="42">
        <v>541.91</v>
      </c>
      <c r="J397" s="42">
        <f t="shared" si="9"/>
        <v>20592.579999999998</v>
      </c>
      <c r="K397" s="42"/>
      <c r="L397" s="42"/>
      <c r="M397" s="43" t="s">
        <v>248</v>
      </c>
    </row>
    <row r="398" spans="1:13" s="44" customFormat="1" ht="30" customHeight="1" x14ac:dyDescent="0.25">
      <c r="A398" s="39" t="s">
        <v>984</v>
      </c>
      <c r="B398" s="40"/>
      <c r="C398" s="39" t="s">
        <v>368</v>
      </c>
      <c r="D398" s="41">
        <v>2</v>
      </c>
      <c r="E398" s="41"/>
      <c r="F398" s="41"/>
      <c r="G398" s="41"/>
      <c r="H398" s="41">
        <f>+D398+E398+-F398</f>
        <v>2</v>
      </c>
      <c r="I398" s="42"/>
      <c r="J398" s="42">
        <f t="shared" si="9"/>
        <v>0</v>
      </c>
      <c r="K398" s="42"/>
      <c r="L398" s="42"/>
      <c r="M398" s="43" t="s">
        <v>313</v>
      </c>
    </row>
    <row r="399" spans="1:13" s="44" customFormat="1" ht="30" customHeight="1" x14ac:dyDescent="0.25">
      <c r="A399" s="39" t="s">
        <v>1123</v>
      </c>
      <c r="B399" s="40"/>
      <c r="C399" s="39" t="s">
        <v>481</v>
      </c>
      <c r="D399" s="41">
        <v>2</v>
      </c>
      <c r="E399" s="41"/>
      <c r="F399" s="41"/>
      <c r="G399" s="41"/>
      <c r="H399" s="41">
        <f>+D399+E399+-F399</f>
        <v>2</v>
      </c>
      <c r="I399" s="42">
        <v>138</v>
      </c>
      <c r="J399" s="42">
        <f t="shared" si="9"/>
        <v>276</v>
      </c>
      <c r="K399" s="42"/>
      <c r="L399" s="42"/>
      <c r="M399" s="43" t="s">
        <v>454</v>
      </c>
    </row>
    <row r="400" spans="1:13" s="44" customFormat="1" ht="26.25" customHeight="1" x14ac:dyDescent="0.25">
      <c r="A400" s="39" t="s">
        <v>582</v>
      </c>
      <c r="B400" s="48"/>
      <c r="C400" s="39" t="s">
        <v>23</v>
      </c>
      <c r="D400" s="57">
        <v>3</v>
      </c>
      <c r="E400" s="57"/>
      <c r="F400" s="57"/>
      <c r="G400" s="57"/>
      <c r="H400" s="41">
        <f>+D400+E400-F400</f>
        <v>3</v>
      </c>
      <c r="I400" s="58">
        <v>506</v>
      </c>
      <c r="J400" s="42">
        <f t="shared" si="9"/>
        <v>1518</v>
      </c>
      <c r="K400" s="42"/>
      <c r="L400" s="42"/>
      <c r="M400" s="43" t="s">
        <v>20</v>
      </c>
    </row>
    <row r="401" spans="1:13" s="44" customFormat="1" ht="45" customHeight="1" x14ac:dyDescent="0.25">
      <c r="A401" s="39" t="s">
        <v>1124</v>
      </c>
      <c r="B401" s="40"/>
      <c r="C401" s="39" t="s">
        <v>482</v>
      </c>
      <c r="D401" s="41">
        <v>2</v>
      </c>
      <c r="E401" s="41"/>
      <c r="F401" s="41">
        <v>2</v>
      </c>
      <c r="G401" s="41"/>
      <c r="H401" s="41">
        <f>+D401+E401+-F401</f>
        <v>0</v>
      </c>
      <c r="I401" s="42">
        <v>650</v>
      </c>
      <c r="J401" s="42">
        <f t="shared" si="9"/>
        <v>0</v>
      </c>
      <c r="K401" s="42"/>
      <c r="L401" s="42"/>
      <c r="M401" s="43" t="s">
        <v>454</v>
      </c>
    </row>
    <row r="402" spans="1:13" s="44" customFormat="1" ht="30" customHeight="1" x14ac:dyDescent="0.25">
      <c r="A402" s="39" t="s">
        <v>985</v>
      </c>
      <c r="B402" s="49">
        <v>45042</v>
      </c>
      <c r="C402" s="39" t="s">
        <v>369</v>
      </c>
      <c r="D402" s="41">
        <v>7</v>
      </c>
      <c r="E402" s="41"/>
      <c r="F402" s="41"/>
      <c r="G402" s="41"/>
      <c r="H402" s="41">
        <f>+D402+E402+-F402</f>
        <v>7</v>
      </c>
      <c r="I402" s="42">
        <v>38.29</v>
      </c>
      <c r="J402" s="42">
        <f t="shared" ref="J402:J433" si="10">+H402*I402</f>
        <v>268.02999999999997</v>
      </c>
      <c r="K402" s="42"/>
      <c r="L402" s="42"/>
      <c r="M402" s="43" t="s">
        <v>313</v>
      </c>
    </row>
    <row r="403" spans="1:13" s="44" customFormat="1" ht="30" customHeight="1" x14ac:dyDescent="0.25">
      <c r="A403" s="39" t="s">
        <v>788</v>
      </c>
      <c r="B403" s="48">
        <v>45499</v>
      </c>
      <c r="C403" s="39" t="s">
        <v>1225</v>
      </c>
      <c r="D403" s="41">
        <v>4</v>
      </c>
      <c r="E403" s="41"/>
      <c r="F403" s="41">
        <f>2+1</f>
        <v>3</v>
      </c>
      <c r="G403" s="41"/>
      <c r="H403" s="41">
        <f>+D403+E403+-F403</f>
        <v>1</v>
      </c>
      <c r="I403" s="42">
        <v>767</v>
      </c>
      <c r="J403" s="42">
        <f t="shared" si="10"/>
        <v>767</v>
      </c>
      <c r="K403" s="42"/>
      <c r="L403" s="42"/>
      <c r="M403" s="43" t="s">
        <v>169</v>
      </c>
    </row>
    <row r="404" spans="1:13" s="44" customFormat="1" ht="30" customHeight="1" x14ac:dyDescent="0.25">
      <c r="A404" s="39" t="s">
        <v>789</v>
      </c>
      <c r="B404" s="48">
        <v>45536</v>
      </c>
      <c r="C404" s="39" t="s">
        <v>189</v>
      </c>
      <c r="D404" s="41">
        <f>99-1-8-10</f>
        <v>80</v>
      </c>
      <c r="E404" s="41"/>
      <c r="F404" s="41">
        <f>1+18+61</f>
        <v>80</v>
      </c>
      <c r="G404" s="41"/>
      <c r="H404" s="41">
        <f>+D404+E404+-F404</f>
        <v>0</v>
      </c>
      <c r="I404" s="42">
        <v>156.9</v>
      </c>
      <c r="J404" s="42">
        <f t="shared" si="10"/>
        <v>0</v>
      </c>
      <c r="K404" s="42"/>
      <c r="L404" s="42"/>
      <c r="M404" s="43" t="s">
        <v>169</v>
      </c>
    </row>
    <row r="405" spans="1:13" s="44" customFormat="1" ht="30" customHeight="1" x14ac:dyDescent="0.25">
      <c r="A405" s="39" t="s">
        <v>1125</v>
      </c>
      <c r="B405" s="40"/>
      <c r="C405" s="39" t="s">
        <v>1310</v>
      </c>
      <c r="D405" s="41">
        <v>4</v>
      </c>
      <c r="E405" s="41"/>
      <c r="F405" s="41"/>
      <c r="G405" s="41"/>
      <c r="H405" s="41">
        <f>+D405+E405+-F405</f>
        <v>4</v>
      </c>
      <c r="I405" s="42">
        <v>366</v>
      </c>
      <c r="J405" s="42">
        <f t="shared" si="10"/>
        <v>1464</v>
      </c>
      <c r="K405" s="42"/>
      <c r="L405" s="42"/>
      <c r="M405" s="43" t="s">
        <v>454</v>
      </c>
    </row>
    <row r="406" spans="1:13" s="44" customFormat="1" ht="30" customHeight="1" x14ac:dyDescent="0.25">
      <c r="A406" s="39" t="s">
        <v>1126</v>
      </c>
      <c r="B406" s="40"/>
      <c r="C406" s="39" t="s">
        <v>483</v>
      </c>
      <c r="D406" s="41">
        <v>1</v>
      </c>
      <c r="E406" s="41"/>
      <c r="F406" s="41"/>
      <c r="G406" s="41"/>
      <c r="H406" s="41">
        <f>+D406+E406+-F406</f>
        <v>1</v>
      </c>
      <c r="I406" s="42">
        <v>3200</v>
      </c>
      <c r="J406" s="42">
        <f t="shared" si="10"/>
        <v>3200</v>
      </c>
      <c r="K406" s="42"/>
      <c r="L406" s="42"/>
      <c r="M406" s="43" t="s">
        <v>454</v>
      </c>
    </row>
    <row r="407" spans="1:13" s="44" customFormat="1" ht="30" customHeight="1" x14ac:dyDescent="0.25">
      <c r="A407" s="39" t="s">
        <v>1127</v>
      </c>
      <c r="B407" s="40"/>
      <c r="C407" s="39" t="s">
        <v>484</v>
      </c>
      <c r="D407" s="41">
        <v>1</v>
      </c>
      <c r="E407" s="41"/>
      <c r="F407" s="41"/>
      <c r="G407" s="41"/>
      <c r="H407" s="41">
        <f>+D407+E407+-F407</f>
        <v>1</v>
      </c>
      <c r="I407" s="42">
        <v>95</v>
      </c>
      <c r="J407" s="42">
        <f t="shared" si="10"/>
        <v>95</v>
      </c>
      <c r="K407" s="42"/>
      <c r="L407" s="42"/>
      <c r="M407" s="43" t="s">
        <v>454</v>
      </c>
    </row>
    <row r="408" spans="1:13" s="44" customFormat="1" ht="30" customHeight="1" x14ac:dyDescent="0.25">
      <c r="A408" s="39" t="s">
        <v>1122</v>
      </c>
      <c r="B408" s="48">
        <v>45499</v>
      </c>
      <c r="C408" s="39" t="s">
        <v>1309</v>
      </c>
      <c r="D408" s="41">
        <v>6</v>
      </c>
      <c r="E408" s="41"/>
      <c r="F408" s="41"/>
      <c r="G408" s="41"/>
      <c r="H408" s="41">
        <f>+D408+E408+-F408</f>
        <v>6</v>
      </c>
      <c r="I408" s="42">
        <v>944</v>
      </c>
      <c r="J408" s="42">
        <f t="shared" si="10"/>
        <v>5664</v>
      </c>
      <c r="K408" s="42"/>
      <c r="L408" s="42"/>
      <c r="M408" s="43" t="s">
        <v>454</v>
      </c>
    </row>
    <row r="409" spans="1:13" s="44" customFormat="1" ht="30" customHeight="1" x14ac:dyDescent="0.25">
      <c r="A409" s="39" t="s">
        <v>986</v>
      </c>
      <c r="B409" s="40"/>
      <c r="C409" s="39" t="s">
        <v>370</v>
      </c>
      <c r="D409" s="41">
        <v>3</v>
      </c>
      <c r="E409" s="41"/>
      <c r="F409" s="41"/>
      <c r="G409" s="41"/>
      <c r="H409" s="41">
        <f>+D409+E409+-F409</f>
        <v>3</v>
      </c>
      <c r="I409" s="42">
        <v>200</v>
      </c>
      <c r="J409" s="42">
        <f t="shared" si="10"/>
        <v>600</v>
      </c>
      <c r="K409" s="42"/>
      <c r="L409" s="42"/>
      <c r="M409" s="43" t="s">
        <v>313</v>
      </c>
    </row>
    <row r="410" spans="1:13" s="44" customFormat="1" ht="30" customHeight="1" x14ac:dyDescent="0.25">
      <c r="A410" s="39" t="s">
        <v>1078</v>
      </c>
      <c r="B410" s="40"/>
      <c r="C410" s="39" t="s">
        <v>449</v>
      </c>
      <c r="D410" s="41">
        <v>4</v>
      </c>
      <c r="E410" s="41"/>
      <c r="F410" s="41">
        <v>1</v>
      </c>
      <c r="G410" s="41"/>
      <c r="H410" s="41">
        <f>+D410+E410+-F410</f>
        <v>3</v>
      </c>
      <c r="I410" s="42"/>
      <c r="J410" s="42"/>
      <c r="K410" s="42"/>
      <c r="L410" s="42"/>
      <c r="M410" s="43" t="s">
        <v>313</v>
      </c>
    </row>
    <row r="411" spans="1:13" s="44" customFormat="1" ht="30" customHeight="1" x14ac:dyDescent="0.25">
      <c r="A411" s="39" t="s">
        <v>987</v>
      </c>
      <c r="B411" s="40"/>
      <c r="C411" s="39" t="s">
        <v>371</v>
      </c>
      <c r="D411" s="41">
        <v>2</v>
      </c>
      <c r="E411" s="41"/>
      <c r="F411" s="41"/>
      <c r="G411" s="41"/>
      <c r="H411" s="41">
        <f>+D411+E411+-F411</f>
        <v>2</v>
      </c>
      <c r="I411" s="42"/>
      <c r="J411" s="42">
        <f t="shared" ref="J411:J419" si="11">+H411*I411</f>
        <v>0</v>
      </c>
      <c r="K411" s="42"/>
      <c r="L411" s="42"/>
      <c r="M411" s="43" t="s">
        <v>313</v>
      </c>
    </row>
    <row r="412" spans="1:13" s="44" customFormat="1" ht="30" customHeight="1" x14ac:dyDescent="0.25">
      <c r="A412" s="39" t="s">
        <v>991</v>
      </c>
      <c r="B412" s="40"/>
      <c r="C412" s="39" t="s">
        <v>375</v>
      </c>
      <c r="D412" s="41">
        <v>1</v>
      </c>
      <c r="E412" s="41"/>
      <c r="F412" s="41"/>
      <c r="G412" s="41"/>
      <c r="H412" s="41">
        <f>+D412+E412+-F412</f>
        <v>1</v>
      </c>
      <c r="I412" s="42"/>
      <c r="J412" s="42">
        <f t="shared" si="11"/>
        <v>0</v>
      </c>
      <c r="K412" s="42"/>
      <c r="L412" s="42"/>
      <c r="M412" s="43" t="s">
        <v>313</v>
      </c>
    </row>
    <row r="413" spans="1:13" s="44" customFormat="1" ht="30" customHeight="1" x14ac:dyDescent="0.25">
      <c r="A413" s="39" t="s">
        <v>988</v>
      </c>
      <c r="B413" s="40"/>
      <c r="C413" s="39" t="s">
        <v>372</v>
      </c>
      <c r="D413" s="41">
        <v>2</v>
      </c>
      <c r="E413" s="41"/>
      <c r="F413" s="41"/>
      <c r="G413" s="41"/>
      <c r="H413" s="41">
        <f>+D413+E413+-F413</f>
        <v>2</v>
      </c>
      <c r="I413" s="42"/>
      <c r="J413" s="42">
        <f t="shared" si="11"/>
        <v>0</v>
      </c>
      <c r="K413" s="42"/>
      <c r="L413" s="42"/>
      <c r="M413" s="43" t="s">
        <v>313</v>
      </c>
    </row>
    <row r="414" spans="1:13" s="44" customFormat="1" ht="30" customHeight="1" x14ac:dyDescent="0.25">
      <c r="A414" s="39" t="s">
        <v>992</v>
      </c>
      <c r="B414" s="40"/>
      <c r="C414" s="39" t="s">
        <v>376</v>
      </c>
      <c r="D414" s="41">
        <v>280</v>
      </c>
      <c r="E414" s="41"/>
      <c r="F414" s="41"/>
      <c r="G414" s="41"/>
      <c r="H414" s="41">
        <f>+D414+E414+-F414</f>
        <v>280</v>
      </c>
      <c r="I414" s="42"/>
      <c r="J414" s="42">
        <f t="shared" si="11"/>
        <v>0</v>
      </c>
      <c r="K414" s="42"/>
      <c r="L414" s="42"/>
      <c r="M414" s="43" t="s">
        <v>313</v>
      </c>
    </row>
    <row r="415" spans="1:13" s="44" customFormat="1" ht="15.75" x14ac:dyDescent="0.25">
      <c r="A415" s="39" t="s">
        <v>993</v>
      </c>
      <c r="B415" s="40"/>
      <c r="C415" s="39" t="s">
        <v>377</v>
      </c>
      <c r="D415" s="41">
        <v>2</v>
      </c>
      <c r="E415" s="41"/>
      <c r="F415" s="41">
        <v>2</v>
      </c>
      <c r="G415" s="41"/>
      <c r="H415" s="41">
        <f>+D415+E415+-F415</f>
        <v>0</v>
      </c>
      <c r="I415" s="42"/>
      <c r="J415" s="42">
        <f t="shared" si="11"/>
        <v>0</v>
      </c>
      <c r="K415" s="42"/>
      <c r="L415" s="42"/>
      <c r="M415" s="43" t="s">
        <v>313</v>
      </c>
    </row>
    <row r="416" spans="1:13" s="44" customFormat="1" ht="30" customHeight="1" x14ac:dyDescent="0.25">
      <c r="A416" s="39" t="s">
        <v>645</v>
      </c>
      <c r="B416" s="49">
        <v>44193</v>
      </c>
      <c r="C416" s="45" t="s">
        <v>1639</v>
      </c>
      <c r="D416" s="41">
        <v>5</v>
      </c>
      <c r="E416" s="41"/>
      <c r="F416" s="41">
        <v>0</v>
      </c>
      <c r="G416" s="41"/>
      <c r="H416" s="41">
        <f>+D416+E416-F416</f>
        <v>5</v>
      </c>
      <c r="I416" s="42">
        <v>10800</v>
      </c>
      <c r="J416" s="42">
        <f t="shared" si="11"/>
        <v>54000</v>
      </c>
      <c r="K416" s="42"/>
      <c r="L416" s="42"/>
      <c r="M416" s="43" t="s">
        <v>27</v>
      </c>
    </row>
    <row r="417" spans="1:13" s="44" customFormat="1" ht="30" customHeight="1" x14ac:dyDescent="0.25">
      <c r="A417" s="39" t="s">
        <v>646</v>
      </c>
      <c r="B417" s="49">
        <v>44193</v>
      </c>
      <c r="C417" s="45" t="s">
        <v>80</v>
      </c>
      <c r="D417" s="41">
        <v>1</v>
      </c>
      <c r="E417" s="41"/>
      <c r="F417" s="41">
        <v>1</v>
      </c>
      <c r="G417" s="41"/>
      <c r="H417" s="41">
        <f>+D417+E417-F417</f>
        <v>0</v>
      </c>
      <c r="I417" s="42">
        <v>5000</v>
      </c>
      <c r="J417" s="42">
        <f t="shared" si="11"/>
        <v>0</v>
      </c>
      <c r="K417" s="42"/>
      <c r="L417" s="42"/>
      <c r="M417" s="43" t="s">
        <v>27</v>
      </c>
    </row>
    <row r="418" spans="1:13" s="44" customFormat="1" ht="30" customHeight="1" x14ac:dyDescent="0.25">
      <c r="A418" s="39" t="s">
        <v>647</v>
      </c>
      <c r="B418" s="40"/>
      <c r="C418" s="45" t="s">
        <v>1636</v>
      </c>
      <c r="D418" s="41">
        <v>27</v>
      </c>
      <c r="E418" s="41"/>
      <c r="F418" s="41">
        <f>6+2</f>
        <v>8</v>
      </c>
      <c r="G418" s="41"/>
      <c r="H418" s="41">
        <f>+D418+E418-F418</f>
        <v>19</v>
      </c>
      <c r="I418" s="42">
        <v>1020</v>
      </c>
      <c r="J418" s="42">
        <f t="shared" si="11"/>
        <v>19380</v>
      </c>
      <c r="K418" s="42"/>
      <c r="L418" s="42"/>
      <c r="M418" s="43" t="s">
        <v>27</v>
      </c>
    </row>
    <row r="419" spans="1:13" s="44" customFormat="1" ht="30" customHeight="1" x14ac:dyDescent="0.25">
      <c r="A419" s="39" t="s">
        <v>649</v>
      </c>
      <c r="B419" s="48">
        <v>45518</v>
      </c>
      <c r="C419" s="45" t="s">
        <v>1638</v>
      </c>
      <c r="D419" s="41">
        <v>247</v>
      </c>
      <c r="E419" s="41"/>
      <c r="F419" s="41"/>
      <c r="G419" s="41"/>
      <c r="H419" s="41">
        <f>+D419+E419-F419</f>
        <v>247</v>
      </c>
      <c r="I419" s="42">
        <v>265.5</v>
      </c>
      <c r="J419" s="42">
        <f t="shared" si="11"/>
        <v>65578.5</v>
      </c>
      <c r="K419" s="42"/>
      <c r="L419" s="42"/>
      <c r="M419" s="43" t="s">
        <v>27</v>
      </c>
    </row>
    <row r="420" spans="1:13" s="44" customFormat="1" ht="30" customHeight="1" x14ac:dyDescent="0.25">
      <c r="A420" s="39" t="s">
        <v>1270</v>
      </c>
      <c r="B420" s="48">
        <v>45616</v>
      </c>
      <c r="C420" s="39" t="s">
        <v>1640</v>
      </c>
      <c r="D420" s="41"/>
      <c r="E420" s="41">
        <v>25</v>
      </c>
      <c r="F420" s="41">
        <v>9</v>
      </c>
      <c r="G420" s="41"/>
      <c r="H420" s="64">
        <f>+D420+E420-F420+G420</f>
        <v>16</v>
      </c>
      <c r="I420" s="42">
        <v>295</v>
      </c>
      <c r="J420" s="42">
        <f>+I420*E420</f>
        <v>7375</v>
      </c>
      <c r="K420" s="42"/>
      <c r="L420" s="42"/>
      <c r="M420" s="43" t="s">
        <v>27</v>
      </c>
    </row>
    <row r="421" spans="1:13" s="44" customFormat="1" ht="30" customHeight="1" x14ac:dyDescent="0.25">
      <c r="A421" s="39" t="s">
        <v>1453</v>
      </c>
      <c r="B421" s="46">
        <v>45363</v>
      </c>
      <c r="C421" s="82" t="s">
        <v>1463</v>
      </c>
      <c r="D421" s="83">
        <v>10</v>
      </c>
      <c r="E421" s="84"/>
      <c r="F421" s="84">
        <f>1+4+4</f>
        <v>9</v>
      </c>
      <c r="G421" s="84"/>
      <c r="H421" s="64">
        <f>+D421+E421-F421+G421</f>
        <v>1</v>
      </c>
      <c r="I421" s="85"/>
      <c r="J421" s="42">
        <f t="shared" ref="J421:J432" si="12">+H421*I421</f>
        <v>0</v>
      </c>
      <c r="K421" s="85">
        <v>682</v>
      </c>
      <c r="L421" s="85">
        <f>+H421*K421</f>
        <v>682</v>
      </c>
      <c r="M421" s="86"/>
    </row>
    <row r="422" spans="1:13" s="44" customFormat="1" ht="30" customHeight="1" x14ac:dyDescent="0.25">
      <c r="A422" s="39" t="s">
        <v>994</v>
      </c>
      <c r="B422" s="40" t="s">
        <v>273</v>
      </c>
      <c r="C422" s="39" t="s">
        <v>1615</v>
      </c>
      <c r="D422" s="41">
        <f>35-1</f>
        <v>34</v>
      </c>
      <c r="E422" s="41"/>
      <c r="F422" s="41">
        <f>3+1+1+1+2+1+1+2+1+1+1+1+1</f>
        <v>17</v>
      </c>
      <c r="G422" s="41"/>
      <c r="H422" s="41">
        <f>+D422+E422+-F422</f>
        <v>17</v>
      </c>
      <c r="I422" s="42">
        <v>70</v>
      </c>
      <c r="J422" s="42">
        <f t="shared" si="12"/>
        <v>1190</v>
      </c>
      <c r="K422" s="42"/>
      <c r="L422" s="42"/>
      <c r="M422" s="43" t="s">
        <v>313</v>
      </c>
    </row>
    <row r="423" spans="1:13" s="44" customFormat="1" ht="30" customHeight="1" x14ac:dyDescent="0.25">
      <c r="A423" s="39" t="s">
        <v>995</v>
      </c>
      <c r="B423" s="40" t="s">
        <v>273</v>
      </c>
      <c r="C423" s="39" t="s">
        <v>1693</v>
      </c>
      <c r="D423" s="41">
        <v>35</v>
      </c>
      <c r="E423" s="41"/>
      <c r="F423" s="41">
        <f>1+1+1</f>
        <v>3</v>
      </c>
      <c r="G423" s="41"/>
      <c r="H423" s="41">
        <f>+D423+E423+-F423</f>
        <v>32</v>
      </c>
      <c r="I423" s="42">
        <v>4.5199999999999996</v>
      </c>
      <c r="J423" s="42">
        <f t="shared" si="12"/>
        <v>144.63999999999999</v>
      </c>
      <c r="K423" s="42"/>
      <c r="L423" s="42"/>
      <c r="M423" s="43" t="s">
        <v>313</v>
      </c>
    </row>
    <row r="424" spans="1:13" s="44" customFormat="1" ht="30" customHeight="1" x14ac:dyDescent="0.25">
      <c r="A424" s="39" t="s">
        <v>996</v>
      </c>
      <c r="B424" s="40"/>
      <c r="C424" s="39" t="s">
        <v>378</v>
      </c>
      <c r="D424" s="41">
        <v>25</v>
      </c>
      <c r="E424" s="41"/>
      <c r="F424" s="41"/>
      <c r="G424" s="41"/>
      <c r="H424" s="41">
        <f>+D424+E424+-F424</f>
        <v>25</v>
      </c>
      <c r="I424" s="42"/>
      <c r="J424" s="42">
        <f t="shared" si="12"/>
        <v>0</v>
      </c>
      <c r="K424" s="42"/>
      <c r="L424" s="42"/>
      <c r="M424" s="43" t="s">
        <v>313</v>
      </c>
    </row>
    <row r="425" spans="1:13" s="44" customFormat="1" ht="30" customHeight="1" x14ac:dyDescent="0.25">
      <c r="A425" s="39" t="s">
        <v>1712</v>
      </c>
      <c r="B425" s="48" t="s">
        <v>1600</v>
      </c>
      <c r="C425" s="39" t="s">
        <v>1713</v>
      </c>
      <c r="D425" s="41"/>
      <c r="E425" s="41">
        <v>150</v>
      </c>
      <c r="F425" s="41">
        <f>12+4</f>
        <v>16</v>
      </c>
      <c r="G425" s="41"/>
      <c r="H425" s="41">
        <f>+D425+E425+-F425</f>
        <v>134</v>
      </c>
      <c r="I425" s="42">
        <v>133</v>
      </c>
      <c r="J425" s="54">
        <f t="shared" si="12"/>
        <v>17822</v>
      </c>
      <c r="K425" s="54"/>
      <c r="L425" s="54"/>
      <c r="M425" s="43" t="s">
        <v>248</v>
      </c>
    </row>
    <row r="426" spans="1:13" s="44" customFormat="1" ht="30" customHeight="1" x14ac:dyDescent="0.25">
      <c r="A426" s="39" t="s">
        <v>887</v>
      </c>
      <c r="B426" s="48" t="s">
        <v>1600</v>
      </c>
      <c r="C426" s="39" t="s">
        <v>1715</v>
      </c>
      <c r="D426" s="41">
        <v>88</v>
      </c>
      <c r="E426" s="41"/>
      <c r="F426" s="41">
        <f>1+2+1+1+3+1+2+1+1+3+35+1+1+1</f>
        <v>54</v>
      </c>
      <c r="G426" s="41"/>
      <c r="H426" s="41">
        <f>+D426+E426+-F426</f>
        <v>34</v>
      </c>
      <c r="I426" s="42">
        <v>133</v>
      </c>
      <c r="J426" s="42">
        <f t="shared" si="12"/>
        <v>4522</v>
      </c>
      <c r="K426" s="42"/>
      <c r="L426" s="42"/>
      <c r="M426" s="43" t="s">
        <v>248</v>
      </c>
    </row>
    <row r="427" spans="1:13" s="44" customFormat="1" ht="30" customHeight="1" x14ac:dyDescent="0.25">
      <c r="A427" s="39" t="s">
        <v>1420</v>
      </c>
      <c r="B427" s="46">
        <v>45631</v>
      </c>
      <c r="C427" s="47" t="s">
        <v>1447</v>
      </c>
      <c r="D427" s="56">
        <v>4</v>
      </c>
      <c r="E427" s="41"/>
      <c r="F427" s="41">
        <v>4</v>
      </c>
      <c r="G427" s="41"/>
      <c r="H427" s="41">
        <f>+D427+E427-F427+G427</f>
        <v>0</v>
      </c>
      <c r="I427" s="55">
        <v>348.1</v>
      </c>
      <c r="J427" s="42">
        <f t="shared" si="12"/>
        <v>0</v>
      </c>
      <c r="K427" s="55"/>
      <c r="L427" s="55"/>
      <c r="M427" s="43" t="s">
        <v>1605</v>
      </c>
    </row>
    <row r="428" spans="1:13" s="44" customFormat="1" ht="30" customHeight="1" x14ac:dyDescent="0.25">
      <c r="A428" s="39" t="s">
        <v>740</v>
      </c>
      <c r="B428" s="40"/>
      <c r="C428" s="39" t="s">
        <v>1683</v>
      </c>
      <c r="D428" s="41">
        <v>46</v>
      </c>
      <c r="E428" s="41"/>
      <c r="F428" s="41">
        <f>5+3+1</f>
        <v>9</v>
      </c>
      <c r="G428" s="41"/>
      <c r="H428" s="41">
        <f>+D428+E428-F428</f>
        <v>37</v>
      </c>
      <c r="I428" s="42">
        <v>142</v>
      </c>
      <c r="J428" s="42">
        <f t="shared" si="12"/>
        <v>5254</v>
      </c>
      <c r="K428" s="42"/>
      <c r="L428" s="42"/>
      <c r="M428" s="43" t="s">
        <v>147</v>
      </c>
    </row>
    <row r="429" spans="1:13" s="44" customFormat="1" ht="30" customHeight="1" x14ac:dyDescent="0.25">
      <c r="A429" s="39" t="s">
        <v>742</v>
      </c>
      <c r="B429" s="40"/>
      <c r="C429" s="39" t="s">
        <v>1272</v>
      </c>
      <c r="D429" s="41">
        <v>3</v>
      </c>
      <c r="E429" s="41"/>
      <c r="F429" s="41"/>
      <c r="G429" s="41"/>
      <c r="H429" s="41">
        <f>+D429+E429-F429</f>
        <v>3</v>
      </c>
      <c r="I429" s="42">
        <v>130</v>
      </c>
      <c r="J429" s="42">
        <f t="shared" si="12"/>
        <v>390</v>
      </c>
      <c r="K429" s="42"/>
      <c r="L429" s="42"/>
      <c r="M429" s="43" t="s">
        <v>147</v>
      </c>
    </row>
    <row r="430" spans="1:13" s="44" customFormat="1" ht="30" customHeight="1" x14ac:dyDescent="0.25">
      <c r="A430" s="39" t="s">
        <v>1350</v>
      </c>
      <c r="B430" s="46">
        <v>45623</v>
      </c>
      <c r="C430" s="47" t="s">
        <v>1684</v>
      </c>
      <c r="D430" s="39"/>
      <c r="E430" s="41">
        <v>20</v>
      </c>
      <c r="F430" s="41">
        <v>1</v>
      </c>
      <c r="G430" s="41"/>
      <c r="H430" s="41">
        <f>+D430+E430-F430+G430</f>
        <v>19</v>
      </c>
      <c r="I430" s="42">
        <v>95.13</v>
      </c>
      <c r="J430" s="42">
        <f t="shared" si="12"/>
        <v>1807.4699999999998</v>
      </c>
      <c r="K430" s="42"/>
      <c r="L430" s="42"/>
      <c r="M430" s="43" t="s">
        <v>1365</v>
      </c>
    </row>
    <row r="431" spans="1:13" s="44" customFormat="1" ht="30" customHeight="1" x14ac:dyDescent="0.25">
      <c r="A431" s="39" t="s">
        <v>989</v>
      </c>
      <c r="B431" s="40"/>
      <c r="C431" s="39" t="s">
        <v>373</v>
      </c>
      <c r="D431" s="41">
        <v>2</v>
      </c>
      <c r="E431" s="41"/>
      <c r="F431" s="41"/>
      <c r="G431" s="41"/>
      <c r="H431" s="41">
        <f>+D431+E431+-F431</f>
        <v>2</v>
      </c>
      <c r="I431" s="42"/>
      <c r="J431" s="42">
        <f t="shared" si="12"/>
        <v>0</v>
      </c>
      <c r="K431" s="42"/>
      <c r="L431" s="42"/>
      <c r="M431" s="43" t="s">
        <v>313</v>
      </c>
    </row>
    <row r="432" spans="1:13" s="44" customFormat="1" ht="30" customHeight="1" x14ac:dyDescent="0.25">
      <c r="A432" s="39" t="s">
        <v>997</v>
      </c>
      <c r="B432" s="40" t="s">
        <v>6</v>
      </c>
      <c r="C432" s="39" t="s">
        <v>379</v>
      </c>
      <c r="D432" s="41">
        <v>25</v>
      </c>
      <c r="E432" s="41"/>
      <c r="F432" s="41">
        <f>1+2+5+1+3+5+2+4</f>
        <v>23</v>
      </c>
      <c r="G432" s="41"/>
      <c r="H432" s="41">
        <f>+D432+E432+-F432</f>
        <v>2</v>
      </c>
      <c r="I432" s="42">
        <v>23.68</v>
      </c>
      <c r="J432" s="42">
        <f t="shared" si="12"/>
        <v>47.36</v>
      </c>
      <c r="K432" s="42"/>
      <c r="L432" s="42"/>
      <c r="M432" s="43" t="s">
        <v>313</v>
      </c>
    </row>
    <row r="433" spans="1:13" s="44" customFormat="1" ht="30" customHeight="1" x14ac:dyDescent="0.25">
      <c r="A433" s="39" t="s">
        <v>1408</v>
      </c>
      <c r="B433" s="72">
        <v>45575</v>
      </c>
      <c r="C433" s="73" t="s">
        <v>1429</v>
      </c>
      <c r="D433" s="87">
        <v>10000</v>
      </c>
      <c r="E433" s="64"/>
      <c r="F433" s="64">
        <f>1600+1600</f>
        <v>3200</v>
      </c>
      <c r="G433" s="64"/>
      <c r="H433" s="64">
        <f>+D433+E433-F433+G433</f>
        <v>6800</v>
      </c>
      <c r="I433" s="66"/>
      <c r="J433" s="66"/>
      <c r="K433" s="66">
        <v>20</v>
      </c>
      <c r="L433" s="66">
        <f>+H433*K433</f>
        <v>136000</v>
      </c>
      <c r="M433" s="67"/>
    </row>
    <row r="434" spans="1:13" s="44" customFormat="1" ht="30" customHeight="1" x14ac:dyDescent="0.25">
      <c r="A434" s="39" t="s">
        <v>998</v>
      </c>
      <c r="B434" s="40" t="s">
        <v>273</v>
      </c>
      <c r="C434" s="39" t="s">
        <v>380</v>
      </c>
      <c r="D434" s="41">
        <f>16-1</f>
        <v>15</v>
      </c>
      <c r="E434" s="41"/>
      <c r="F434" s="41">
        <f>2+1+1</f>
        <v>4</v>
      </c>
      <c r="G434" s="41"/>
      <c r="H434" s="41">
        <f>+D434+E434+-F434</f>
        <v>11</v>
      </c>
      <c r="I434" s="42">
        <v>265.95</v>
      </c>
      <c r="J434" s="42">
        <f>+H434*I434</f>
        <v>2925.45</v>
      </c>
      <c r="K434" s="42"/>
      <c r="L434" s="42"/>
      <c r="M434" s="43" t="s">
        <v>313</v>
      </c>
    </row>
    <row r="435" spans="1:13" s="44" customFormat="1" ht="30" customHeight="1" x14ac:dyDescent="0.25">
      <c r="A435" s="39" t="s">
        <v>1341</v>
      </c>
      <c r="B435" s="46">
        <v>45623</v>
      </c>
      <c r="C435" s="47" t="s">
        <v>1345</v>
      </c>
      <c r="D435" s="39"/>
      <c r="E435" s="41">
        <v>20</v>
      </c>
      <c r="F435" s="41">
        <v>1</v>
      </c>
      <c r="G435" s="41"/>
      <c r="H435" s="41">
        <f>+D435+E435-F435+G435</f>
        <v>19</v>
      </c>
      <c r="I435" s="42">
        <v>38</v>
      </c>
      <c r="J435" s="42">
        <f>+H435*I435</f>
        <v>722</v>
      </c>
      <c r="K435" s="42"/>
      <c r="L435" s="42"/>
      <c r="M435" s="43" t="s">
        <v>1238</v>
      </c>
    </row>
    <row r="436" spans="1:13" s="44" customFormat="1" ht="30" customHeight="1" x14ac:dyDescent="0.25">
      <c r="A436" s="39" t="s">
        <v>1352</v>
      </c>
      <c r="B436" s="46">
        <v>45623</v>
      </c>
      <c r="C436" s="47" t="s">
        <v>1348</v>
      </c>
      <c r="D436" s="39"/>
      <c r="E436" s="41">
        <v>40</v>
      </c>
      <c r="F436" s="41">
        <v>4</v>
      </c>
      <c r="G436" s="41"/>
      <c r="H436" s="41">
        <f>+D436+E436-F436+G436</f>
        <v>36</v>
      </c>
      <c r="I436" s="42">
        <v>42.72</v>
      </c>
      <c r="J436" s="42">
        <f>+H436*I436</f>
        <v>1537.92</v>
      </c>
      <c r="K436" s="42"/>
      <c r="L436" s="42"/>
      <c r="M436" s="43" t="s">
        <v>1238</v>
      </c>
    </row>
    <row r="437" spans="1:13" s="44" customFormat="1" ht="30" customHeight="1" x14ac:dyDescent="0.25">
      <c r="A437" s="39" t="s">
        <v>1349</v>
      </c>
      <c r="B437" s="46">
        <v>45623</v>
      </c>
      <c r="C437" s="47" t="s">
        <v>1346</v>
      </c>
      <c r="D437" s="39"/>
      <c r="E437" s="41">
        <v>40</v>
      </c>
      <c r="F437" s="41">
        <v>2</v>
      </c>
      <c r="G437" s="41"/>
      <c r="H437" s="41">
        <f>+D437+E437-F437+G437</f>
        <v>38</v>
      </c>
      <c r="I437" s="42">
        <v>94.64</v>
      </c>
      <c r="J437" s="42">
        <f>+H437*I437</f>
        <v>3596.32</v>
      </c>
      <c r="K437" s="42"/>
      <c r="L437" s="42"/>
      <c r="M437" s="43" t="s">
        <v>1238</v>
      </c>
    </row>
    <row r="438" spans="1:13" s="44" customFormat="1" ht="30" customHeight="1" x14ac:dyDescent="0.25">
      <c r="A438" s="39" t="s">
        <v>1340</v>
      </c>
      <c r="B438" s="46">
        <v>45623</v>
      </c>
      <c r="C438" s="47" t="s">
        <v>1344</v>
      </c>
      <c r="D438" s="39"/>
      <c r="E438" s="41">
        <v>20</v>
      </c>
      <c r="F438" s="41"/>
      <c r="G438" s="41"/>
      <c r="H438" s="41">
        <f>+D438+E438-F438+G438</f>
        <v>20</v>
      </c>
      <c r="I438" s="42">
        <v>33.630000000000003</v>
      </c>
      <c r="J438" s="42">
        <f>+H438*I438</f>
        <v>672.6</v>
      </c>
      <c r="K438" s="42"/>
      <c r="L438" s="42"/>
      <c r="M438" s="43" t="s">
        <v>1238</v>
      </c>
    </row>
    <row r="439" spans="1:13" s="44" customFormat="1" ht="30" customHeight="1" x14ac:dyDescent="0.25">
      <c r="A439" s="39" t="s">
        <v>704</v>
      </c>
      <c r="B439" s="77">
        <v>45597</v>
      </c>
      <c r="C439" s="39" t="s">
        <v>126</v>
      </c>
      <c r="D439" s="41">
        <v>7</v>
      </c>
      <c r="E439" s="41"/>
      <c r="F439" s="41">
        <v>2</v>
      </c>
      <c r="G439" s="41">
        <v>10</v>
      </c>
      <c r="H439" s="41">
        <f>+D439+E439-F439+G439</f>
        <v>15</v>
      </c>
      <c r="I439" s="42">
        <v>46</v>
      </c>
      <c r="J439" s="42">
        <f>+D439*I439</f>
        <v>322</v>
      </c>
      <c r="K439" s="42">
        <v>46</v>
      </c>
      <c r="L439" s="42">
        <f>+K439*G439</f>
        <v>460</v>
      </c>
      <c r="M439" s="43" t="s">
        <v>115</v>
      </c>
    </row>
    <row r="440" spans="1:13" s="44" customFormat="1" ht="30" customHeight="1" x14ac:dyDescent="0.25">
      <c r="A440" s="39" t="s">
        <v>1351</v>
      </c>
      <c r="B440" s="46">
        <v>45623</v>
      </c>
      <c r="C440" s="47" t="s">
        <v>1347</v>
      </c>
      <c r="D440" s="39"/>
      <c r="E440" s="41">
        <v>20</v>
      </c>
      <c r="F440" s="41"/>
      <c r="G440" s="41"/>
      <c r="H440" s="41">
        <f>+D440+E440-F440+G440</f>
        <v>20</v>
      </c>
      <c r="I440" s="42">
        <v>25.08</v>
      </c>
      <c r="J440" s="42">
        <f>+H440*I440</f>
        <v>501.59999999999997</v>
      </c>
      <c r="K440" s="42"/>
      <c r="L440" s="42"/>
      <c r="M440" s="43" t="s">
        <v>1238</v>
      </c>
    </row>
    <row r="441" spans="1:13" s="44" customFormat="1" ht="30" customHeight="1" x14ac:dyDescent="0.25">
      <c r="A441" s="39" t="s">
        <v>1249</v>
      </c>
      <c r="B441" s="77">
        <v>45597</v>
      </c>
      <c r="C441" s="63" t="s">
        <v>1236</v>
      </c>
      <c r="D441" s="64">
        <v>10</v>
      </c>
      <c r="E441" s="64"/>
      <c r="F441" s="64"/>
      <c r="G441" s="64"/>
      <c r="H441" s="64">
        <f>+D441+E441-F441</f>
        <v>10</v>
      </c>
      <c r="I441" s="66"/>
      <c r="J441" s="66"/>
      <c r="K441" s="66">
        <v>72</v>
      </c>
      <c r="L441" s="66">
        <f>+H441*K441</f>
        <v>720</v>
      </c>
      <c r="M441" s="67" t="s">
        <v>115</v>
      </c>
    </row>
    <row r="442" spans="1:13" s="44" customFormat="1" ht="30" customHeight="1" x14ac:dyDescent="0.25">
      <c r="A442" s="39" t="s">
        <v>1250</v>
      </c>
      <c r="B442" s="77">
        <v>45597</v>
      </c>
      <c r="C442" s="63" t="s">
        <v>1237</v>
      </c>
      <c r="D442" s="64">
        <v>10</v>
      </c>
      <c r="E442" s="64">
        <v>17</v>
      </c>
      <c r="F442" s="64"/>
      <c r="G442" s="64"/>
      <c r="H442" s="64">
        <f>+D442+E442-F442</f>
        <v>27</v>
      </c>
      <c r="I442" s="66"/>
      <c r="J442" s="66"/>
      <c r="K442" s="66">
        <v>48</v>
      </c>
      <c r="L442" s="66">
        <f>+H442*K442</f>
        <v>1296</v>
      </c>
      <c r="M442" s="67" t="s">
        <v>115</v>
      </c>
    </row>
    <row r="443" spans="1:13" s="44" customFormat="1" ht="30" customHeight="1" x14ac:dyDescent="0.25">
      <c r="A443" s="39" t="s">
        <v>1497</v>
      </c>
      <c r="B443" s="50">
        <v>45631</v>
      </c>
      <c r="C443" s="51" t="s">
        <v>1484</v>
      </c>
      <c r="D443" s="52"/>
      <c r="E443" s="53">
        <v>5</v>
      </c>
      <c r="F443" s="53"/>
      <c r="G443" s="53"/>
      <c r="H443" s="41">
        <f>+D443+E443-F443+G443</f>
        <v>5</v>
      </c>
      <c r="I443" s="54">
        <v>188.8</v>
      </c>
      <c r="J443" s="55">
        <f t="shared" ref="J443:J451" si="13">+H443*I443</f>
        <v>944</v>
      </c>
      <c r="K443" s="54"/>
      <c r="L443" s="54"/>
      <c r="M443" s="60" t="s">
        <v>1372</v>
      </c>
    </row>
    <row r="444" spans="1:13" s="44" customFormat="1" ht="30" customHeight="1" x14ac:dyDescent="0.25">
      <c r="A444" s="39" t="s">
        <v>888</v>
      </c>
      <c r="B444" s="40"/>
      <c r="C444" s="39" t="s">
        <v>283</v>
      </c>
      <c r="D444" s="41">
        <f>24-1-1-1</f>
        <v>21</v>
      </c>
      <c r="E444" s="41"/>
      <c r="F444" s="41">
        <f>19+2</f>
        <v>21</v>
      </c>
      <c r="G444" s="41"/>
      <c r="H444" s="41">
        <f>+D444+E444+-F444</f>
        <v>0</v>
      </c>
      <c r="I444" s="42">
        <v>155</v>
      </c>
      <c r="J444" s="42">
        <f t="shared" si="13"/>
        <v>0</v>
      </c>
      <c r="K444" s="42"/>
      <c r="L444" s="42"/>
      <c r="M444" s="43" t="s">
        <v>248</v>
      </c>
    </row>
    <row r="445" spans="1:13" s="44" customFormat="1" ht="30" customHeight="1" x14ac:dyDescent="0.25">
      <c r="A445" s="39" t="s">
        <v>790</v>
      </c>
      <c r="B445" s="40"/>
      <c r="C445" s="45" t="s">
        <v>190</v>
      </c>
      <c r="D445" s="41">
        <v>8</v>
      </c>
      <c r="E445" s="41"/>
      <c r="F445" s="41">
        <v>1</v>
      </c>
      <c r="G445" s="41"/>
      <c r="H445" s="41">
        <f>+D445+E445+-F445</f>
        <v>7</v>
      </c>
      <c r="I445" s="42">
        <v>407</v>
      </c>
      <c r="J445" s="42">
        <f t="shared" si="13"/>
        <v>2849</v>
      </c>
      <c r="K445" s="42"/>
      <c r="L445" s="42"/>
      <c r="M445" s="43" t="s">
        <v>169</v>
      </c>
    </row>
    <row r="446" spans="1:13" s="44" customFormat="1" ht="30" customHeight="1" x14ac:dyDescent="0.25">
      <c r="A446" s="39" t="s">
        <v>1603</v>
      </c>
      <c r="B446" s="50" t="s">
        <v>1594</v>
      </c>
      <c r="C446" s="51" t="s">
        <v>1595</v>
      </c>
      <c r="D446" s="52"/>
      <c r="E446" s="53">
        <f>25*6</f>
        <v>150</v>
      </c>
      <c r="F446" s="53">
        <f>4+1+3+4+3+1</f>
        <v>16</v>
      </c>
      <c r="G446" s="53"/>
      <c r="H446" s="41">
        <f>+D446+E446-F446+G446</f>
        <v>134</v>
      </c>
      <c r="I446" s="54">
        <v>1480.9</v>
      </c>
      <c r="J446" s="55">
        <f t="shared" si="13"/>
        <v>198440.6</v>
      </c>
      <c r="K446" s="54"/>
      <c r="L446" s="54"/>
      <c r="M446" s="43" t="s">
        <v>248</v>
      </c>
    </row>
    <row r="447" spans="1:13" s="44" customFormat="1" ht="30" customHeight="1" x14ac:dyDescent="0.25">
      <c r="A447" s="39" t="s">
        <v>741</v>
      </c>
      <c r="B447" s="40"/>
      <c r="C447" s="39" t="s">
        <v>153</v>
      </c>
      <c r="D447" s="41">
        <v>2</v>
      </c>
      <c r="E447" s="41"/>
      <c r="F447" s="41">
        <v>2</v>
      </c>
      <c r="G447" s="41"/>
      <c r="H447" s="41">
        <f>+D447+E447-F447</f>
        <v>0</v>
      </c>
      <c r="I447" s="42"/>
      <c r="J447" s="42">
        <f t="shared" si="13"/>
        <v>0</v>
      </c>
      <c r="K447" s="42"/>
      <c r="L447" s="42"/>
      <c r="M447" s="43" t="s">
        <v>248</v>
      </c>
    </row>
    <row r="448" spans="1:13" s="44" customFormat="1" ht="30" customHeight="1" x14ac:dyDescent="0.25">
      <c r="A448" s="39" t="s">
        <v>1364</v>
      </c>
      <c r="B448" s="46">
        <v>45623</v>
      </c>
      <c r="C448" s="46" t="s">
        <v>1369</v>
      </c>
      <c r="D448" s="39"/>
      <c r="E448" s="41">
        <v>2</v>
      </c>
      <c r="F448" s="41"/>
      <c r="G448" s="41"/>
      <c r="H448" s="41">
        <f>+D448+E448-F448+G448</f>
        <v>2</v>
      </c>
      <c r="I448" s="42">
        <v>3144.77</v>
      </c>
      <c r="J448" s="42">
        <f t="shared" si="13"/>
        <v>6289.54</v>
      </c>
      <c r="K448" s="42"/>
      <c r="L448" s="42"/>
      <c r="M448" s="43" t="s">
        <v>1358</v>
      </c>
    </row>
    <row r="449" spans="1:13" s="44" customFormat="1" ht="30" customHeight="1" x14ac:dyDescent="0.25">
      <c r="A449" s="39" t="s">
        <v>999</v>
      </c>
      <c r="B449" s="40" t="s">
        <v>6</v>
      </c>
      <c r="C449" s="39" t="s">
        <v>381</v>
      </c>
      <c r="D449" s="41">
        <v>24</v>
      </c>
      <c r="E449" s="41"/>
      <c r="F449" s="41">
        <f>2+3+2</f>
        <v>7</v>
      </c>
      <c r="G449" s="41"/>
      <c r="H449" s="41">
        <f>+D449+E449+-F449</f>
        <v>17</v>
      </c>
      <c r="I449" s="42">
        <v>167.79</v>
      </c>
      <c r="J449" s="42">
        <f t="shared" si="13"/>
        <v>2852.43</v>
      </c>
      <c r="K449" s="42"/>
      <c r="L449" s="42"/>
      <c r="M449" s="43" t="s">
        <v>313</v>
      </c>
    </row>
    <row r="450" spans="1:13" s="44" customFormat="1" ht="30" customHeight="1" x14ac:dyDescent="0.25">
      <c r="A450" s="39" t="s">
        <v>791</v>
      </c>
      <c r="B450" s="40"/>
      <c r="C450" s="39" t="s">
        <v>191</v>
      </c>
      <c r="D450" s="41">
        <f>3-1</f>
        <v>2</v>
      </c>
      <c r="E450" s="41"/>
      <c r="F450" s="41"/>
      <c r="G450" s="41"/>
      <c r="H450" s="41">
        <f>+D450+E450+-F450</f>
        <v>2</v>
      </c>
      <c r="I450" s="42">
        <v>845</v>
      </c>
      <c r="J450" s="42">
        <f t="shared" si="13"/>
        <v>1690</v>
      </c>
      <c r="K450" s="42"/>
      <c r="L450" s="42"/>
      <c r="M450" s="43" t="s">
        <v>169</v>
      </c>
    </row>
    <row r="451" spans="1:13" s="44" customFormat="1" ht="30" customHeight="1" x14ac:dyDescent="0.25">
      <c r="A451" s="39" t="s">
        <v>792</v>
      </c>
      <c r="B451" s="40"/>
      <c r="C451" s="39" t="s">
        <v>192</v>
      </c>
      <c r="D451" s="41">
        <v>2</v>
      </c>
      <c r="E451" s="41"/>
      <c r="F451" s="41"/>
      <c r="G451" s="41"/>
      <c r="H451" s="41">
        <f>+D451+E451+-F451</f>
        <v>2</v>
      </c>
      <c r="I451" s="42">
        <v>1107</v>
      </c>
      <c r="J451" s="42">
        <f t="shared" si="13"/>
        <v>2214</v>
      </c>
      <c r="K451" s="42"/>
      <c r="L451" s="42"/>
      <c r="M451" s="43" t="s">
        <v>169</v>
      </c>
    </row>
    <row r="452" spans="1:13" s="44" customFormat="1" ht="30" customHeight="1" x14ac:dyDescent="0.25">
      <c r="A452" s="39" t="s">
        <v>1271</v>
      </c>
      <c r="B452" s="39"/>
      <c r="C452" s="47" t="s">
        <v>1343</v>
      </c>
      <c r="D452" s="39">
        <v>3</v>
      </c>
      <c r="E452" s="41">
        <v>26</v>
      </c>
      <c r="F452" s="41"/>
      <c r="G452" s="41"/>
      <c r="H452" s="64">
        <f>+D452+E452-F452+G452</f>
        <v>29</v>
      </c>
      <c r="I452" s="42">
        <v>375</v>
      </c>
      <c r="J452" s="42">
        <f>+I452*E452</f>
        <v>9750</v>
      </c>
      <c r="K452" s="42"/>
      <c r="L452" s="42"/>
      <c r="M452" s="43" t="s">
        <v>454</v>
      </c>
    </row>
    <row r="453" spans="1:13" s="44" customFormat="1" ht="30" customHeight="1" x14ac:dyDescent="0.25">
      <c r="A453" s="39" t="s">
        <v>1129</v>
      </c>
      <c r="B453" s="40" t="s">
        <v>254</v>
      </c>
      <c r="C453" s="45" t="s">
        <v>1275</v>
      </c>
      <c r="D453" s="41">
        <v>13</v>
      </c>
      <c r="E453" s="41"/>
      <c r="F453" s="41">
        <f>13-9+1</f>
        <v>5</v>
      </c>
      <c r="G453" s="41"/>
      <c r="H453" s="41">
        <f>+D453+E453+-F453</f>
        <v>8</v>
      </c>
      <c r="I453" s="42">
        <v>271.39999999999998</v>
      </c>
      <c r="J453" s="42">
        <f t="shared" ref="J453:J484" si="14">+H453*I453</f>
        <v>2171.1999999999998</v>
      </c>
      <c r="K453" s="42"/>
      <c r="L453" s="42"/>
      <c r="M453" s="43" t="s">
        <v>454</v>
      </c>
    </row>
    <row r="454" spans="1:13" s="44" customFormat="1" ht="30" customHeight="1" x14ac:dyDescent="0.25">
      <c r="A454" s="39" t="s">
        <v>1130</v>
      </c>
      <c r="B454" s="40" t="s">
        <v>254</v>
      </c>
      <c r="C454" s="45" t="s">
        <v>1220</v>
      </c>
      <c r="D454" s="41">
        <v>12</v>
      </c>
      <c r="E454" s="41"/>
      <c r="F454" s="41">
        <f>4+2+2+1+1+1-2+1</f>
        <v>10</v>
      </c>
      <c r="G454" s="41"/>
      <c r="H454" s="41">
        <f>+D454+E454+-F454</f>
        <v>2</v>
      </c>
      <c r="I454" s="42">
        <v>413</v>
      </c>
      <c r="J454" s="42">
        <f t="shared" si="14"/>
        <v>826</v>
      </c>
      <c r="K454" s="42"/>
      <c r="L454" s="42"/>
      <c r="M454" s="43" t="s">
        <v>454</v>
      </c>
    </row>
    <row r="455" spans="1:13" s="44" customFormat="1" ht="30" customHeight="1" x14ac:dyDescent="0.25">
      <c r="A455" s="39" t="s">
        <v>1131</v>
      </c>
      <c r="B455" s="40"/>
      <c r="C455" s="45" t="s">
        <v>485</v>
      </c>
      <c r="D455" s="41">
        <v>1</v>
      </c>
      <c r="E455" s="41"/>
      <c r="F455" s="41"/>
      <c r="G455" s="41"/>
      <c r="H455" s="41">
        <f>+D455+E455+-F455</f>
        <v>1</v>
      </c>
      <c r="I455" s="42">
        <v>286</v>
      </c>
      <c r="J455" s="42">
        <f t="shared" si="14"/>
        <v>286</v>
      </c>
      <c r="K455" s="42"/>
      <c r="L455" s="42"/>
      <c r="M455" s="43" t="s">
        <v>454</v>
      </c>
    </row>
    <row r="456" spans="1:13" s="44" customFormat="1" ht="30" customHeight="1" x14ac:dyDescent="0.25">
      <c r="A456" s="39" t="s">
        <v>1132</v>
      </c>
      <c r="B456" s="40"/>
      <c r="C456" s="39" t="s">
        <v>486</v>
      </c>
      <c r="D456" s="41">
        <v>4</v>
      </c>
      <c r="E456" s="41"/>
      <c r="F456" s="41">
        <v>4</v>
      </c>
      <c r="G456" s="41"/>
      <c r="H456" s="41">
        <f>+D456+E456-F456-G456</f>
        <v>0</v>
      </c>
      <c r="I456" s="42">
        <v>95</v>
      </c>
      <c r="J456" s="42">
        <f t="shared" si="14"/>
        <v>0</v>
      </c>
      <c r="K456" s="42"/>
      <c r="L456" s="42"/>
      <c r="M456" s="43" t="s">
        <v>454</v>
      </c>
    </row>
    <row r="457" spans="1:13" s="75" customFormat="1" ht="30" customHeight="1" x14ac:dyDescent="0.25">
      <c r="A457" s="39" t="s">
        <v>1133</v>
      </c>
      <c r="B457" s="48">
        <v>45499</v>
      </c>
      <c r="C457" s="39" t="s">
        <v>1304</v>
      </c>
      <c r="D457" s="41">
        <v>23</v>
      </c>
      <c r="E457" s="41"/>
      <c r="F457" s="41"/>
      <c r="G457" s="41"/>
      <c r="H457" s="41">
        <f>+D457+E457+-F457</f>
        <v>23</v>
      </c>
      <c r="I457" s="42">
        <v>271.39999999999998</v>
      </c>
      <c r="J457" s="42">
        <f t="shared" si="14"/>
        <v>6242.2</v>
      </c>
      <c r="K457" s="42"/>
      <c r="L457" s="42"/>
      <c r="M457" s="43" t="s">
        <v>454</v>
      </c>
    </row>
    <row r="458" spans="1:13" s="44" customFormat="1" ht="30" customHeight="1" x14ac:dyDescent="0.25">
      <c r="A458" s="39" t="s">
        <v>1134</v>
      </c>
      <c r="B458" s="48">
        <v>45499</v>
      </c>
      <c r="C458" s="39" t="s">
        <v>487</v>
      </c>
      <c r="D458" s="41">
        <v>4</v>
      </c>
      <c r="E458" s="41"/>
      <c r="F458" s="41"/>
      <c r="G458" s="41"/>
      <c r="H458" s="41">
        <f>+D458+E458+-F458</f>
        <v>4</v>
      </c>
      <c r="I458" s="42">
        <v>708</v>
      </c>
      <c r="J458" s="42">
        <f t="shared" si="14"/>
        <v>2832</v>
      </c>
      <c r="K458" s="42"/>
      <c r="L458" s="42"/>
      <c r="M458" s="43" t="s">
        <v>454</v>
      </c>
    </row>
    <row r="459" spans="1:13" s="44" customFormat="1" ht="30" customHeight="1" x14ac:dyDescent="0.25">
      <c r="A459" s="39" t="s">
        <v>1135</v>
      </c>
      <c r="B459" s="48">
        <v>45499</v>
      </c>
      <c r="C459" s="39" t="s">
        <v>488</v>
      </c>
      <c r="D459" s="41">
        <f>31-1</f>
        <v>30</v>
      </c>
      <c r="E459" s="41"/>
      <c r="F459" s="41">
        <f>2+3+6+2</f>
        <v>13</v>
      </c>
      <c r="G459" s="41"/>
      <c r="H459" s="41">
        <f>+D459+E459+-F459</f>
        <v>17</v>
      </c>
      <c r="I459" s="42">
        <v>59</v>
      </c>
      <c r="J459" s="42">
        <f t="shared" si="14"/>
        <v>1003</v>
      </c>
      <c r="K459" s="42"/>
      <c r="L459" s="42"/>
      <c r="M459" s="43" t="s">
        <v>454</v>
      </c>
    </row>
    <row r="460" spans="1:13" s="44" customFormat="1" ht="30" customHeight="1" x14ac:dyDescent="0.25">
      <c r="A460" s="39" t="s">
        <v>1136</v>
      </c>
      <c r="B460" s="49">
        <v>44193</v>
      </c>
      <c r="C460" s="39" t="s">
        <v>489</v>
      </c>
      <c r="D460" s="41">
        <v>1</v>
      </c>
      <c r="E460" s="41"/>
      <c r="F460" s="41">
        <v>0</v>
      </c>
      <c r="G460" s="41"/>
      <c r="H460" s="41">
        <f>+D460+E460+-F460</f>
        <v>1</v>
      </c>
      <c r="I460" s="42">
        <v>79.8</v>
      </c>
      <c r="J460" s="42">
        <f t="shared" si="14"/>
        <v>79.8</v>
      </c>
      <c r="K460" s="42"/>
      <c r="L460" s="42"/>
      <c r="M460" s="43" t="s">
        <v>454</v>
      </c>
    </row>
    <row r="461" spans="1:13" s="44" customFormat="1" ht="30" customHeight="1" x14ac:dyDescent="0.25">
      <c r="A461" s="39" t="s">
        <v>1137</v>
      </c>
      <c r="B461" s="59" t="s">
        <v>6</v>
      </c>
      <c r="C461" s="39" t="s">
        <v>490</v>
      </c>
      <c r="D461" s="41">
        <v>3</v>
      </c>
      <c r="E461" s="41"/>
      <c r="F461" s="41">
        <f>1+2</f>
        <v>3</v>
      </c>
      <c r="G461" s="41"/>
      <c r="H461" s="41">
        <f>+D461+E461+-F461</f>
        <v>0</v>
      </c>
      <c r="I461" s="42">
        <v>79.8</v>
      </c>
      <c r="J461" s="42">
        <f t="shared" si="14"/>
        <v>0</v>
      </c>
      <c r="K461" s="42"/>
      <c r="L461" s="42"/>
      <c r="M461" s="43" t="s">
        <v>454</v>
      </c>
    </row>
    <row r="462" spans="1:13" s="44" customFormat="1" ht="30" customHeight="1" x14ac:dyDescent="0.25">
      <c r="A462" s="39" t="s">
        <v>1138</v>
      </c>
      <c r="B462" s="49">
        <v>44193</v>
      </c>
      <c r="C462" s="39" t="s">
        <v>491</v>
      </c>
      <c r="D462" s="41">
        <v>20</v>
      </c>
      <c r="E462" s="41"/>
      <c r="F462" s="41">
        <f>1+6+5+1</f>
        <v>13</v>
      </c>
      <c r="G462" s="41"/>
      <c r="H462" s="41">
        <f>+D462+E462+-F462</f>
        <v>7</v>
      </c>
      <c r="I462" s="42">
        <v>94.4</v>
      </c>
      <c r="J462" s="42">
        <f t="shared" si="14"/>
        <v>660.80000000000007</v>
      </c>
      <c r="K462" s="42"/>
      <c r="L462" s="42"/>
      <c r="M462" s="43" t="s">
        <v>454</v>
      </c>
    </row>
    <row r="463" spans="1:13" s="44" customFormat="1" ht="30" customHeight="1" x14ac:dyDescent="0.25">
      <c r="A463" s="39" t="s">
        <v>1139</v>
      </c>
      <c r="B463" s="49">
        <v>44193</v>
      </c>
      <c r="C463" s="39" t="s">
        <v>492</v>
      </c>
      <c r="D463" s="41">
        <v>20</v>
      </c>
      <c r="E463" s="41"/>
      <c r="F463" s="41">
        <v>6</v>
      </c>
      <c r="G463" s="41"/>
      <c r="H463" s="41">
        <f>+D463+E463+-F463</f>
        <v>14</v>
      </c>
      <c r="I463" s="42">
        <v>52</v>
      </c>
      <c r="J463" s="42">
        <f t="shared" si="14"/>
        <v>728</v>
      </c>
      <c r="K463" s="42"/>
      <c r="L463" s="42"/>
      <c r="M463" s="43" t="s">
        <v>454</v>
      </c>
    </row>
    <row r="464" spans="1:13" s="44" customFormat="1" ht="30" customHeight="1" x14ac:dyDescent="0.25">
      <c r="A464" s="39" t="s">
        <v>1140</v>
      </c>
      <c r="B464" s="59">
        <v>45469</v>
      </c>
      <c r="C464" s="39" t="s">
        <v>493</v>
      </c>
      <c r="D464" s="41">
        <v>31</v>
      </c>
      <c r="E464" s="41"/>
      <c r="F464" s="41">
        <f>31-19</f>
        <v>12</v>
      </c>
      <c r="G464" s="41"/>
      <c r="H464" s="41">
        <f>+D464+E464+-F464</f>
        <v>19</v>
      </c>
      <c r="I464" s="42">
        <v>79.8</v>
      </c>
      <c r="J464" s="42">
        <f t="shared" si="14"/>
        <v>1516.2</v>
      </c>
      <c r="K464" s="42"/>
      <c r="L464" s="42"/>
      <c r="M464" s="43" t="s">
        <v>454</v>
      </c>
    </row>
    <row r="465" spans="1:13" s="44" customFormat="1" ht="30" customHeight="1" x14ac:dyDescent="0.25">
      <c r="A465" s="39" t="s">
        <v>1141</v>
      </c>
      <c r="B465" s="49" t="s">
        <v>6</v>
      </c>
      <c r="C465" s="45" t="s">
        <v>494</v>
      </c>
      <c r="D465" s="41">
        <v>10</v>
      </c>
      <c r="E465" s="41"/>
      <c r="F465" s="41"/>
      <c r="G465" s="41"/>
      <c r="H465" s="41">
        <f>+D465+E465+-F465</f>
        <v>10</v>
      </c>
      <c r="I465" s="42">
        <v>30</v>
      </c>
      <c r="J465" s="42">
        <f t="shared" si="14"/>
        <v>300</v>
      </c>
      <c r="K465" s="42"/>
      <c r="L465" s="42"/>
      <c r="M465" s="43" t="s">
        <v>454</v>
      </c>
    </row>
    <row r="466" spans="1:13" s="44" customFormat="1" ht="15.75" x14ac:dyDescent="0.25">
      <c r="A466" s="39" t="s">
        <v>1142</v>
      </c>
      <c r="B466" s="49" t="s">
        <v>6</v>
      </c>
      <c r="C466" s="45" t="s">
        <v>495</v>
      </c>
      <c r="D466" s="41">
        <v>3</v>
      </c>
      <c r="E466" s="41"/>
      <c r="F466" s="41"/>
      <c r="G466" s="41"/>
      <c r="H466" s="41">
        <f>+D466+E466+-F466</f>
        <v>3</v>
      </c>
      <c r="I466" s="42">
        <v>570</v>
      </c>
      <c r="J466" s="42">
        <f t="shared" si="14"/>
        <v>1710</v>
      </c>
      <c r="K466" s="42"/>
      <c r="L466" s="42"/>
      <c r="M466" s="43" t="s">
        <v>454</v>
      </c>
    </row>
    <row r="467" spans="1:13" s="44" customFormat="1" ht="30" customHeight="1" x14ac:dyDescent="0.25">
      <c r="A467" s="39" t="s">
        <v>1569</v>
      </c>
      <c r="B467" s="50" t="s">
        <v>1561</v>
      </c>
      <c r="C467" s="51" t="s">
        <v>1576</v>
      </c>
      <c r="D467" s="52"/>
      <c r="E467" s="53">
        <v>2</v>
      </c>
      <c r="F467" s="53"/>
      <c r="G467" s="53"/>
      <c r="H467" s="41">
        <f>+D467+E467-F467+G467</f>
        <v>2</v>
      </c>
      <c r="I467" s="79">
        <v>10041.245000000001</v>
      </c>
      <c r="J467" s="55">
        <f t="shared" si="14"/>
        <v>20082.490000000002</v>
      </c>
      <c r="K467" s="54"/>
      <c r="L467" s="54"/>
      <c r="M467" s="43" t="s">
        <v>454</v>
      </c>
    </row>
    <row r="468" spans="1:13" s="44" customFormat="1" ht="30" customHeight="1" x14ac:dyDescent="0.25">
      <c r="A468" s="39" t="s">
        <v>1501</v>
      </c>
      <c r="B468" s="50">
        <v>45631</v>
      </c>
      <c r="C468" s="51" t="s">
        <v>1488</v>
      </c>
      <c r="D468" s="52"/>
      <c r="E468" s="53">
        <v>2</v>
      </c>
      <c r="F468" s="53"/>
      <c r="G468" s="53"/>
      <c r="H468" s="41">
        <f>+D468+E468-F468+G468</f>
        <v>2</v>
      </c>
      <c r="I468" s="54">
        <v>315.06</v>
      </c>
      <c r="J468" s="55">
        <f t="shared" si="14"/>
        <v>630.12</v>
      </c>
      <c r="K468" s="54"/>
      <c r="L468" s="54"/>
      <c r="M468" s="60" t="s">
        <v>454</v>
      </c>
    </row>
    <row r="469" spans="1:13" s="44" customFormat="1" ht="30" customHeight="1" x14ac:dyDescent="0.25">
      <c r="A469" s="39" t="s">
        <v>1410</v>
      </c>
      <c r="B469" s="46">
        <v>45576</v>
      </c>
      <c r="C469" s="88" t="s">
        <v>1433</v>
      </c>
      <c r="D469" s="56">
        <v>3</v>
      </c>
      <c r="E469" s="41"/>
      <c r="F469" s="41"/>
      <c r="G469" s="41"/>
      <c r="H469" s="41">
        <f>+D469+E469-F469+G469</f>
        <v>3</v>
      </c>
      <c r="I469" s="42">
        <v>2060</v>
      </c>
      <c r="J469" s="42">
        <f t="shared" si="14"/>
        <v>6180</v>
      </c>
      <c r="K469" s="42"/>
      <c r="L469" s="42"/>
      <c r="M469" s="43" t="s">
        <v>115</v>
      </c>
    </row>
    <row r="470" spans="1:13" s="44" customFormat="1" ht="30" customHeight="1" x14ac:dyDescent="0.25">
      <c r="A470" s="39" t="s">
        <v>1383</v>
      </c>
      <c r="B470" s="46">
        <v>45623</v>
      </c>
      <c r="C470" s="46" t="s">
        <v>1373</v>
      </c>
      <c r="D470" s="39"/>
      <c r="E470" s="41">
        <v>4</v>
      </c>
      <c r="F470" s="41">
        <v>1</v>
      </c>
      <c r="G470" s="41"/>
      <c r="H470" s="41">
        <f>+D470+E470-F470+G470</f>
        <v>3</v>
      </c>
      <c r="I470" s="42">
        <v>3173.8</v>
      </c>
      <c r="J470" s="42">
        <f t="shared" si="14"/>
        <v>9521.4000000000015</v>
      </c>
      <c r="K470" s="42"/>
      <c r="L470" s="42"/>
      <c r="M470" s="43" t="s">
        <v>1358</v>
      </c>
    </row>
    <row r="471" spans="1:13" s="44" customFormat="1" ht="30" customHeight="1" x14ac:dyDescent="0.25">
      <c r="A471" s="39" t="s">
        <v>793</v>
      </c>
      <c r="B471" s="48">
        <v>45414</v>
      </c>
      <c r="C471" s="39" t="s">
        <v>193</v>
      </c>
      <c r="D471" s="41">
        <f>14-1-2-1</f>
        <v>10</v>
      </c>
      <c r="E471" s="41"/>
      <c r="F471" s="41">
        <f>8+2</f>
        <v>10</v>
      </c>
      <c r="G471" s="41"/>
      <c r="H471" s="41">
        <f>+D471+E471+-F471</f>
        <v>0</v>
      </c>
      <c r="I471" s="42">
        <v>333.76</v>
      </c>
      <c r="J471" s="42">
        <f t="shared" si="14"/>
        <v>0</v>
      </c>
      <c r="K471" s="42"/>
      <c r="L471" s="42"/>
      <c r="M471" s="43" t="s">
        <v>169</v>
      </c>
    </row>
    <row r="472" spans="1:13" s="44" customFormat="1" ht="30" customHeight="1" x14ac:dyDescent="0.25">
      <c r="A472" s="39" t="s">
        <v>650</v>
      </c>
      <c r="B472" s="40"/>
      <c r="C472" s="45" t="s">
        <v>81</v>
      </c>
      <c r="D472" s="41">
        <v>17</v>
      </c>
      <c r="E472" s="41"/>
      <c r="F472" s="41"/>
      <c r="G472" s="41"/>
      <c r="H472" s="41">
        <f>+D472+E472-F472</f>
        <v>17</v>
      </c>
      <c r="I472" s="42">
        <v>611</v>
      </c>
      <c r="J472" s="42">
        <f t="shared" si="14"/>
        <v>10387</v>
      </c>
      <c r="K472" s="42"/>
      <c r="L472" s="42"/>
      <c r="M472" s="43" t="s">
        <v>27</v>
      </c>
    </row>
    <row r="473" spans="1:13" s="44" customFormat="1" ht="30" customHeight="1" x14ac:dyDescent="0.25">
      <c r="A473" s="39" t="s">
        <v>651</v>
      </c>
      <c r="B473" s="40" t="s">
        <v>82</v>
      </c>
      <c r="C473" s="45" t="s">
        <v>83</v>
      </c>
      <c r="D473" s="41">
        <v>3</v>
      </c>
      <c r="E473" s="41"/>
      <c r="F473" s="41">
        <v>1</v>
      </c>
      <c r="G473" s="41"/>
      <c r="H473" s="41">
        <f>+D473+E473-F473</f>
        <v>2</v>
      </c>
      <c r="I473" s="42">
        <v>5000</v>
      </c>
      <c r="J473" s="42">
        <f t="shared" si="14"/>
        <v>10000</v>
      </c>
      <c r="K473" s="42"/>
      <c r="L473" s="42"/>
      <c r="M473" s="43" t="s">
        <v>27</v>
      </c>
    </row>
    <row r="474" spans="1:13" s="44" customFormat="1" ht="30" customHeight="1" x14ac:dyDescent="0.25">
      <c r="A474" s="39" t="s">
        <v>652</v>
      </c>
      <c r="B474" s="40" t="s">
        <v>82</v>
      </c>
      <c r="C474" s="45" t="s">
        <v>84</v>
      </c>
      <c r="D474" s="41">
        <f>4+5</f>
        <v>9</v>
      </c>
      <c r="E474" s="41"/>
      <c r="F474" s="41"/>
      <c r="G474" s="41"/>
      <c r="H474" s="41">
        <f>+D474+E474-F474</f>
        <v>9</v>
      </c>
      <c r="I474" s="42">
        <v>10800</v>
      </c>
      <c r="J474" s="42">
        <f t="shared" si="14"/>
        <v>97200</v>
      </c>
      <c r="K474" s="42"/>
      <c r="L474" s="42"/>
      <c r="M474" s="43" t="s">
        <v>27</v>
      </c>
    </row>
    <row r="475" spans="1:13" s="44" customFormat="1" ht="30" customHeight="1" x14ac:dyDescent="0.25">
      <c r="A475" s="39" t="s">
        <v>653</v>
      </c>
      <c r="B475" s="40"/>
      <c r="C475" s="45" t="s">
        <v>85</v>
      </c>
      <c r="D475" s="41">
        <v>3</v>
      </c>
      <c r="E475" s="41"/>
      <c r="F475" s="41"/>
      <c r="G475" s="41"/>
      <c r="H475" s="41">
        <f>+D475+E475-F475</f>
        <v>3</v>
      </c>
      <c r="I475" s="42">
        <v>1495</v>
      </c>
      <c r="J475" s="42">
        <f t="shared" si="14"/>
        <v>4485</v>
      </c>
      <c r="K475" s="42"/>
      <c r="L475" s="42"/>
      <c r="M475" s="43" t="s">
        <v>27</v>
      </c>
    </row>
    <row r="476" spans="1:13" s="44" customFormat="1" ht="30" customHeight="1" x14ac:dyDescent="0.25">
      <c r="A476" s="39" t="s">
        <v>1411</v>
      </c>
      <c r="B476" s="46">
        <v>45631</v>
      </c>
      <c r="C476" s="47" t="s">
        <v>1434</v>
      </c>
      <c r="D476" s="56">
        <v>10</v>
      </c>
      <c r="E476" s="41"/>
      <c r="F476" s="41">
        <v>10</v>
      </c>
      <c r="G476" s="41"/>
      <c r="H476" s="41">
        <f>+D476+E476-F476+G476</f>
        <v>0</v>
      </c>
      <c r="I476" s="55">
        <v>348.1</v>
      </c>
      <c r="J476" s="42">
        <f t="shared" si="14"/>
        <v>0</v>
      </c>
      <c r="K476" s="42"/>
      <c r="L476" s="42"/>
      <c r="M476" s="43" t="s">
        <v>27</v>
      </c>
    </row>
    <row r="477" spans="1:13" s="44" customFormat="1" ht="30" customHeight="1" x14ac:dyDescent="0.25">
      <c r="A477" s="39" t="s">
        <v>889</v>
      </c>
      <c r="B477" s="40" t="s">
        <v>6</v>
      </c>
      <c r="C477" s="39" t="s">
        <v>284</v>
      </c>
      <c r="D477" s="41">
        <v>1</v>
      </c>
      <c r="E477" s="41"/>
      <c r="F477" s="41">
        <v>1</v>
      </c>
      <c r="G477" s="41"/>
      <c r="H477" s="41">
        <f>+D477+E477-F477</f>
        <v>0</v>
      </c>
      <c r="I477" s="42">
        <v>676</v>
      </c>
      <c r="J477" s="42">
        <f t="shared" si="14"/>
        <v>0</v>
      </c>
      <c r="K477" s="42"/>
      <c r="L477" s="42"/>
      <c r="M477" s="43" t="s">
        <v>248</v>
      </c>
    </row>
    <row r="478" spans="1:13" s="44" customFormat="1" ht="30" customHeight="1" x14ac:dyDescent="0.25">
      <c r="A478" s="39" t="s">
        <v>890</v>
      </c>
      <c r="B478" s="48">
        <v>45639</v>
      </c>
      <c r="C478" s="39" t="s">
        <v>1692</v>
      </c>
      <c r="D478" s="41">
        <v>0</v>
      </c>
      <c r="E478" s="41">
        <v>20</v>
      </c>
      <c r="F478" s="41">
        <f>3+1+3+1+1+1+1+2+2+1+3+1</f>
        <v>20</v>
      </c>
      <c r="G478" s="41"/>
      <c r="H478" s="41">
        <f>+D478+E478-F478</f>
        <v>0</v>
      </c>
      <c r="I478" s="42">
        <v>495.6</v>
      </c>
      <c r="J478" s="42">
        <f t="shared" si="14"/>
        <v>0</v>
      </c>
      <c r="K478" s="42"/>
      <c r="L478" s="42"/>
      <c r="M478" s="43" t="s">
        <v>248</v>
      </c>
    </row>
    <row r="479" spans="1:13" s="44" customFormat="1" ht="30" customHeight="1" x14ac:dyDescent="0.25">
      <c r="A479" s="39" t="s">
        <v>794</v>
      </c>
      <c r="B479" s="48">
        <v>45414</v>
      </c>
      <c r="C479" s="39" t="s">
        <v>194</v>
      </c>
      <c r="D479" s="41">
        <f>5-1</f>
        <v>4</v>
      </c>
      <c r="E479" s="41"/>
      <c r="F479" s="41">
        <f>2+1+1</f>
        <v>4</v>
      </c>
      <c r="G479" s="41"/>
      <c r="H479" s="41">
        <f>+D479+E479+-F479</f>
        <v>0</v>
      </c>
      <c r="I479" s="42">
        <v>546.66</v>
      </c>
      <c r="J479" s="42">
        <f t="shared" si="14"/>
        <v>0</v>
      </c>
      <c r="K479" s="42"/>
      <c r="L479" s="42"/>
      <c r="M479" s="43" t="s">
        <v>169</v>
      </c>
    </row>
    <row r="480" spans="1:13" s="44" customFormat="1" ht="30" customHeight="1" x14ac:dyDescent="0.25">
      <c r="A480" s="39" t="s">
        <v>1359</v>
      </c>
      <c r="B480" s="46">
        <v>45623</v>
      </c>
      <c r="C480" s="47" t="s">
        <v>1626</v>
      </c>
      <c r="D480" s="39"/>
      <c r="E480" s="41">
        <v>5</v>
      </c>
      <c r="F480" s="41">
        <v>1</v>
      </c>
      <c r="G480" s="41"/>
      <c r="H480" s="41">
        <f>+D480+E480-F480+G480</f>
        <v>4</v>
      </c>
      <c r="I480" s="42">
        <v>295</v>
      </c>
      <c r="J480" s="42">
        <f t="shared" si="14"/>
        <v>1180</v>
      </c>
      <c r="K480" s="42"/>
      <c r="L480" s="42"/>
      <c r="M480" s="43" t="s">
        <v>1358</v>
      </c>
    </row>
    <row r="481" spans="1:13" s="44" customFormat="1" ht="30" customHeight="1" x14ac:dyDescent="0.25">
      <c r="A481" s="39" t="s">
        <v>1460</v>
      </c>
      <c r="B481" s="50">
        <v>45628</v>
      </c>
      <c r="C481" s="51" t="s">
        <v>1726</v>
      </c>
      <c r="D481" s="52"/>
      <c r="E481" s="53">
        <v>10</v>
      </c>
      <c r="F481" s="53">
        <f>2+2</f>
        <v>4</v>
      </c>
      <c r="G481" s="53"/>
      <c r="H481" s="41">
        <f>+D481+E481-F481+G481</f>
        <v>6</v>
      </c>
      <c r="I481" s="54">
        <v>139.83000000000001</v>
      </c>
      <c r="J481" s="55">
        <f t="shared" si="14"/>
        <v>838.98</v>
      </c>
      <c r="K481" s="54"/>
      <c r="L481" s="54"/>
      <c r="M481" s="60" t="s">
        <v>1541</v>
      </c>
    </row>
    <row r="482" spans="1:13" s="44" customFormat="1" ht="30" customHeight="1" x14ac:dyDescent="0.25">
      <c r="A482" s="39" t="s">
        <v>1506</v>
      </c>
      <c r="B482" s="50">
        <v>45631</v>
      </c>
      <c r="C482" s="51" t="s">
        <v>1492</v>
      </c>
      <c r="D482" s="52"/>
      <c r="E482" s="53">
        <v>5</v>
      </c>
      <c r="F482" s="53">
        <v>1</v>
      </c>
      <c r="G482" s="53"/>
      <c r="H482" s="41">
        <f>+D482+E482-F482+G482</f>
        <v>4</v>
      </c>
      <c r="I482" s="54">
        <v>646.64</v>
      </c>
      <c r="J482" s="55">
        <f t="shared" si="14"/>
        <v>2586.56</v>
      </c>
      <c r="K482" s="54"/>
      <c r="L482" s="54"/>
      <c r="M482" s="60" t="s">
        <v>1372</v>
      </c>
    </row>
    <row r="483" spans="1:13" s="44" customFormat="1" ht="30" customHeight="1" x14ac:dyDescent="0.25">
      <c r="A483" s="39" t="s">
        <v>795</v>
      </c>
      <c r="B483" s="48">
        <v>45414</v>
      </c>
      <c r="C483" s="39" t="s">
        <v>195</v>
      </c>
      <c r="D483" s="41">
        <v>1</v>
      </c>
      <c r="E483" s="41"/>
      <c r="F483" s="41"/>
      <c r="G483" s="41"/>
      <c r="H483" s="41">
        <f>+D483+E483+-F483</f>
        <v>1</v>
      </c>
      <c r="I483" s="42">
        <v>10563.71</v>
      </c>
      <c r="J483" s="42">
        <f t="shared" si="14"/>
        <v>10563.71</v>
      </c>
      <c r="K483" s="42"/>
      <c r="L483" s="42"/>
      <c r="M483" s="43" t="s">
        <v>169</v>
      </c>
    </row>
    <row r="484" spans="1:13" s="44" customFormat="1" ht="30" customHeight="1" x14ac:dyDescent="0.25">
      <c r="A484" s="39" t="s">
        <v>1572</v>
      </c>
      <c r="B484" s="50" t="s">
        <v>1561</v>
      </c>
      <c r="C484" s="51" t="s">
        <v>1578</v>
      </c>
      <c r="D484" s="52"/>
      <c r="E484" s="53">
        <v>6</v>
      </c>
      <c r="F484" s="53">
        <v>6</v>
      </c>
      <c r="G484" s="53"/>
      <c r="H484" s="41">
        <f>+D484+E484-F484+G484</f>
        <v>0</v>
      </c>
      <c r="I484" s="54">
        <v>456.15260000000001</v>
      </c>
      <c r="J484" s="55">
        <f t="shared" si="14"/>
        <v>0</v>
      </c>
      <c r="K484" s="54"/>
      <c r="L484" s="54"/>
      <c r="M484" s="43" t="s">
        <v>555</v>
      </c>
    </row>
    <row r="485" spans="1:13" s="44" customFormat="1" ht="30" customHeight="1" x14ac:dyDescent="0.25">
      <c r="A485" s="39" t="s">
        <v>796</v>
      </c>
      <c r="B485" s="40"/>
      <c r="C485" s="39" t="s">
        <v>196</v>
      </c>
      <c r="D485" s="41">
        <v>500</v>
      </c>
      <c r="E485" s="41"/>
      <c r="F485" s="41"/>
      <c r="G485" s="41"/>
      <c r="H485" s="41">
        <v>7.48</v>
      </c>
      <c r="I485" s="42">
        <v>3738.24</v>
      </c>
      <c r="J485" s="42">
        <f t="shared" ref="J485:J516" si="15">+H485*I485</f>
        <v>27962.035199999998</v>
      </c>
      <c r="K485" s="42"/>
      <c r="L485" s="42"/>
      <c r="M485" s="43" t="s">
        <v>169</v>
      </c>
    </row>
    <row r="486" spans="1:13" s="44" customFormat="1" ht="30" customHeight="1" x14ac:dyDescent="0.25">
      <c r="A486" s="39" t="s">
        <v>1143</v>
      </c>
      <c r="B486" s="49" t="s">
        <v>6</v>
      </c>
      <c r="C486" s="39" t="s">
        <v>1305</v>
      </c>
      <c r="D486" s="41">
        <v>18</v>
      </c>
      <c r="E486" s="41"/>
      <c r="F486" s="41">
        <f>2+9</f>
        <v>11</v>
      </c>
      <c r="G486" s="41"/>
      <c r="H486" s="41">
        <f>+D486+E486+-F486</f>
        <v>7</v>
      </c>
      <c r="I486" s="42">
        <v>155</v>
      </c>
      <c r="J486" s="42">
        <f t="shared" si="15"/>
        <v>1085</v>
      </c>
      <c r="K486" s="42"/>
      <c r="L486" s="42"/>
      <c r="M486" s="43" t="s">
        <v>454</v>
      </c>
    </row>
    <row r="487" spans="1:13" s="44" customFormat="1" ht="30" customHeight="1" x14ac:dyDescent="0.25">
      <c r="A487" s="39" t="s">
        <v>1144</v>
      </c>
      <c r="B487" s="49" t="s">
        <v>6</v>
      </c>
      <c r="C487" s="39" t="s">
        <v>1306</v>
      </c>
      <c r="D487" s="41">
        <v>12</v>
      </c>
      <c r="E487" s="41"/>
      <c r="F487" s="41"/>
      <c r="G487" s="41"/>
      <c r="H487" s="41">
        <f>+D487+E487+-F487</f>
        <v>12</v>
      </c>
      <c r="I487" s="42">
        <v>155</v>
      </c>
      <c r="J487" s="42">
        <f t="shared" si="15"/>
        <v>1860</v>
      </c>
      <c r="K487" s="42"/>
      <c r="L487" s="42"/>
      <c r="M487" s="43" t="s">
        <v>454</v>
      </c>
    </row>
    <row r="488" spans="1:13" s="44" customFormat="1" ht="30" customHeight="1" x14ac:dyDescent="0.25">
      <c r="A488" s="39" t="s">
        <v>1145</v>
      </c>
      <c r="B488" s="40"/>
      <c r="C488" s="39" t="s">
        <v>496</v>
      </c>
      <c r="D488" s="41">
        <v>4</v>
      </c>
      <c r="E488" s="41"/>
      <c r="F488" s="41"/>
      <c r="G488" s="41"/>
      <c r="H488" s="41">
        <f>+D488+E488+-F488</f>
        <v>4</v>
      </c>
      <c r="I488" s="42">
        <v>1357</v>
      </c>
      <c r="J488" s="42">
        <f t="shared" si="15"/>
        <v>5428</v>
      </c>
      <c r="K488" s="42"/>
      <c r="L488" s="42"/>
      <c r="M488" s="43" t="s">
        <v>454</v>
      </c>
    </row>
    <row r="489" spans="1:13" s="44" customFormat="1" ht="30" customHeight="1" x14ac:dyDescent="0.25">
      <c r="A489" s="39" t="s">
        <v>654</v>
      </c>
      <c r="B489" s="48">
        <v>45499</v>
      </c>
      <c r="C489" s="45" t="s">
        <v>86</v>
      </c>
      <c r="D489" s="41">
        <v>100</v>
      </c>
      <c r="E489" s="41"/>
      <c r="F489" s="41"/>
      <c r="G489" s="41"/>
      <c r="H489" s="41">
        <f>+D489+E489-F489</f>
        <v>100</v>
      </c>
      <c r="I489" s="42">
        <v>23.6</v>
      </c>
      <c r="J489" s="42">
        <f t="shared" si="15"/>
        <v>2360</v>
      </c>
      <c r="K489" s="42"/>
      <c r="L489" s="42"/>
      <c r="M489" s="43" t="s">
        <v>27</v>
      </c>
    </row>
    <row r="490" spans="1:13" s="44" customFormat="1" ht="30" customHeight="1" x14ac:dyDescent="0.25">
      <c r="A490" s="39" t="s">
        <v>891</v>
      </c>
      <c r="B490" s="40" t="s">
        <v>254</v>
      </c>
      <c r="C490" s="39" t="s">
        <v>285</v>
      </c>
      <c r="D490" s="41">
        <f>14-1</f>
        <v>13</v>
      </c>
      <c r="E490" s="41"/>
      <c r="F490" s="41">
        <f>1+1</f>
        <v>2</v>
      </c>
      <c r="G490" s="41"/>
      <c r="H490" s="41">
        <f>+D490+E490+-F490</f>
        <v>11</v>
      </c>
      <c r="I490" s="42">
        <v>4012</v>
      </c>
      <c r="J490" s="42">
        <f t="shared" si="15"/>
        <v>44132</v>
      </c>
      <c r="K490" s="42"/>
      <c r="L490" s="42"/>
      <c r="M490" s="43" t="s">
        <v>248</v>
      </c>
    </row>
    <row r="491" spans="1:13" s="44" customFormat="1" ht="30" customHeight="1" x14ac:dyDescent="0.25">
      <c r="A491" s="39" t="s">
        <v>892</v>
      </c>
      <c r="B491" s="48">
        <v>45020</v>
      </c>
      <c r="C491" s="39" t="s">
        <v>286</v>
      </c>
      <c r="D491" s="41">
        <v>10</v>
      </c>
      <c r="E491" s="41"/>
      <c r="F491" s="41">
        <v>1</v>
      </c>
      <c r="G491" s="41"/>
      <c r="H491" s="41">
        <f>+D491+E491+-F491</f>
        <v>9</v>
      </c>
      <c r="I491" s="42">
        <v>2141.6999999999998</v>
      </c>
      <c r="J491" s="42">
        <f t="shared" si="15"/>
        <v>19275.3</v>
      </c>
      <c r="K491" s="42"/>
      <c r="L491" s="42"/>
      <c r="M491" s="43" t="s">
        <v>248</v>
      </c>
    </row>
    <row r="492" spans="1:13" s="44" customFormat="1" ht="30" customHeight="1" x14ac:dyDescent="0.25">
      <c r="A492" s="39" t="s">
        <v>655</v>
      </c>
      <c r="B492" s="40"/>
      <c r="C492" s="45" t="s">
        <v>87</v>
      </c>
      <c r="D492" s="41">
        <v>2</v>
      </c>
      <c r="E492" s="41"/>
      <c r="F492" s="41"/>
      <c r="G492" s="41"/>
      <c r="H492" s="41">
        <f>+D492+E492-F492</f>
        <v>2</v>
      </c>
      <c r="I492" s="42">
        <v>1850</v>
      </c>
      <c r="J492" s="42">
        <f t="shared" si="15"/>
        <v>3700</v>
      </c>
      <c r="K492" s="42"/>
      <c r="L492" s="42"/>
      <c r="M492" s="43" t="s">
        <v>27</v>
      </c>
    </row>
    <row r="493" spans="1:13" s="44" customFormat="1" ht="30" customHeight="1" x14ac:dyDescent="0.25">
      <c r="A493" s="39" t="s">
        <v>656</v>
      </c>
      <c r="B493" s="40"/>
      <c r="C493" s="45" t="s">
        <v>88</v>
      </c>
      <c r="D493" s="41">
        <v>1</v>
      </c>
      <c r="E493" s="41"/>
      <c r="F493" s="41"/>
      <c r="G493" s="41"/>
      <c r="H493" s="41">
        <f>+D493+E493-F493</f>
        <v>1</v>
      </c>
      <c r="I493" s="42"/>
      <c r="J493" s="42">
        <f t="shared" si="15"/>
        <v>0</v>
      </c>
      <c r="K493" s="42"/>
      <c r="L493" s="42"/>
      <c r="M493" s="43" t="s">
        <v>27</v>
      </c>
    </row>
    <row r="494" spans="1:13" s="44" customFormat="1" ht="15.75" x14ac:dyDescent="0.25">
      <c r="A494" s="39" t="s">
        <v>1128</v>
      </c>
      <c r="B494" s="48">
        <v>45300</v>
      </c>
      <c r="C494" s="39" t="s">
        <v>1642</v>
      </c>
      <c r="D494" s="41">
        <v>9</v>
      </c>
      <c r="E494" s="41"/>
      <c r="F494" s="41">
        <f>1+1</f>
        <v>2</v>
      </c>
      <c r="G494" s="41"/>
      <c r="H494" s="41">
        <f>+D494+E494+-F494</f>
        <v>7</v>
      </c>
      <c r="I494" s="42">
        <v>270.55</v>
      </c>
      <c r="J494" s="42">
        <f t="shared" si="15"/>
        <v>1893.8500000000001</v>
      </c>
      <c r="K494" s="42"/>
      <c r="L494" s="42"/>
      <c r="M494" s="43" t="s">
        <v>454</v>
      </c>
    </row>
    <row r="495" spans="1:13" s="44" customFormat="1" ht="30" customHeight="1" x14ac:dyDescent="0.25">
      <c r="A495" s="39" t="s">
        <v>1452</v>
      </c>
      <c r="B495" s="46">
        <v>45363</v>
      </c>
      <c r="C495" s="47" t="s">
        <v>1716</v>
      </c>
      <c r="D495" s="56">
        <v>33</v>
      </c>
      <c r="E495" s="41"/>
      <c r="F495" s="41">
        <f>3+1+2+2</f>
        <v>8</v>
      </c>
      <c r="G495" s="41"/>
      <c r="H495" s="41">
        <f>+D495+E495-F495+G495</f>
        <v>25</v>
      </c>
      <c r="I495" s="55">
        <v>50</v>
      </c>
      <c r="J495" s="42">
        <f t="shared" si="15"/>
        <v>1250</v>
      </c>
      <c r="K495" s="55"/>
      <c r="L495" s="55"/>
      <c r="M495" s="43" t="s">
        <v>313</v>
      </c>
    </row>
    <row r="496" spans="1:13" s="44" customFormat="1" ht="30" customHeight="1" x14ac:dyDescent="0.4">
      <c r="A496" s="39" t="s">
        <v>1652</v>
      </c>
      <c r="B496" s="89"/>
      <c r="C496" s="51" t="s">
        <v>1646</v>
      </c>
      <c r="D496" s="52">
        <v>9</v>
      </c>
      <c r="E496" s="41"/>
      <c r="F496" s="41">
        <v>1</v>
      </c>
      <c r="G496" s="41"/>
      <c r="H496" s="68">
        <f>+D496+E496-F496</f>
        <v>8</v>
      </c>
      <c r="I496" s="55"/>
      <c r="J496" s="55">
        <f t="shared" si="15"/>
        <v>0</v>
      </c>
      <c r="K496" s="69"/>
      <c r="L496" s="69"/>
      <c r="M496" s="43" t="s">
        <v>313</v>
      </c>
    </row>
    <row r="497" spans="1:13" s="44" customFormat="1" ht="30" customHeight="1" x14ac:dyDescent="0.25">
      <c r="A497" s="39" t="s">
        <v>1000</v>
      </c>
      <c r="B497" s="40"/>
      <c r="C497" s="39" t="s">
        <v>382</v>
      </c>
      <c r="D497" s="41">
        <f>3-1</f>
        <v>2</v>
      </c>
      <c r="E497" s="41"/>
      <c r="F497" s="41">
        <f>2</f>
        <v>2</v>
      </c>
      <c r="G497" s="41"/>
      <c r="H497" s="41">
        <f>+D497+E497+-F497</f>
        <v>0</v>
      </c>
      <c r="I497" s="42">
        <v>26.46</v>
      </c>
      <c r="J497" s="42">
        <f t="shared" si="15"/>
        <v>0</v>
      </c>
      <c r="K497" s="42"/>
      <c r="L497" s="42"/>
      <c r="M497" s="43" t="s">
        <v>313</v>
      </c>
    </row>
    <row r="498" spans="1:13" s="44" customFormat="1" ht="30" customHeight="1" x14ac:dyDescent="0.25">
      <c r="A498" s="39" t="s">
        <v>1001</v>
      </c>
      <c r="B498" s="40"/>
      <c r="C498" s="39" t="s">
        <v>1291</v>
      </c>
      <c r="D498" s="41">
        <v>5</v>
      </c>
      <c r="E498" s="41"/>
      <c r="F498" s="41">
        <v>1</v>
      </c>
      <c r="G498" s="41"/>
      <c r="H498" s="41">
        <f>+D498+E498+-F498</f>
        <v>4</v>
      </c>
      <c r="I498" s="42">
        <v>77</v>
      </c>
      <c r="J498" s="42">
        <f t="shared" si="15"/>
        <v>308</v>
      </c>
      <c r="K498" s="42"/>
      <c r="L498" s="42"/>
      <c r="M498" s="43" t="s">
        <v>313</v>
      </c>
    </row>
    <row r="499" spans="1:13" s="44" customFormat="1" ht="30" customHeight="1" x14ac:dyDescent="0.25">
      <c r="A499" s="39" t="s">
        <v>1002</v>
      </c>
      <c r="B499" s="40"/>
      <c r="C499" s="39" t="s">
        <v>383</v>
      </c>
      <c r="D499" s="41">
        <v>8</v>
      </c>
      <c r="E499" s="41"/>
      <c r="F499" s="41">
        <f>1+2</f>
        <v>3</v>
      </c>
      <c r="G499" s="41"/>
      <c r="H499" s="41">
        <f>+D499+E499+-F499</f>
        <v>5</v>
      </c>
      <c r="I499" s="42">
        <v>77</v>
      </c>
      <c r="J499" s="42">
        <f t="shared" si="15"/>
        <v>385</v>
      </c>
      <c r="K499" s="42"/>
      <c r="L499" s="42"/>
      <c r="M499" s="43" t="s">
        <v>313</v>
      </c>
    </row>
    <row r="500" spans="1:13" s="44" customFormat="1" ht="30" customHeight="1" x14ac:dyDescent="0.25">
      <c r="A500" s="39" t="s">
        <v>1028</v>
      </c>
      <c r="B500" s="40"/>
      <c r="C500" s="39" t="s">
        <v>1300</v>
      </c>
      <c r="D500" s="41">
        <v>39</v>
      </c>
      <c r="E500" s="41"/>
      <c r="F500" s="41">
        <f>9+2+2</f>
        <v>13</v>
      </c>
      <c r="G500" s="41"/>
      <c r="H500" s="41">
        <f>+D500+E500+-F500</f>
        <v>26</v>
      </c>
      <c r="I500" s="42"/>
      <c r="J500" s="42">
        <f t="shared" si="15"/>
        <v>0</v>
      </c>
      <c r="K500" s="42"/>
      <c r="L500" s="42"/>
      <c r="M500" s="43" t="s">
        <v>313</v>
      </c>
    </row>
    <row r="501" spans="1:13" s="44" customFormat="1" ht="30" customHeight="1" x14ac:dyDescent="0.25">
      <c r="A501" s="39" t="s">
        <v>1003</v>
      </c>
      <c r="B501" s="40"/>
      <c r="C501" s="39" t="s">
        <v>1292</v>
      </c>
      <c r="D501" s="41">
        <v>3</v>
      </c>
      <c r="E501" s="41"/>
      <c r="F501" s="41">
        <f>1+1</f>
        <v>2</v>
      </c>
      <c r="G501" s="41"/>
      <c r="H501" s="41">
        <f>+D501+E501+-F501</f>
        <v>1</v>
      </c>
      <c r="I501" s="42">
        <v>26.46</v>
      </c>
      <c r="J501" s="42">
        <f t="shared" si="15"/>
        <v>26.46</v>
      </c>
      <c r="K501" s="42"/>
      <c r="L501" s="42"/>
      <c r="M501" s="43" t="s">
        <v>313</v>
      </c>
    </row>
    <row r="502" spans="1:13" s="44" customFormat="1" ht="30" customHeight="1" x14ac:dyDescent="0.25">
      <c r="A502" s="39" t="s">
        <v>809</v>
      </c>
      <c r="B502" s="48">
        <v>45414</v>
      </c>
      <c r="C502" s="39" t="s">
        <v>209</v>
      </c>
      <c r="D502" s="41">
        <f>28-1</f>
        <v>27</v>
      </c>
      <c r="E502" s="41"/>
      <c r="F502" s="41">
        <f>9+1+1+1</f>
        <v>12</v>
      </c>
      <c r="G502" s="41"/>
      <c r="H502" s="41">
        <f>+D502+E502+-F502</f>
        <v>15</v>
      </c>
      <c r="I502" s="42">
        <v>321.92</v>
      </c>
      <c r="J502" s="42">
        <f t="shared" si="15"/>
        <v>4828.8</v>
      </c>
      <c r="K502" s="42"/>
      <c r="L502" s="42"/>
      <c r="M502" s="43" t="s">
        <v>169</v>
      </c>
    </row>
    <row r="503" spans="1:13" s="44" customFormat="1" ht="30" customHeight="1" x14ac:dyDescent="0.25">
      <c r="A503" s="39" t="s">
        <v>797</v>
      </c>
      <c r="B503" s="48">
        <v>45536</v>
      </c>
      <c r="C503" s="39" t="s">
        <v>197</v>
      </c>
      <c r="D503" s="41">
        <v>11</v>
      </c>
      <c r="E503" s="41"/>
      <c r="F503" s="41">
        <f>1+1+1+3</f>
        <v>6</v>
      </c>
      <c r="G503" s="41"/>
      <c r="H503" s="41">
        <f>+D503+E503+-F503</f>
        <v>5</v>
      </c>
      <c r="I503" s="42">
        <v>501.5</v>
      </c>
      <c r="J503" s="42">
        <f t="shared" si="15"/>
        <v>2507.5</v>
      </c>
      <c r="K503" s="42"/>
      <c r="L503" s="42"/>
      <c r="M503" s="43" t="s">
        <v>169</v>
      </c>
    </row>
    <row r="504" spans="1:13" s="44" customFormat="1" ht="30" customHeight="1" x14ac:dyDescent="0.4">
      <c r="A504" s="39" t="s">
        <v>1657</v>
      </c>
      <c r="B504" s="89" t="s">
        <v>1651</v>
      </c>
      <c r="C504" s="51" t="s">
        <v>1653</v>
      </c>
      <c r="D504" s="52"/>
      <c r="E504" s="41">
        <v>10</v>
      </c>
      <c r="F504" s="41">
        <v>1</v>
      </c>
      <c r="G504" s="41"/>
      <c r="H504" s="68">
        <f>+D504+E504-F504</f>
        <v>9</v>
      </c>
      <c r="I504" s="55">
        <v>141.6</v>
      </c>
      <c r="J504" s="55">
        <f t="shared" si="15"/>
        <v>1274.3999999999999</v>
      </c>
      <c r="K504" s="69"/>
      <c r="L504" s="69"/>
      <c r="M504" s="43"/>
    </row>
    <row r="505" spans="1:13" s="44" customFormat="1" ht="30" customHeight="1" x14ac:dyDescent="0.25">
      <c r="A505" s="39" t="s">
        <v>757</v>
      </c>
      <c r="B505" s="40"/>
      <c r="C505" s="39" t="s">
        <v>167</v>
      </c>
      <c r="D505" s="41">
        <v>5</v>
      </c>
      <c r="E505" s="41"/>
      <c r="F505" s="41"/>
      <c r="G505" s="41"/>
      <c r="H505" s="41">
        <f>+D505+E505+-F505</f>
        <v>5</v>
      </c>
      <c r="I505" s="42">
        <v>23</v>
      </c>
      <c r="J505" s="42">
        <f t="shared" si="15"/>
        <v>115</v>
      </c>
      <c r="K505" s="42"/>
      <c r="L505" s="42"/>
      <c r="M505" s="43" t="s">
        <v>147</v>
      </c>
    </row>
    <row r="506" spans="1:13" s="44" customFormat="1" ht="30" customHeight="1" x14ac:dyDescent="0.25">
      <c r="A506" s="39" t="s">
        <v>756</v>
      </c>
      <c r="B506" s="40"/>
      <c r="C506" s="39" t="s">
        <v>166</v>
      </c>
      <c r="D506" s="41">
        <f>45-1</f>
        <v>44</v>
      </c>
      <c r="E506" s="41"/>
      <c r="F506" s="41">
        <f>2+1+1+2+1+2+1+1+1</f>
        <v>12</v>
      </c>
      <c r="G506" s="41"/>
      <c r="H506" s="41">
        <f>+D506+E506+-F506</f>
        <v>32</v>
      </c>
      <c r="I506" s="42">
        <v>150</v>
      </c>
      <c r="J506" s="42">
        <f t="shared" si="15"/>
        <v>4800</v>
      </c>
      <c r="K506" s="42"/>
      <c r="L506" s="42"/>
      <c r="M506" s="43" t="s">
        <v>147</v>
      </c>
    </row>
    <row r="507" spans="1:13" s="44" customFormat="1" ht="30" customHeight="1" x14ac:dyDescent="0.25">
      <c r="A507" s="39" t="s">
        <v>727</v>
      </c>
      <c r="B507" s="49">
        <v>44193</v>
      </c>
      <c r="C507" s="39" t="s">
        <v>142</v>
      </c>
      <c r="D507" s="41">
        <v>18</v>
      </c>
      <c r="E507" s="41"/>
      <c r="F507" s="41">
        <v>3</v>
      </c>
      <c r="G507" s="41"/>
      <c r="H507" s="41">
        <f>+D507+E507-F507</f>
        <v>15</v>
      </c>
      <c r="I507" s="42">
        <v>728.81</v>
      </c>
      <c r="J507" s="42">
        <f t="shared" si="15"/>
        <v>10932.15</v>
      </c>
      <c r="K507" s="42"/>
      <c r="L507" s="42"/>
      <c r="M507" s="43" t="s">
        <v>1238</v>
      </c>
    </row>
    <row r="508" spans="1:13" s="44" customFormat="1" ht="30" customHeight="1" x14ac:dyDescent="0.25">
      <c r="A508" s="39" t="s">
        <v>1392</v>
      </c>
      <c r="B508" s="46">
        <v>45623</v>
      </c>
      <c r="C508" s="46" t="s">
        <v>1395</v>
      </c>
      <c r="D508" s="39"/>
      <c r="E508" s="41">
        <v>25</v>
      </c>
      <c r="F508" s="41">
        <v>25</v>
      </c>
      <c r="G508" s="41"/>
      <c r="H508" s="41">
        <f>+D508+E508-F508+G508</f>
        <v>0</v>
      </c>
      <c r="I508" s="42">
        <v>326.33</v>
      </c>
      <c r="J508" s="42">
        <f t="shared" si="15"/>
        <v>0</v>
      </c>
      <c r="K508" s="42"/>
      <c r="L508" s="42"/>
      <c r="M508" s="43" t="s">
        <v>1396</v>
      </c>
    </row>
    <row r="509" spans="1:13" s="44" customFormat="1" ht="30" customHeight="1" x14ac:dyDescent="0.25">
      <c r="A509" s="39" t="s">
        <v>1146</v>
      </c>
      <c r="B509" s="40"/>
      <c r="C509" s="45" t="s">
        <v>497</v>
      </c>
      <c r="D509" s="41">
        <f>3-1</f>
        <v>2</v>
      </c>
      <c r="E509" s="41"/>
      <c r="F509" s="41"/>
      <c r="G509" s="41"/>
      <c r="H509" s="41">
        <f>+D509+E509+-F509</f>
        <v>2</v>
      </c>
      <c r="I509" s="42">
        <v>1357</v>
      </c>
      <c r="J509" s="42">
        <f t="shared" si="15"/>
        <v>2714</v>
      </c>
      <c r="K509" s="42"/>
      <c r="L509" s="42"/>
      <c r="M509" s="43" t="s">
        <v>454</v>
      </c>
    </row>
    <row r="510" spans="1:13" s="44" customFormat="1" ht="30" customHeight="1" x14ac:dyDescent="0.25">
      <c r="A510" s="39" t="s">
        <v>893</v>
      </c>
      <c r="B510" s="48" t="s">
        <v>1584</v>
      </c>
      <c r="C510" s="39" t="s">
        <v>1585</v>
      </c>
      <c r="D510" s="41">
        <f>122-1-2-36-1-1-3</f>
        <v>78</v>
      </c>
      <c r="E510" s="41">
        <v>450</v>
      </c>
      <c r="F510" s="41">
        <f>2+33+4+2+37+3+36+3+36+2+1+36+72+80</f>
        <v>347</v>
      </c>
      <c r="G510" s="41"/>
      <c r="H510" s="41">
        <f>+D510+E510+-F510</f>
        <v>181</v>
      </c>
      <c r="I510" s="42">
        <v>40.119999999999997</v>
      </c>
      <c r="J510" s="42">
        <f t="shared" si="15"/>
        <v>7261.7199999999993</v>
      </c>
      <c r="K510" s="42"/>
      <c r="L510" s="42"/>
      <c r="M510" s="43" t="s">
        <v>248</v>
      </c>
    </row>
    <row r="511" spans="1:13" s="44" customFormat="1" ht="30" customHeight="1" x14ac:dyDescent="0.25">
      <c r="A511" s="39" t="s">
        <v>657</v>
      </c>
      <c r="B511" s="40"/>
      <c r="C511" s="45" t="s">
        <v>89</v>
      </c>
      <c r="D511" s="41">
        <v>3</v>
      </c>
      <c r="E511" s="41"/>
      <c r="F511" s="41">
        <f>1+1</f>
        <v>2</v>
      </c>
      <c r="G511" s="41"/>
      <c r="H511" s="41">
        <f>+D511+E511-F511</f>
        <v>1</v>
      </c>
      <c r="I511" s="42">
        <v>93</v>
      </c>
      <c r="J511" s="42">
        <f t="shared" si="15"/>
        <v>93</v>
      </c>
      <c r="K511" s="42"/>
      <c r="L511" s="42"/>
      <c r="M511" s="43" t="s">
        <v>27</v>
      </c>
    </row>
    <row r="512" spans="1:13" s="44" customFormat="1" ht="30" customHeight="1" x14ac:dyDescent="0.25">
      <c r="A512" s="39" t="s">
        <v>658</v>
      </c>
      <c r="B512" s="40"/>
      <c r="C512" s="45" t="s">
        <v>90</v>
      </c>
      <c r="D512" s="41">
        <v>2</v>
      </c>
      <c r="E512" s="41"/>
      <c r="F512" s="41"/>
      <c r="G512" s="41"/>
      <c r="H512" s="41">
        <f>+D512+E512-F512</f>
        <v>2</v>
      </c>
      <c r="I512" s="42">
        <v>4500</v>
      </c>
      <c r="J512" s="42">
        <f t="shared" si="15"/>
        <v>9000</v>
      </c>
      <c r="K512" s="42"/>
      <c r="L512" s="42"/>
      <c r="M512" s="43" t="s">
        <v>27</v>
      </c>
    </row>
    <row r="513" spans="1:13" s="44" customFormat="1" ht="30" customHeight="1" x14ac:dyDescent="0.25">
      <c r="A513" s="39" t="s">
        <v>1147</v>
      </c>
      <c r="B513" s="49">
        <v>44193</v>
      </c>
      <c r="C513" s="45" t="s">
        <v>498</v>
      </c>
      <c r="D513" s="41">
        <v>5</v>
      </c>
      <c r="E513" s="41"/>
      <c r="F513" s="41"/>
      <c r="G513" s="41"/>
      <c r="H513" s="41">
        <f>+D513+E513+-F513</f>
        <v>5</v>
      </c>
      <c r="I513" s="42">
        <v>165</v>
      </c>
      <c r="J513" s="42">
        <f t="shared" si="15"/>
        <v>825</v>
      </c>
      <c r="K513" s="42"/>
      <c r="L513" s="42"/>
      <c r="M513" s="43" t="s">
        <v>454</v>
      </c>
    </row>
    <row r="514" spans="1:13" s="44" customFormat="1" ht="30" customHeight="1" x14ac:dyDescent="0.25">
      <c r="A514" s="39" t="s">
        <v>798</v>
      </c>
      <c r="B514" s="40"/>
      <c r="C514" s="39" t="s">
        <v>198</v>
      </c>
      <c r="D514" s="41">
        <v>2</v>
      </c>
      <c r="E514" s="41"/>
      <c r="F514" s="41"/>
      <c r="G514" s="41"/>
      <c r="H514" s="41">
        <f>+D514+E514+-F514</f>
        <v>2</v>
      </c>
      <c r="I514" s="42"/>
      <c r="J514" s="42">
        <f t="shared" si="15"/>
        <v>0</v>
      </c>
      <c r="K514" s="42"/>
      <c r="L514" s="42"/>
      <c r="M514" s="43" t="s">
        <v>169</v>
      </c>
    </row>
    <row r="515" spans="1:13" s="44" customFormat="1" ht="30" customHeight="1" x14ac:dyDescent="0.25">
      <c r="A515" s="39" t="s">
        <v>894</v>
      </c>
      <c r="B515" s="59" t="s">
        <v>6</v>
      </c>
      <c r="C515" s="39" t="s">
        <v>287</v>
      </c>
      <c r="D515" s="41">
        <f>17+1</f>
        <v>18</v>
      </c>
      <c r="E515" s="41"/>
      <c r="F515" s="41"/>
      <c r="G515" s="41"/>
      <c r="H515" s="41">
        <f>+D515+E515+-F515</f>
        <v>18</v>
      </c>
      <c r="I515" s="90">
        <v>1235</v>
      </c>
      <c r="J515" s="42">
        <f t="shared" si="15"/>
        <v>22230</v>
      </c>
      <c r="K515" s="42"/>
      <c r="L515" s="42"/>
      <c r="M515" s="43" t="s">
        <v>248</v>
      </c>
    </row>
    <row r="516" spans="1:13" s="44" customFormat="1" ht="30" customHeight="1" x14ac:dyDescent="0.25">
      <c r="A516" s="39" t="s">
        <v>705</v>
      </c>
      <c r="B516" s="48">
        <v>45414</v>
      </c>
      <c r="C516" s="39" t="s">
        <v>127</v>
      </c>
      <c r="D516" s="41">
        <v>1</v>
      </c>
      <c r="E516" s="41"/>
      <c r="F516" s="41"/>
      <c r="G516" s="41"/>
      <c r="H516" s="41">
        <f>+D516+E516-F516</f>
        <v>1</v>
      </c>
      <c r="I516" s="42">
        <v>4980</v>
      </c>
      <c r="J516" s="42">
        <f t="shared" si="15"/>
        <v>4980</v>
      </c>
      <c r="K516" s="42"/>
      <c r="L516" s="42"/>
      <c r="M516" s="43" t="s">
        <v>115</v>
      </c>
    </row>
    <row r="517" spans="1:13" s="44" customFormat="1" ht="30" customHeight="1" x14ac:dyDescent="0.25">
      <c r="A517" s="39" t="s">
        <v>858</v>
      </c>
      <c r="B517" s="40" t="s">
        <v>254</v>
      </c>
      <c r="C517" s="39" t="s">
        <v>255</v>
      </c>
      <c r="D517" s="41">
        <v>5</v>
      </c>
      <c r="E517" s="41"/>
      <c r="F517" s="41">
        <v>4</v>
      </c>
      <c r="G517" s="41"/>
      <c r="H517" s="41">
        <f>+D517+E517+-F517</f>
        <v>1</v>
      </c>
      <c r="I517" s="42">
        <v>1132.8</v>
      </c>
      <c r="J517" s="42">
        <f t="shared" ref="J517:J548" si="16">+H517*I517</f>
        <v>1132.8</v>
      </c>
      <c r="K517" s="42"/>
      <c r="L517" s="42"/>
      <c r="M517" s="43" t="s">
        <v>248</v>
      </c>
    </row>
    <row r="518" spans="1:13" s="44" customFormat="1" ht="30" customHeight="1" x14ac:dyDescent="0.25">
      <c r="A518" s="39" t="s">
        <v>692</v>
      </c>
      <c r="B518" s="49"/>
      <c r="C518" s="45" t="s">
        <v>1280</v>
      </c>
      <c r="D518" s="41">
        <v>1</v>
      </c>
      <c r="E518" s="41"/>
      <c r="F518" s="41"/>
      <c r="G518" s="41"/>
      <c r="H518" s="41">
        <f>+D518+E518-F518</f>
        <v>1</v>
      </c>
      <c r="I518" s="42">
        <v>165</v>
      </c>
      <c r="J518" s="42">
        <f t="shared" si="16"/>
        <v>165</v>
      </c>
      <c r="K518" s="42"/>
      <c r="L518" s="42"/>
      <c r="M518" s="43" t="s">
        <v>115</v>
      </c>
    </row>
    <row r="519" spans="1:13" s="44" customFormat="1" ht="30" customHeight="1" x14ac:dyDescent="0.25">
      <c r="A519" s="39" t="s">
        <v>1193</v>
      </c>
      <c r="B519" s="49">
        <v>44193</v>
      </c>
      <c r="C519" s="39" t="s">
        <v>537</v>
      </c>
      <c r="D519" s="41">
        <v>30</v>
      </c>
      <c r="E519" s="41"/>
      <c r="F519" s="41">
        <f>3+2+1</f>
        <v>6</v>
      </c>
      <c r="G519" s="41"/>
      <c r="H519" s="41">
        <f>+D519+E519+-F519</f>
        <v>24</v>
      </c>
      <c r="I519" s="90">
        <v>200</v>
      </c>
      <c r="J519" s="42">
        <f t="shared" si="16"/>
        <v>4800</v>
      </c>
      <c r="K519" s="42"/>
      <c r="L519" s="42"/>
      <c r="M519" s="43" t="s">
        <v>535</v>
      </c>
    </row>
    <row r="520" spans="1:13" s="44" customFormat="1" ht="30" customHeight="1" x14ac:dyDescent="0.25">
      <c r="A520" s="39" t="s">
        <v>1381</v>
      </c>
      <c r="B520" s="46">
        <v>45623</v>
      </c>
      <c r="C520" s="46" t="s">
        <v>1370</v>
      </c>
      <c r="D520" s="39"/>
      <c r="E520" s="41">
        <v>2</v>
      </c>
      <c r="F520" s="41"/>
      <c r="G520" s="41"/>
      <c r="H520" s="41">
        <f>+D520+E520-F520+G520</f>
        <v>2</v>
      </c>
      <c r="I520" s="42">
        <v>3268.75</v>
      </c>
      <c r="J520" s="42">
        <f t="shared" si="16"/>
        <v>6537.5</v>
      </c>
      <c r="K520" s="42"/>
      <c r="L520" s="42"/>
      <c r="M520" s="43" t="s">
        <v>451</v>
      </c>
    </row>
    <row r="521" spans="1:13" s="44" customFormat="1" ht="30" customHeight="1" x14ac:dyDescent="0.25">
      <c r="A521" s="39" t="s">
        <v>1004</v>
      </c>
      <c r="B521" s="80" t="s">
        <v>6</v>
      </c>
      <c r="C521" s="39" t="s">
        <v>384</v>
      </c>
      <c r="D521" s="41">
        <v>34</v>
      </c>
      <c r="E521" s="41"/>
      <c r="F521" s="41">
        <f>1+1</f>
        <v>2</v>
      </c>
      <c r="G521" s="41"/>
      <c r="H521" s="41">
        <f>+D521+E521+-F521</f>
        <v>32</v>
      </c>
      <c r="I521" s="42">
        <v>25.42</v>
      </c>
      <c r="J521" s="42">
        <f t="shared" si="16"/>
        <v>813.44</v>
      </c>
      <c r="K521" s="42"/>
      <c r="L521" s="42"/>
      <c r="M521" s="43" t="s">
        <v>313</v>
      </c>
    </row>
    <row r="522" spans="1:13" s="44" customFormat="1" ht="30" customHeight="1" x14ac:dyDescent="0.25">
      <c r="A522" s="39" t="s">
        <v>1005</v>
      </c>
      <c r="B522" s="80" t="s">
        <v>6</v>
      </c>
      <c r="C522" s="39" t="s">
        <v>385</v>
      </c>
      <c r="D522" s="41">
        <v>120</v>
      </c>
      <c r="E522" s="41"/>
      <c r="F522" s="41">
        <f>5+3+2+3+1+3+2</f>
        <v>19</v>
      </c>
      <c r="G522" s="41"/>
      <c r="H522" s="41">
        <f>+D522+E522+-F522</f>
        <v>101</v>
      </c>
      <c r="I522" s="42">
        <v>48</v>
      </c>
      <c r="J522" s="42">
        <f t="shared" si="16"/>
        <v>4848</v>
      </c>
      <c r="K522" s="42"/>
      <c r="L522" s="42"/>
      <c r="M522" s="43" t="s">
        <v>313</v>
      </c>
    </row>
    <row r="523" spans="1:13" s="44" customFormat="1" ht="30" customHeight="1" x14ac:dyDescent="0.25">
      <c r="A523" s="39" t="s">
        <v>1006</v>
      </c>
      <c r="B523" s="80" t="s">
        <v>6</v>
      </c>
      <c r="C523" s="39" t="s">
        <v>386</v>
      </c>
      <c r="D523" s="41">
        <f>55+42+7+1+9</f>
        <v>114</v>
      </c>
      <c r="E523" s="41"/>
      <c r="F523" s="41">
        <f>114-99</f>
        <v>15</v>
      </c>
      <c r="G523" s="41"/>
      <c r="H523" s="41">
        <f>+D523+E523+-F523</f>
        <v>99</v>
      </c>
      <c r="I523" s="42">
        <v>25.42</v>
      </c>
      <c r="J523" s="42">
        <f t="shared" si="16"/>
        <v>2516.5800000000004</v>
      </c>
      <c r="K523" s="42"/>
      <c r="L523" s="42"/>
      <c r="M523" s="43" t="s">
        <v>313</v>
      </c>
    </row>
    <row r="524" spans="1:13" s="44" customFormat="1" ht="30" customHeight="1" x14ac:dyDescent="0.25">
      <c r="A524" s="39" t="s">
        <v>1007</v>
      </c>
      <c r="B524" s="80" t="s">
        <v>6</v>
      </c>
      <c r="C524" s="39" t="s">
        <v>387</v>
      </c>
      <c r="D524" s="41">
        <v>36</v>
      </c>
      <c r="E524" s="41"/>
      <c r="F524" s="41"/>
      <c r="G524" s="41"/>
      <c r="H524" s="41">
        <f>+D524+E524+-F524</f>
        <v>36</v>
      </c>
      <c r="I524" s="42">
        <v>25.42</v>
      </c>
      <c r="J524" s="42">
        <f t="shared" si="16"/>
        <v>915.12000000000012</v>
      </c>
      <c r="K524" s="42"/>
      <c r="L524" s="42"/>
      <c r="M524" s="43" t="s">
        <v>313</v>
      </c>
    </row>
    <row r="525" spans="1:13" s="44" customFormat="1" ht="30" customHeight="1" x14ac:dyDescent="0.25">
      <c r="A525" s="39" t="s">
        <v>1008</v>
      </c>
      <c r="B525" s="59">
        <v>45469</v>
      </c>
      <c r="C525" s="39" t="s">
        <v>388</v>
      </c>
      <c r="D525" s="41">
        <v>2</v>
      </c>
      <c r="E525" s="41"/>
      <c r="F525" s="41">
        <v>2</v>
      </c>
      <c r="G525" s="41"/>
      <c r="H525" s="41">
        <f>+D525+E525+-F525</f>
        <v>0</v>
      </c>
      <c r="I525" s="42">
        <v>48</v>
      </c>
      <c r="J525" s="42">
        <f t="shared" si="16"/>
        <v>0</v>
      </c>
      <c r="K525" s="42"/>
      <c r="L525" s="42"/>
      <c r="M525" s="43" t="s">
        <v>313</v>
      </c>
    </row>
    <row r="526" spans="1:13" s="44" customFormat="1" ht="30" customHeight="1" x14ac:dyDescent="0.25">
      <c r="A526" s="39" t="s">
        <v>1009</v>
      </c>
      <c r="B526" s="59">
        <v>45469</v>
      </c>
      <c r="C526" s="39" t="s">
        <v>389</v>
      </c>
      <c r="D526" s="41">
        <v>24</v>
      </c>
      <c r="E526" s="41"/>
      <c r="F526" s="41">
        <v>1</v>
      </c>
      <c r="G526" s="41"/>
      <c r="H526" s="41">
        <f>+D526+E526+-F526</f>
        <v>23</v>
      </c>
      <c r="I526" s="42">
        <v>25.42</v>
      </c>
      <c r="J526" s="42">
        <f t="shared" si="16"/>
        <v>584.66000000000008</v>
      </c>
      <c r="K526" s="42"/>
      <c r="L526" s="42"/>
      <c r="M526" s="43" t="s">
        <v>313</v>
      </c>
    </row>
    <row r="527" spans="1:13" s="44" customFormat="1" ht="30" customHeight="1" x14ac:dyDescent="0.25">
      <c r="A527" s="39" t="s">
        <v>1010</v>
      </c>
      <c r="B527" s="59">
        <v>45469</v>
      </c>
      <c r="C527" s="39" t="s">
        <v>390</v>
      </c>
      <c r="D527" s="41">
        <v>24</v>
      </c>
      <c r="E527" s="41"/>
      <c r="F527" s="41">
        <f>12+1</f>
        <v>13</v>
      </c>
      <c r="G527" s="41"/>
      <c r="H527" s="41">
        <f>+D527+E527+-F527</f>
        <v>11</v>
      </c>
      <c r="I527" s="42">
        <v>25.42</v>
      </c>
      <c r="J527" s="42">
        <f t="shared" si="16"/>
        <v>279.62</v>
      </c>
      <c r="K527" s="42"/>
      <c r="L527" s="42"/>
      <c r="M527" s="43" t="s">
        <v>313</v>
      </c>
    </row>
    <row r="528" spans="1:13" s="44" customFormat="1" ht="30" customHeight="1" x14ac:dyDescent="0.25">
      <c r="A528" s="39" t="s">
        <v>1011</v>
      </c>
      <c r="B528" s="59">
        <v>45469</v>
      </c>
      <c r="C528" s="39" t="s">
        <v>391</v>
      </c>
      <c r="D528" s="41">
        <v>24</v>
      </c>
      <c r="E528" s="41"/>
      <c r="F528" s="41"/>
      <c r="G528" s="41"/>
      <c r="H528" s="41">
        <f>+D528+E528+-F528</f>
        <v>24</v>
      </c>
      <c r="I528" s="42">
        <v>25.42</v>
      </c>
      <c r="J528" s="42">
        <f t="shared" si="16"/>
        <v>610.08000000000004</v>
      </c>
      <c r="K528" s="42"/>
      <c r="L528" s="42"/>
      <c r="M528" s="43" t="s">
        <v>313</v>
      </c>
    </row>
    <row r="529" spans="1:13" s="44" customFormat="1" ht="30" customHeight="1" x14ac:dyDescent="0.25">
      <c r="A529" s="39" t="s">
        <v>1012</v>
      </c>
      <c r="B529" s="59">
        <v>45469</v>
      </c>
      <c r="C529" s="39" t="s">
        <v>392</v>
      </c>
      <c r="D529" s="41">
        <v>16</v>
      </c>
      <c r="E529" s="41"/>
      <c r="F529" s="41">
        <f>2+6+1+1+1+1</f>
        <v>12</v>
      </c>
      <c r="G529" s="41"/>
      <c r="H529" s="41">
        <f>+D529+E529+-F529</f>
        <v>4</v>
      </c>
      <c r="I529" s="42">
        <v>25.42</v>
      </c>
      <c r="J529" s="42">
        <f t="shared" si="16"/>
        <v>101.68</v>
      </c>
      <c r="K529" s="42"/>
      <c r="L529" s="42"/>
      <c r="M529" s="43" t="s">
        <v>313</v>
      </c>
    </row>
    <row r="530" spans="1:13" s="44" customFormat="1" ht="30" customHeight="1" x14ac:dyDescent="0.25">
      <c r="A530" s="39" t="s">
        <v>1013</v>
      </c>
      <c r="B530" s="59">
        <v>45469</v>
      </c>
      <c r="C530" s="39" t="s">
        <v>393</v>
      </c>
      <c r="D530" s="41">
        <v>20</v>
      </c>
      <c r="E530" s="41"/>
      <c r="F530" s="41">
        <f>2+6+1+1</f>
        <v>10</v>
      </c>
      <c r="G530" s="41"/>
      <c r="H530" s="41">
        <f>+D530+E530+-F530</f>
        <v>10</v>
      </c>
      <c r="I530" s="42">
        <v>25.42</v>
      </c>
      <c r="J530" s="42">
        <f t="shared" si="16"/>
        <v>254.20000000000002</v>
      </c>
      <c r="K530" s="42"/>
      <c r="L530" s="42"/>
      <c r="M530" s="43" t="s">
        <v>313</v>
      </c>
    </row>
    <row r="531" spans="1:13" s="44" customFormat="1" ht="30" customHeight="1" x14ac:dyDescent="0.25">
      <c r="A531" s="39" t="s">
        <v>1014</v>
      </c>
      <c r="B531" s="59">
        <v>45469</v>
      </c>
      <c r="C531" s="39" t="s">
        <v>394</v>
      </c>
      <c r="D531" s="41">
        <v>48</v>
      </c>
      <c r="E531" s="41"/>
      <c r="F531" s="41">
        <v>8</v>
      </c>
      <c r="G531" s="41"/>
      <c r="H531" s="41">
        <f>+D531+E531+-F531</f>
        <v>40</v>
      </c>
      <c r="I531" s="42">
        <v>63</v>
      </c>
      <c r="J531" s="42">
        <f t="shared" si="16"/>
        <v>2520</v>
      </c>
      <c r="K531" s="42"/>
      <c r="L531" s="42"/>
      <c r="M531" s="43" t="s">
        <v>313</v>
      </c>
    </row>
    <row r="532" spans="1:13" s="44" customFormat="1" ht="30" customHeight="1" x14ac:dyDescent="0.25">
      <c r="A532" s="39" t="s">
        <v>1015</v>
      </c>
      <c r="B532" s="40"/>
      <c r="C532" s="39" t="s">
        <v>395</v>
      </c>
      <c r="D532" s="41">
        <v>13</v>
      </c>
      <c r="E532" s="41"/>
      <c r="F532" s="41">
        <f>1+1+1</f>
        <v>3</v>
      </c>
      <c r="G532" s="41"/>
      <c r="H532" s="41">
        <f>+D532+E532+-F532</f>
        <v>10</v>
      </c>
      <c r="I532" s="42">
        <v>59.13</v>
      </c>
      <c r="J532" s="42">
        <f t="shared" si="16"/>
        <v>591.30000000000007</v>
      </c>
      <c r="K532" s="42"/>
      <c r="L532" s="42"/>
      <c r="M532" s="43" t="s">
        <v>313</v>
      </c>
    </row>
    <row r="533" spans="1:13" s="44" customFormat="1" ht="30" customHeight="1" x14ac:dyDescent="0.4">
      <c r="A533" s="39" t="s">
        <v>1645</v>
      </c>
      <c r="B533" s="50" t="s">
        <v>1561</v>
      </c>
      <c r="C533" s="51" t="s">
        <v>1607</v>
      </c>
      <c r="D533" s="52"/>
      <c r="E533" s="53">
        <v>1</v>
      </c>
      <c r="F533" s="53"/>
      <c r="G533" s="53"/>
      <c r="H533" s="41">
        <f>+D533+E533-F533+G533</f>
        <v>1</v>
      </c>
      <c r="I533" s="54">
        <v>1559.9954</v>
      </c>
      <c r="J533" s="54">
        <f t="shared" si="16"/>
        <v>1559.9954</v>
      </c>
      <c r="K533" s="69"/>
      <c r="L533" s="69"/>
      <c r="M533" s="43" t="s">
        <v>555</v>
      </c>
    </row>
    <row r="534" spans="1:13" s="91" customFormat="1" ht="30" customHeight="1" x14ac:dyDescent="0.25">
      <c r="A534" s="39" t="s">
        <v>1580</v>
      </c>
      <c r="B534" s="50" t="s">
        <v>1561</v>
      </c>
      <c r="C534" s="51" t="s">
        <v>1606</v>
      </c>
      <c r="D534" s="52"/>
      <c r="E534" s="53">
        <v>1</v>
      </c>
      <c r="F534" s="53">
        <v>1</v>
      </c>
      <c r="G534" s="53"/>
      <c r="H534" s="41">
        <f>+D534+E534-F534+G534</f>
        <v>0</v>
      </c>
      <c r="I534" s="54">
        <v>1559.9954</v>
      </c>
      <c r="J534" s="55">
        <f t="shared" si="16"/>
        <v>0</v>
      </c>
      <c r="K534" s="54"/>
      <c r="L534" s="54"/>
      <c r="M534" s="43" t="s">
        <v>555</v>
      </c>
    </row>
    <row r="535" spans="1:13" s="44" customFormat="1" ht="30" customHeight="1" x14ac:dyDescent="0.25">
      <c r="A535" s="39" t="s">
        <v>1324</v>
      </c>
      <c r="B535" s="46">
        <v>45623</v>
      </c>
      <c r="C535" s="47" t="s">
        <v>1334</v>
      </c>
      <c r="D535" s="39"/>
      <c r="E535" s="41">
        <v>2</v>
      </c>
      <c r="F535" s="41"/>
      <c r="G535" s="41"/>
      <c r="H535" s="41">
        <f>+D535+E535-F535+G535</f>
        <v>2</v>
      </c>
      <c r="I535" s="42">
        <v>560.5</v>
      </c>
      <c r="J535" s="42">
        <f t="shared" si="16"/>
        <v>1121</v>
      </c>
      <c r="K535" s="42"/>
      <c r="L535" s="42"/>
      <c r="M535" s="43" t="s">
        <v>1327</v>
      </c>
    </row>
    <row r="536" spans="1:13" s="44" customFormat="1" ht="30" customHeight="1" x14ac:dyDescent="0.25">
      <c r="A536" s="39" t="s">
        <v>1323</v>
      </c>
      <c r="B536" s="46">
        <v>45623</v>
      </c>
      <c r="C536" s="47" t="s">
        <v>1330</v>
      </c>
      <c r="D536" s="39"/>
      <c r="E536" s="41">
        <v>2</v>
      </c>
      <c r="F536" s="41"/>
      <c r="G536" s="41"/>
      <c r="H536" s="41">
        <f>+D536+E536-F536+G536</f>
        <v>2</v>
      </c>
      <c r="I536" s="42">
        <v>1062</v>
      </c>
      <c r="J536" s="42">
        <f t="shared" si="16"/>
        <v>2124</v>
      </c>
      <c r="K536" s="42"/>
      <c r="L536" s="42"/>
      <c r="M536" s="43" t="s">
        <v>1327</v>
      </c>
    </row>
    <row r="537" spans="1:13" s="44" customFormat="1" ht="30" customHeight="1" x14ac:dyDescent="0.25">
      <c r="A537" s="39" t="s">
        <v>1325</v>
      </c>
      <c r="B537" s="46">
        <v>45623</v>
      </c>
      <c r="C537" s="47" t="s">
        <v>1335</v>
      </c>
      <c r="D537" s="39"/>
      <c r="E537" s="41">
        <v>2</v>
      </c>
      <c r="F537" s="41">
        <f>1+1</f>
        <v>2</v>
      </c>
      <c r="G537" s="41"/>
      <c r="H537" s="41">
        <f>+D537+E537-F537+G537</f>
        <v>0</v>
      </c>
      <c r="I537" s="42">
        <v>660.8</v>
      </c>
      <c r="J537" s="42">
        <f t="shared" si="16"/>
        <v>0</v>
      </c>
      <c r="K537" s="42"/>
      <c r="L537" s="42"/>
      <c r="M537" s="43" t="s">
        <v>1327</v>
      </c>
    </row>
    <row r="538" spans="1:13" s="44" customFormat="1" ht="30" customHeight="1" x14ac:dyDescent="0.25">
      <c r="A538" s="39" t="s">
        <v>911</v>
      </c>
      <c r="B538" s="48">
        <v>45019</v>
      </c>
      <c r="C538" s="39" t="s">
        <v>303</v>
      </c>
      <c r="D538" s="41">
        <v>1</v>
      </c>
      <c r="E538" s="41"/>
      <c r="F538" s="41"/>
      <c r="G538" s="41"/>
      <c r="H538" s="41">
        <f>+D538+E538+-F538</f>
        <v>1</v>
      </c>
      <c r="I538" s="42">
        <v>0</v>
      </c>
      <c r="J538" s="42">
        <f t="shared" si="16"/>
        <v>0</v>
      </c>
      <c r="K538" s="42"/>
      <c r="L538" s="42"/>
      <c r="M538" s="43" t="s">
        <v>248</v>
      </c>
    </row>
    <row r="539" spans="1:13" s="44" customFormat="1" ht="30" customHeight="1" x14ac:dyDescent="0.25">
      <c r="A539" s="39" t="s">
        <v>1643</v>
      </c>
      <c r="B539" s="48">
        <v>45019</v>
      </c>
      <c r="C539" s="51" t="s">
        <v>1604</v>
      </c>
      <c r="D539" s="52">
        <v>67</v>
      </c>
      <c r="E539" s="53"/>
      <c r="F539" s="53">
        <f>1+24</f>
        <v>25</v>
      </c>
      <c r="G539" s="53"/>
      <c r="H539" s="68">
        <f>+D539+E539-F539+G539</f>
        <v>42</v>
      </c>
      <c r="I539" s="54">
        <v>0</v>
      </c>
      <c r="J539" s="55">
        <f t="shared" si="16"/>
        <v>0</v>
      </c>
      <c r="K539" s="54"/>
      <c r="L539" s="54"/>
      <c r="M539" s="43" t="s">
        <v>248</v>
      </c>
    </row>
    <row r="540" spans="1:13" s="44" customFormat="1" ht="30" customHeight="1" x14ac:dyDescent="0.25">
      <c r="A540" s="39" t="s">
        <v>918</v>
      </c>
      <c r="B540" s="40"/>
      <c r="C540" s="39" t="s">
        <v>1277</v>
      </c>
      <c r="D540" s="41">
        <v>6</v>
      </c>
      <c r="E540" s="41"/>
      <c r="F540" s="41"/>
      <c r="G540" s="41"/>
      <c r="H540" s="41">
        <f>+D540+E540+-F540</f>
        <v>6</v>
      </c>
      <c r="I540" s="42">
        <v>189</v>
      </c>
      <c r="J540" s="42">
        <f t="shared" si="16"/>
        <v>1134</v>
      </c>
      <c r="K540" s="42"/>
      <c r="L540" s="42"/>
      <c r="M540" s="43" t="s">
        <v>248</v>
      </c>
    </row>
    <row r="541" spans="1:13" s="44" customFormat="1" ht="30" customHeight="1" x14ac:dyDescent="0.25">
      <c r="A541" s="39" t="s">
        <v>912</v>
      </c>
      <c r="B541" s="48">
        <v>45019</v>
      </c>
      <c r="C541" s="39" t="s">
        <v>304</v>
      </c>
      <c r="D541" s="41">
        <f>87-24-1</f>
        <v>62</v>
      </c>
      <c r="E541" s="41"/>
      <c r="F541" s="41">
        <f>1+1+10+5+1+3+2+2+1+4</f>
        <v>30</v>
      </c>
      <c r="G541" s="41"/>
      <c r="H541" s="41">
        <f>+D541+E541+-F541</f>
        <v>32</v>
      </c>
      <c r="I541" s="42">
        <v>0</v>
      </c>
      <c r="J541" s="42">
        <f t="shared" si="16"/>
        <v>0</v>
      </c>
      <c r="K541" s="42"/>
      <c r="L541" s="42"/>
      <c r="M541" s="43" t="s">
        <v>248</v>
      </c>
    </row>
    <row r="542" spans="1:13" s="44" customFormat="1" ht="30" customHeight="1" x14ac:dyDescent="0.25">
      <c r="A542" s="39" t="s">
        <v>913</v>
      </c>
      <c r="B542" s="59" t="s">
        <v>6</v>
      </c>
      <c r="C542" s="39" t="s">
        <v>305</v>
      </c>
      <c r="D542" s="41">
        <v>6</v>
      </c>
      <c r="E542" s="41"/>
      <c r="F542" s="41">
        <v>1</v>
      </c>
      <c r="G542" s="41"/>
      <c r="H542" s="41">
        <f>+D542+E542+-F542</f>
        <v>5</v>
      </c>
      <c r="I542" s="42">
        <v>0</v>
      </c>
      <c r="J542" s="42">
        <f t="shared" si="16"/>
        <v>0</v>
      </c>
      <c r="K542" s="42"/>
      <c r="L542" s="42"/>
      <c r="M542" s="43" t="s">
        <v>248</v>
      </c>
    </row>
    <row r="543" spans="1:13" s="44" customFormat="1" ht="30" customHeight="1" x14ac:dyDescent="0.25">
      <c r="A543" s="39" t="s">
        <v>914</v>
      </c>
      <c r="B543" s="59" t="s">
        <v>6</v>
      </c>
      <c r="C543" s="39" t="s">
        <v>306</v>
      </c>
      <c r="D543" s="41">
        <v>6</v>
      </c>
      <c r="E543" s="41"/>
      <c r="F543" s="41"/>
      <c r="G543" s="41"/>
      <c r="H543" s="41">
        <f>+D543+E543+-F543</f>
        <v>6</v>
      </c>
      <c r="I543" s="42">
        <v>0</v>
      </c>
      <c r="J543" s="42">
        <f t="shared" si="16"/>
        <v>0</v>
      </c>
      <c r="K543" s="42"/>
      <c r="L543" s="42"/>
      <c r="M543" s="43" t="s">
        <v>248</v>
      </c>
    </row>
    <row r="544" spans="1:13" s="44" customFormat="1" ht="30" customHeight="1" x14ac:dyDescent="0.25">
      <c r="A544" s="39" t="s">
        <v>915</v>
      </c>
      <c r="B544" s="59" t="s">
        <v>6</v>
      </c>
      <c r="C544" s="39" t="s">
        <v>307</v>
      </c>
      <c r="D544" s="41">
        <v>13</v>
      </c>
      <c r="E544" s="41"/>
      <c r="F544" s="41">
        <v>2</v>
      </c>
      <c r="G544" s="41"/>
      <c r="H544" s="41">
        <f>+D544+E544+-F544</f>
        <v>11</v>
      </c>
      <c r="I544" s="42">
        <v>0</v>
      </c>
      <c r="J544" s="42">
        <f t="shared" si="16"/>
        <v>0</v>
      </c>
      <c r="K544" s="42"/>
      <c r="L544" s="42"/>
      <c r="M544" s="43" t="s">
        <v>248</v>
      </c>
    </row>
    <row r="545" spans="1:13" s="44" customFormat="1" ht="30" customHeight="1" x14ac:dyDescent="0.25">
      <c r="A545" s="39" t="s">
        <v>916</v>
      </c>
      <c r="B545" s="59" t="s">
        <v>6</v>
      </c>
      <c r="C545" s="39" t="s">
        <v>308</v>
      </c>
      <c r="D545" s="41">
        <v>30</v>
      </c>
      <c r="E545" s="41"/>
      <c r="F545" s="41"/>
      <c r="G545" s="41"/>
      <c r="H545" s="41">
        <f>+D545+E545+-F545</f>
        <v>30</v>
      </c>
      <c r="I545" s="42">
        <v>0</v>
      </c>
      <c r="J545" s="42">
        <f t="shared" si="16"/>
        <v>0</v>
      </c>
      <c r="K545" s="42"/>
      <c r="L545" s="42"/>
      <c r="M545" s="43" t="s">
        <v>248</v>
      </c>
    </row>
    <row r="546" spans="1:13" s="44" customFormat="1" ht="30" customHeight="1" x14ac:dyDescent="0.25">
      <c r="A546" s="39" t="s">
        <v>919</v>
      </c>
      <c r="B546" s="40"/>
      <c r="C546" s="39" t="s">
        <v>1278</v>
      </c>
      <c r="D546" s="41">
        <v>14</v>
      </c>
      <c r="E546" s="41"/>
      <c r="F546" s="41">
        <v>1</v>
      </c>
      <c r="G546" s="41"/>
      <c r="H546" s="41">
        <f>+D546+E546+-F546</f>
        <v>13</v>
      </c>
      <c r="I546" s="42">
        <v>189</v>
      </c>
      <c r="J546" s="42">
        <f t="shared" si="16"/>
        <v>2457</v>
      </c>
      <c r="K546" s="42"/>
      <c r="L546" s="42"/>
      <c r="M546" s="43" t="s">
        <v>248</v>
      </c>
    </row>
    <row r="547" spans="1:13" s="44" customFormat="1" ht="30" customHeight="1" x14ac:dyDescent="0.25">
      <c r="A547" s="39" t="s">
        <v>799</v>
      </c>
      <c r="B547" s="40"/>
      <c r="C547" s="39" t="s">
        <v>199</v>
      </c>
      <c r="D547" s="41">
        <f>8+7+2</f>
        <v>17</v>
      </c>
      <c r="E547" s="41"/>
      <c r="F547" s="41"/>
      <c r="G547" s="41"/>
      <c r="H547" s="41">
        <f>+D547+E547+-F547</f>
        <v>17</v>
      </c>
      <c r="I547" s="42">
        <v>239</v>
      </c>
      <c r="J547" s="42">
        <f t="shared" si="16"/>
        <v>4063</v>
      </c>
      <c r="K547" s="42"/>
      <c r="L547" s="42"/>
      <c r="M547" s="43" t="s">
        <v>169</v>
      </c>
    </row>
    <row r="548" spans="1:13" s="44" customFormat="1" ht="30" customHeight="1" x14ac:dyDescent="0.25">
      <c r="A548" s="39" t="s">
        <v>917</v>
      </c>
      <c r="B548" s="40"/>
      <c r="C548" s="39" t="s">
        <v>309</v>
      </c>
      <c r="D548" s="41">
        <v>6</v>
      </c>
      <c r="E548" s="41"/>
      <c r="F548" s="41"/>
      <c r="G548" s="41"/>
      <c r="H548" s="41">
        <f>+D548+E548+-F548</f>
        <v>6</v>
      </c>
      <c r="I548" s="42"/>
      <c r="J548" s="42">
        <f t="shared" si="16"/>
        <v>0</v>
      </c>
      <c r="K548" s="42"/>
      <c r="L548" s="42"/>
      <c r="M548" s="43" t="s">
        <v>248</v>
      </c>
    </row>
    <row r="549" spans="1:13" s="44" customFormat="1" ht="30" customHeight="1" x14ac:dyDescent="0.25">
      <c r="A549" s="39" t="s">
        <v>1536</v>
      </c>
      <c r="B549" s="50">
        <v>45642</v>
      </c>
      <c r="C549" s="51" t="s">
        <v>1529</v>
      </c>
      <c r="D549" s="52"/>
      <c r="E549" s="53">
        <v>92</v>
      </c>
      <c r="F549" s="53">
        <v>92</v>
      </c>
      <c r="G549" s="53"/>
      <c r="H549" s="41">
        <f>+D549+E549-F549+G549</f>
        <v>0</v>
      </c>
      <c r="I549" s="54">
        <v>1115.0999999999999</v>
      </c>
      <c r="J549" s="55">
        <f t="shared" ref="J549:J580" si="17">+H549*I549</f>
        <v>0</v>
      </c>
      <c r="K549" s="54"/>
      <c r="L549" s="54"/>
      <c r="M549" s="60" t="s">
        <v>1540</v>
      </c>
    </row>
    <row r="550" spans="1:13" s="44" customFormat="1" ht="30" customHeight="1" x14ac:dyDescent="0.25">
      <c r="A550" s="39" t="s">
        <v>1404</v>
      </c>
      <c r="B550" s="72">
        <v>45575</v>
      </c>
      <c r="C550" s="73" t="s">
        <v>1438</v>
      </c>
      <c r="D550" s="92">
        <v>4</v>
      </c>
      <c r="E550" s="64"/>
      <c r="F550" s="64">
        <v>4</v>
      </c>
      <c r="G550" s="64"/>
      <c r="H550" s="64">
        <f>+D550+E550-F550+G550</f>
        <v>0</v>
      </c>
      <c r="I550" s="66"/>
      <c r="J550" s="66"/>
      <c r="K550" s="66"/>
      <c r="L550" s="66">
        <f>+H550*K550</f>
        <v>0</v>
      </c>
      <c r="M550" s="67" t="s">
        <v>555</v>
      </c>
    </row>
    <row r="551" spans="1:13" s="44" customFormat="1" ht="30" customHeight="1" x14ac:dyDescent="0.25">
      <c r="A551" s="39" t="s">
        <v>1405</v>
      </c>
      <c r="B551" s="72">
        <v>45575</v>
      </c>
      <c r="C551" s="73" t="s">
        <v>1439</v>
      </c>
      <c r="D551" s="92">
        <v>5</v>
      </c>
      <c r="E551" s="64"/>
      <c r="F551" s="64">
        <v>5</v>
      </c>
      <c r="G551" s="64"/>
      <c r="H551" s="64">
        <f>+D551+E551-F551+G551</f>
        <v>0</v>
      </c>
      <c r="I551" s="66"/>
      <c r="J551" s="66"/>
      <c r="K551" s="66"/>
      <c r="L551" s="66">
        <f>+H551*K551</f>
        <v>0</v>
      </c>
      <c r="M551" s="67" t="s">
        <v>555</v>
      </c>
    </row>
    <row r="552" spans="1:13" s="44" customFormat="1" ht="30" customHeight="1" x14ac:dyDescent="0.25">
      <c r="A552" s="39" t="s">
        <v>1406</v>
      </c>
      <c r="B552" s="72">
        <v>45575</v>
      </c>
      <c r="C552" s="73" t="s">
        <v>1440</v>
      </c>
      <c r="D552" s="92">
        <v>1</v>
      </c>
      <c r="E552" s="64"/>
      <c r="F552" s="64">
        <v>1</v>
      </c>
      <c r="G552" s="64"/>
      <c r="H552" s="64">
        <f>+D552+E552-F552+G552</f>
        <v>0</v>
      </c>
      <c r="I552" s="66"/>
      <c r="J552" s="66"/>
      <c r="K552" s="66"/>
      <c r="L552" s="66">
        <f>+H552*K552</f>
        <v>0</v>
      </c>
      <c r="M552" s="67" t="s">
        <v>555</v>
      </c>
    </row>
    <row r="553" spans="1:13" s="44" customFormat="1" ht="30" customHeight="1" x14ac:dyDescent="0.25">
      <c r="A553" s="39" t="s">
        <v>1407</v>
      </c>
      <c r="B553" s="72">
        <v>45575</v>
      </c>
      <c r="C553" s="73" t="s">
        <v>1441</v>
      </c>
      <c r="D553" s="92">
        <v>2</v>
      </c>
      <c r="E553" s="64"/>
      <c r="F553" s="64">
        <v>2</v>
      </c>
      <c r="G553" s="64"/>
      <c r="H553" s="64">
        <f>+D553+E553-F553+G553</f>
        <v>0</v>
      </c>
      <c r="I553" s="66"/>
      <c r="J553" s="66"/>
      <c r="K553" s="66"/>
      <c r="L553" s="66">
        <f>+H553*K553</f>
        <v>0</v>
      </c>
      <c r="M553" s="67" t="s">
        <v>555</v>
      </c>
    </row>
    <row r="554" spans="1:13" s="91" customFormat="1" ht="30" customHeight="1" x14ac:dyDescent="0.25">
      <c r="A554" s="39" t="s">
        <v>1403</v>
      </c>
      <c r="B554" s="72">
        <v>45575</v>
      </c>
      <c r="C554" s="73" t="s">
        <v>1437</v>
      </c>
      <c r="D554" s="92">
        <v>6</v>
      </c>
      <c r="E554" s="64"/>
      <c r="F554" s="64">
        <v>6</v>
      </c>
      <c r="G554" s="64"/>
      <c r="H554" s="64">
        <f>+D554+E554-F554+G554</f>
        <v>0</v>
      </c>
      <c r="I554" s="66"/>
      <c r="J554" s="66"/>
      <c r="K554" s="66"/>
      <c r="L554" s="66">
        <f>+H554*K554</f>
        <v>0</v>
      </c>
      <c r="M554" s="67" t="s">
        <v>555</v>
      </c>
    </row>
    <row r="555" spans="1:13" s="44" customFormat="1" ht="30" customHeight="1" x14ac:dyDescent="0.25">
      <c r="A555" s="39" t="s">
        <v>1534</v>
      </c>
      <c r="B555" s="50">
        <v>45642</v>
      </c>
      <c r="C555" s="51" t="s">
        <v>1527</v>
      </c>
      <c r="D555" s="52"/>
      <c r="E555" s="53">
        <v>15</v>
      </c>
      <c r="F555" s="53">
        <v>15</v>
      </c>
      <c r="G555" s="53"/>
      <c r="H555" s="41">
        <f>+D555+E555-F555+G555</f>
        <v>0</v>
      </c>
      <c r="I555" s="54">
        <v>3725.4</v>
      </c>
      <c r="J555" s="55">
        <f t="shared" ref="J555:J564" si="18">+H555*I555</f>
        <v>0</v>
      </c>
      <c r="K555" s="54"/>
      <c r="L555" s="54"/>
      <c r="M555" s="60" t="s">
        <v>1540</v>
      </c>
    </row>
    <row r="556" spans="1:13" s="44" customFormat="1" ht="30" customHeight="1" x14ac:dyDescent="0.25">
      <c r="A556" s="39" t="s">
        <v>1533</v>
      </c>
      <c r="B556" s="50">
        <v>45642</v>
      </c>
      <c r="C556" s="51" t="s">
        <v>1526</v>
      </c>
      <c r="D556" s="52"/>
      <c r="E556" s="53">
        <v>15</v>
      </c>
      <c r="F556" s="53">
        <v>15</v>
      </c>
      <c r="G556" s="53"/>
      <c r="H556" s="41">
        <f>+D556+E556-F556+G556</f>
        <v>0</v>
      </c>
      <c r="I556" s="54">
        <v>3725.4</v>
      </c>
      <c r="J556" s="55">
        <f t="shared" si="18"/>
        <v>0</v>
      </c>
      <c r="K556" s="54"/>
      <c r="L556" s="54"/>
      <c r="M556" s="60" t="s">
        <v>1540</v>
      </c>
    </row>
    <row r="557" spans="1:13" s="44" customFormat="1" ht="30" customHeight="1" x14ac:dyDescent="0.25">
      <c r="A557" s="39" t="s">
        <v>1542</v>
      </c>
      <c r="B557" s="50" t="s">
        <v>1553</v>
      </c>
      <c r="C557" s="51" t="s">
        <v>1555</v>
      </c>
      <c r="D557" s="52"/>
      <c r="E557" s="53">
        <v>8</v>
      </c>
      <c r="F557" s="53">
        <f>2</f>
        <v>2</v>
      </c>
      <c r="G557" s="53"/>
      <c r="H557" s="41">
        <f>+D557+E557-F557+G557</f>
        <v>6</v>
      </c>
      <c r="I557" s="54">
        <v>1062</v>
      </c>
      <c r="J557" s="55">
        <f t="shared" si="18"/>
        <v>6372</v>
      </c>
      <c r="K557" s="54"/>
      <c r="L557" s="54"/>
      <c r="M557" s="43" t="s">
        <v>20</v>
      </c>
    </row>
    <row r="558" spans="1:13" s="44" customFormat="1" ht="30" customHeight="1" x14ac:dyDescent="0.25">
      <c r="A558" s="39" t="s">
        <v>1017</v>
      </c>
      <c r="B558" s="40"/>
      <c r="C558" s="39" t="s">
        <v>397</v>
      </c>
      <c r="D558" s="41">
        <v>1</v>
      </c>
      <c r="E558" s="41"/>
      <c r="F558" s="41">
        <v>1</v>
      </c>
      <c r="G558" s="41"/>
      <c r="H558" s="41">
        <f>+D558+E558+-F558</f>
        <v>0</v>
      </c>
      <c r="I558" s="42">
        <v>295</v>
      </c>
      <c r="J558" s="42">
        <f t="shared" si="18"/>
        <v>0</v>
      </c>
      <c r="K558" s="42"/>
      <c r="L558" s="42"/>
      <c r="M558" s="43" t="s">
        <v>313</v>
      </c>
    </row>
    <row r="559" spans="1:13" s="44" customFormat="1" ht="30" customHeight="1" x14ac:dyDescent="0.25">
      <c r="A559" s="39" t="s">
        <v>1016</v>
      </c>
      <c r="B559" s="40"/>
      <c r="C559" s="39" t="s">
        <v>396</v>
      </c>
      <c r="D559" s="41">
        <v>2</v>
      </c>
      <c r="E559" s="41"/>
      <c r="F559" s="41">
        <f>1+1</f>
        <v>2</v>
      </c>
      <c r="G559" s="41"/>
      <c r="H559" s="41">
        <f>+D559+E559+-F559</f>
        <v>0</v>
      </c>
      <c r="I559" s="42">
        <v>295</v>
      </c>
      <c r="J559" s="42">
        <f t="shared" si="18"/>
        <v>0</v>
      </c>
      <c r="K559" s="42"/>
      <c r="L559" s="42"/>
      <c r="M559" s="43" t="s">
        <v>313</v>
      </c>
    </row>
    <row r="560" spans="1:13" s="44" customFormat="1" ht="30" customHeight="1" x14ac:dyDescent="0.25">
      <c r="A560" s="39" t="s">
        <v>1538</v>
      </c>
      <c r="B560" s="50">
        <v>45643</v>
      </c>
      <c r="C560" s="51" t="s">
        <v>1720</v>
      </c>
      <c r="D560" s="52"/>
      <c r="E560" s="53">
        <v>0</v>
      </c>
      <c r="F560" s="53"/>
      <c r="G560" s="53"/>
      <c r="H560" s="41">
        <f>+D560+E560-F560+G560</f>
        <v>0</v>
      </c>
      <c r="I560" s="54">
        <v>58.9</v>
      </c>
      <c r="J560" s="55">
        <f t="shared" si="18"/>
        <v>0</v>
      </c>
      <c r="K560" s="54"/>
      <c r="L560" s="54"/>
      <c r="M560" s="43" t="s">
        <v>248</v>
      </c>
    </row>
    <row r="561" spans="1:13" s="44" customFormat="1" ht="30" customHeight="1" x14ac:dyDescent="0.25">
      <c r="A561" s="39" t="s">
        <v>895</v>
      </c>
      <c r="B561" s="48">
        <v>45414</v>
      </c>
      <c r="C561" s="39" t="s">
        <v>288</v>
      </c>
      <c r="D561" s="41">
        <f>468-12</f>
        <v>456</v>
      </c>
      <c r="E561" s="41"/>
      <c r="F561" s="41">
        <f>12+12+12+12+12+12+12+12+12+12+12+48-6+84+72+84+42</f>
        <v>456</v>
      </c>
      <c r="G561" s="41"/>
      <c r="H561" s="41">
        <f>+D561+E561+-F561</f>
        <v>0</v>
      </c>
      <c r="I561" s="42">
        <v>51.13</v>
      </c>
      <c r="J561" s="42">
        <f t="shared" si="18"/>
        <v>0</v>
      </c>
      <c r="K561" s="42"/>
      <c r="L561" s="42"/>
      <c r="M561" s="43" t="s">
        <v>248</v>
      </c>
    </row>
    <row r="562" spans="1:13" s="44" customFormat="1" ht="30" customHeight="1" x14ac:dyDescent="0.25">
      <c r="A562" s="39" t="s">
        <v>896</v>
      </c>
      <c r="B562" s="48" t="s">
        <v>1627</v>
      </c>
      <c r="C562" s="39" t="s">
        <v>289</v>
      </c>
      <c r="D562" s="41">
        <f>1176-12</f>
        <v>1164</v>
      </c>
      <c r="E562" s="41">
        <f>50*12</f>
        <v>600</v>
      </c>
      <c r="F562" s="41">
        <f>12+12+12+12+12+36+36+12+12+6+12+12+48+6+12-36+60+12+60+60+12+12+78+48+12+84+12+12+36</f>
        <v>714</v>
      </c>
      <c r="G562" s="41"/>
      <c r="H562" s="41">
        <f>+D562+E562+-F562</f>
        <v>1050</v>
      </c>
      <c r="I562" s="42">
        <v>58.901600000000002</v>
      </c>
      <c r="J562" s="42">
        <f t="shared" si="18"/>
        <v>61846.68</v>
      </c>
      <c r="K562" s="42"/>
      <c r="L562" s="42"/>
      <c r="M562" s="43" t="s">
        <v>248</v>
      </c>
    </row>
    <row r="563" spans="1:13" s="44" customFormat="1" ht="30" customHeight="1" x14ac:dyDescent="0.25">
      <c r="A563" s="39" t="s">
        <v>1018</v>
      </c>
      <c r="B563" s="49">
        <v>44193</v>
      </c>
      <c r="C563" s="39" t="s">
        <v>398</v>
      </c>
      <c r="D563" s="41">
        <v>1</v>
      </c>
      <c r="E563" s="41"/>
      <c r="F563" s="41"/>
      <c r="G563" s="41"/>
      <c r="H563" s="41">
        <f>+D563+E563+-F563</f>
        <v>1</v>
      </c>
      <c r="I563" s="42">
        <v>725</v>
      </c>
      <c r="J563" s="42">
        <f t="shared" si="18"/>
        <v>725</v>
      </c>
      <c r="K563" s="42"/>
      <c r="L563" s="42"/>
      <c r="M563" s="43" t="s">
        <v>313</v>
      </c>
    </row>
    <row r="564" spans="1:13" s="44" customFormat="1" ht="30" customHeight="1" x14ac:dyDescent="0.25">
      <c r="A564" s="39" t="s">
        <v>1019</v>
      </c>
      <c r="B564" s="40"/>
      <c r="C564" s="39" t="s">
        <v>399</v>
      </c>
      <c r="D564" s="41">
        <v>1</v>
      </c>
      <c r="E564" s="41"/>
      <c r="F564" s="41"/>
      <c r="G564" s="41"/>
      <c r="H564" s="41">
        <f>+D564+E564+-F564</f>
        <v>1</v>
      </c>
      <c r="I564" s="42">
        <v>0</v>
      </c>
      <c r="J564" s="42">
        <f t="shared" si="18"/>
        <v>0</v>
      </c>
      <c r="K564" s="42"/>
      <c r="L564" s="42"/>
      <c r="M564" s="43" t="s">
        <v>313</v>
      </c>
    </row>
    <row r="565" spans="1:13" s="44" customFormat="1" ht="30" customHeight="1" x14ac:dyDescent="0.25">
      <c r="A565" s="39" t="s">
        <v>1077</v>
      </c>
      <c r="B565" s="40"/>
      <c r="C565" s="39" t="s">
        <v>448</v>
      </c>
      <c r="D565" s="41">
        <v>3</v>
      </c>
      <c r="E565" s="41"/>
      <c r="F565" s="41"/>
      <c r="G565" s="41"/>
      <c r="H565" s="41">
        <f>+D565+E565+-F565</f>
        <v>3</v>
      </c>
      <c r="I565" s="42"/>
      <c r="J565" s="42"/>
      <c r="K565" s="42"/>
      <c r="L565" s="42"/>
      <c r="M565" s="43" t="s">
        <v>313</v>
      </c>
    </row>
    <row r="566" spans="1:13" s="44" customFormat="1" ht="30" customHeight="1" x14ac:dyDescent="0.25">
      <c r="A566" s="39" t="s">
        <v>897</v>
      </c>
      <c r="B566" s="48">
        <v>45643</v>
      </c>
      <c r="C566" s="39" t="s">
        <v>290</v>
      </c>
      <c r="D566" s="41">
        <f>366-6-12-6-6-6-12-12-6</f>
        <v>300</v>
      </c>
      <c r="E566" s="41">
        <f>300+960</f>
        <v>1260</v>
      </c>
      <c r="F566" s="41">
        <f>24+6+12+6+6+6+6+12+6+6+6+12+6+12+12+6+6+18+18+6+24+6+6+6+42+6+6+36+6+30+30+30+6+24+6+42+6+6+42+6+6+42+6+90+42+42+6+6+12+24</f>
        <v>834</v>
      </c>
      <c r="G566" s="41"/>
      <c r="H566" s="41">
        <f>+D566+E566+-F566</f>
        <v>726</v>
      </c>
      <c r="I566" s="42">
        <v>113.833</v>
      </c>
      <c r="J566" s="42">
        <f t="shared" ref="J566:J590" si="19">+H566*I566</f>
        <v>82642.758000000002</v>
      </c>
      <c r="K566" s="42"/>
      <c r="L566" s="42"/>
      <c r="M566" s="43" t="s">
        <v>248</v>
      </c>
    </row>
    <row r="567" spans="1:13" s="44" customFormat="1" ht="30" customHeight="1" x14ac:dyDescent="0.25">
      <c r="A567" s="39" t="s">
        <v>1020</v>
      </c>
      <c r="B567" s="48">
        <v>45469</v>
      </c>
      <c r="C567" s="39" t="s">
        <v>400</v>
      </c>
      <c r="D567" s="41">
        <f>69-1-1</f>
        <v>67</v>
      </c>
      <c r="E567" s="41"/>
      <c r="F567" s="41">
        <f>1+1+1+2+2+2+1+2</f>
        <v>12</v>
      </c>
      <c r="G567" s="41"/>
      <c r="H567" s="41">
        <f>+D567+E567+-F567</f>
        <v>55</v>
      </c>
      <c r="I567" s="42">
        <v>155</v>
      </c>
      <c r="J567" s="42">
        <f t="shared" si="19"/>
        <v>8525</v>
      </c>
      <c r="K567" s="42"/>
      <c r="L567" s="42"/>
      <c r="M567" s="43" t="s">
        <v>313</v>
      </c>
    </row>
    <row r="568" spans="1:13" s="44" customFormat="1" ht="30" customHeight="1" x14ac:dyDescent="0.25">
      <c r="A568" s="39" t="s">
        <v>1021</v>
      </c>
      <c r="B568" s="48">
        <v>45469</v>
      </c>
      <c r="C568" s="39" t="s">
        <v>401</v>
      </c>
      <c r="D568" s="41">
        <v>67</v>
      </c>
      <c r="E568" s="41"/>
      <c r="F568" s="41">
        <f>1+1+2</f>
        <v>4</v>
      </c>
      <c r="G568" s="41"/>
      <c r="H568" s="41">
        <f>+D568+E568+-F568</f>
        <v>63</v>
      </c>
      <c r="I568" s="42">
        <v>155</v>
      </c>
      <c r="J568" s="42">
        <f t="shared" si="19"/>
        <v>9765</v>
      </c>
      <c r="K568" s="42"/>
      <c r="L568" s="42"/>
      <c r="M568" s="43" t="s">
        <v>313</v>
      </c>
    </row>
    <row r="569" spans="1:13" s="44" customFormat="1" ht="30" customHeight="1" x14ac:dyDescent="0.25">
      <c r="A569" s="39" t="s">
        <v>800</v>
      </c>
      <c r="B569" s="40"/>
      <c r="C569" s="39" t="s">
        <v>200</v>
      </c>
      <c r="D569" s="41">
        <v>2</v>
      </c>
      <c r="E569" s="41"/>
      <c r="F569" s="41"/>
      <c r="G569" s="41"/>
      <c r="H569" s="41">
        <f>+D569+E569+-F569</f>
        <v>2</v>
      </c>
      <c r="I569" s="42"/>
      <c r="J569" s="42">
        <f t="shared" si="19"/>
        <v>0</v>
      </c>
      <c r="K569" s="42"/>
      <c r="L569" s="42"/>
      <c r="M569" s="43" t="s">
        <v>169</v>
      </c>
    </row>
    <row r="570" spans="1:13" s="44" customFormat="1" ht="30" customHeight="1" x14ac:dyDescent="0.25">
      <c r="A570" s="39" t="s">
        <v>1073</v>
      </c>
      <c r="B570" s="49">
        <v>45042</v>
      </c>
      <c r="C570" s="39" t="s">
        <v>444</v>
      </c>
      <c r="D570" s="41">
        <v>11</v>
      </c>
      <c r="E570" s="41"/>
      <c r="F570" s="41">
        <f>1+1</f>
        <v>2</v>
      </c>
      <c r="G570" s="41"/>
      <c r="H570" s="41">
        <f>+D570+E570+-F570</f>
        <v>9</v>
      </c>
      <c r="I570" s="42">
        <v>206.54</v>
      </c>
      <c r="J570" s="42">
        <f t="shared" si="19"/>
        <v>1858.86</v>
      </c>
      <c r="K570" s="42"/>
      <c r="L570" s="42"/>
      <c r="M570" s="43" t="s">
        <v>313</v>
      </c>
    </row>
    <row r="571" spans="1:13" s="44" customFormat="1" ht="30" customHeight="1" x14ac:dyDescent="0.25">
      <c r="A571" s="39" t="s">
        <v>1022</v>
      </c>
      <c r="B571" s="40"/>
      <c r="C571" s="39" t="s">
        <v>402</v>
      </c>
      <c r="D571" s="41">
        <v>6</v>
      </c>
      <c r="E571" s="41"/>
      <c r="F571" s="41">
        <v>1</v>
      </c>
      <c r="G571" s="41"/>
      <c r="H571" s="41">
        <f>+D571+E571+-F571</f>
        <v>5</v>
      </c>
      <c r="I571" s="42">
        <v>55</v>
      </c>
      <c r="J571" s="42">
        <f t="shared" si="19"/>
        <v>275</v>
      </c>
      <c r="K571" s="42"/>
      <c r="L571" s="42"/>
      <c r="M571" s="43" t="s">
        <v>313</v>
      </c>
    </row>
    <row r="572" spans="1:13" s="44" customFormat="1" ht="30" customHeight="1" x14ac:dyDescent="0.25">
      <c r="A572" s="39" t="s">
        <v>1023</v>
      </c>
      <c r="B572" s="40"/>
      <c r="C572" s="39" t="s">
        <v>403</v>
      </c>
      <c r="D572" s="41">
        <v>84</v>
      </c>
      <c r="E572" s="41"/>
      <c r="F572" s="41"/>
      <c r="G572" s="41"/>
      <c r="H572" s="41">
        <f>+D572+E572+-F572</f>
        <v>84</v>
      </c>
      <c r="I572" s="42"/>
      <c r="J572" s="42">
        <f t="shared" si="19"/>
        <v>0</v>
      </c>
      <c r="K572" s="42"/>
      <c r="L572" s="42"/>
      <c r="M572" s="43" t="s">
        <v>313</v>
      </c>
    </row>
    <row r="573" spans="1:13" s="44" customFormat="1" ht="30" customHeight="1" x14ac:dyDescent="0.25">
      <c r="A573" s="39" t="s">
        <v>1024</v>
      </c>
      <c r="B573" s="40"/>
      <c r="C573" s="39" t="s">
        <v>1293</v>
      </c>
      <c r="D573" s="41">
        <v>73</v>
      </c>
      <c r="E573" s="41"/>
      <c r="F573" s="41"/>
      <c r="G573" s="41"/>
      <c r="H573" s="41">
        <f>+D573+E573+-F573</f>
        <v>73</v>
      </c>
      <c r="I573" s="42"/>
      <c r="J573" s="42">
        <f t="shared" si="19"/>
        <v>0</v>
      </c>
      <c r="K573" s="42"/>
      <c r="L573" s="42"/>
      <c r="M573" s="43" t="s">
        <v>313</v>
      </c>
    </row>
    <row r="574" spans="1:13" s="44" customFormat="1" ht="30" customHeight="1" x14ac:dyDescent="0.25">
      <c r="A574" s="39" t="s">
        <v>1025</v>
      </c>
      <c r="B574" s="40"/>
      <c r="C574" s="39" t="s">
        <v>404</v>
      </c>
      <c r="D574" s="41">
        <v>10</v>
      </c>
      <c r="E574" s="41"/>
      <c r="F574" s="41">
        <v>3</v>
      </c>
      <c r="G574" s="41"/>
      <c r="H574" s="41">
        <f>+D574+E574+-F574</f>
        <v>7</v>
      </c>
      <c r="I574" s="42"/>
      <c r="J574" s="42">
        <f t="shared" si="19"/>
        <v>0</v>
      </c>
      <c r="K574" s="42"/>
      <c r="L574" s="42"/>
      <c r="M574" s="43" t="s">
        <v>313</v>
      </c>
    </row>
    <row r="575" spans="1:13" s="44" customFormat="1" ht="30" customHeight="1" x14ac:dyDescent="0.25">
      <c r="A575" s="39" t="s">
        <v>1026</v>
      </c>
      <c r="B575" s="40"/>
      <c r="C575" s="39" t="s">
        <v>405</v>
      </c>
      <c r="D575" s="41">
        <v>50</v>
      </c>
      <c r="E575" s="41"/>
      <c r="F575" s="41">
        <v>25</v>
      </c>
      <c r="G575" s="41"/>
      <c r="H575" s="41">
        <f>+D575+E575+-F575</f>
        <v>25</v>
      </c>
      <c r="I575" s="42"/>
      <c r="J575" s="42">
        <f t="shared" si="19"/>
        <v>0</v>
      </c>
      <c r="K575" s="42"/>
      <c r="L575" s="42"/>
      <c r="M575" s="43" t="s">
        <v>313</v>
      </c>
    </row>
    <row r="576" spans="1:13" s="44" customFormat="1" ht="30" customHeight="1" x14ac:dyDescent="0.25">
      <c r="A576" s="39" t="s">
        <v>842</v>
      </c>
      <c r="B576" s="48" t="s">
        <v>1659</v>
      </c>
      <c r="C576" s="39" t="s">
        <v>1222</v>
      </c>
      <c r="D576" s="41">
        <f>14-1-5-1</f>
        <v>7</v>
      </c>
      <c r="E576" s="41">
        <v>60</v>
      </c>
      <c r="F576" s="41">
        <f>3+1+2+1+2</f>
        <v>9</v>
      </c>
      <c r="G576" s="41"/>
      <c r="H576" s="41">
        <f>+D576+E576+-F576</f>
        <v>58</v>
      </c>
      <c r="I576" s="54">
        <v>510.66</v>
      </c>
      <c r="J576" s="42">
        <f t="shared" si="19"/>
        <v>29618.280000000002</v>
      </c>
      <c r="K576" s="42"/>
      <c r="L576" s="42"/>
      <c r="M576" s="43" t="s">
        <v>222</v>
      </c>
    </row>
    <row r="577" spans="1:13" s="44" customFormat="1" ht="30" customHeight="1" x14ac:dyDescent="0.25">
      <c r="A577" s="39" t="s">
        <v>572</v>
      </c>
      <c r="B577" s="59" t="s">
        <v>6</v>
      </c>
      <c r="C577" s="39" t="s">
        <v>15</v>
      </c>
      <c r="D577" s="41">
        <v>2</v>
      </c>
      <c r="E577" s="41"/>
      <c r="F577" s="41"/>
      <c r="G577" s="41"/>
      <c r="H577" s="41">
        <f>+D577+E577-F577</f>
        <v>2</v>
      </c>
      <c r="I577" s="42">
        <v>426</v>
      </c>
      <c r="J577" s="42">
        <f t="shared" si="19"/>
        <v>852</v>
      </c>
      <c r="K577" s="42"/>
      <c r="L577" s="42"/>
      <c r="M577" s="43" t="s">
        <v>8</v>
      </c>
    </row>
    <row r="578" spans="1:13" s="44" customFormat="1" ht="30" customHeight="1" x14ac:dyDescent="0.25">
      <c r="A578" s="39" t="s">
        <v>1027</v>
      </c>
      <c r="B578" s="40" t="s">
        <v>273</v>
      </c>
      <c r="C578" s="39" t="s">
        <v>406</v>
      </c>
      <c r="D578" s="41">
        <v>6</v>
      </c>
      <c r="E578" s="41"/>
      <c r="F578" s="41">
        <v>1</v>
      </c>
      <c r="G578" s="41"/>
      <c r="H578" s="41">
        <f>+D578+E578+-F578</f>
        <v>5</v>
      </c>
      <c r="I578" s="42">
        <v>208.86</v>
      </c>
      <c r="J578" s="42">
        <f t="shared" si="19"/>
        <v>1044.3000000000002</v>
      </c>
      <c r="K578" s="42"/>
      <c r="L578" s="42"/>
      <c r="M578" s="43" t="s">
        <v>313</v>
      </c>
    </row>
    <row r="579" spans="1:13" s="44" customFormat="1" ht="30" customHeight="1" x14ac:dyDescent="0.25">
      <c r="A579" s="39" t="s">
        <v>1148</v>
      </c>
      <c r="B579" s="49" t="s">
        <v>6</v>
      </c>
      <c r="C579" s="39" t="s">
        <v>499</v>
      </c>
      <c r="D579" s="41">
        <v>2</v>
      </c>
      <c r="E579" s="41"/>
      <c r="F579" s="41"/>
      <c r="G579" s="41"/>
      <c r="H579" s="41">
        <f>+D579+E579+-F579</f>
        <v>2</v>
      </c>
      <c r="I579" s="42">
        <v>81.540000000000006</v>
      </c>
      <c r="J579" s="42">
        <f t="shared" si="19"/>
        <v>163.08000000000001</v>
      </c>
      <c r="K579" s="42"/>
      <c r="L579" s="42"/>
      <c r="M579" s="43" t="s">
        <v>454</v>
      </c>
    </row>
    <row r="580" spans="1:13" s="44" customFormat="1" ht="30" customHeight="1" x14ac:dyDescent="0.25">
      <c r="A580" s="39" t="s">
        <v>1076</v>
      </c>
      <c r="B580" s="40"/>
      <c r="C580" s="39" t="s">
        <v>447</v>
      </c>
      <c r="D580" s="41">
        <v>17</v>
      </c>
      <c r="E580" s="41"/>
      <c r="F580" s="41"/>
      <c r="G580" s="41"/>
      <c r="H580" s="41">
        <f>+D580+E580+-F580</f>
        <v>17</v>
      </c>
      <c r="I580" s="42"/>
      <c r="J580" s="42">
        <f t="shared" si="19"/>
        <v>0</v>
      </c>
      <c r="K580" s="42"/>
      <c r="L580" s="42"/>
      <c r="M580" s="43" t="s">
        <v>313</v>
      </c>
    </row>
    <row r="581" spans="1:13" s="44" customFormat="1" ht="30" customHeight="1" x14ac:dyDescent="0.25">
      <c r="A581" s="39" t="s">
        <v>659</v>
      </c>
      <c r="B581" s="40"/>
      <c r="C581" s="45" t="s">
        <v>91</v>
      </c>
      <c r="D581" s="41">
        <v>11</v>
      </c>
      <c r="E581" s="41"/>
      <c r="F581" s="41"/>
      <c r="G581" s="41"/>
      <c r="H581" s="41">
        <f>+D581+E581-F581</f>
        <v>11</v>
      </c>
      <c r="I581" s="42"/>
      <c r="J581" s="42">
        <f t="shared" si="19"/>
        <v>0</v>
      </c>
      <c r="K581" s="42"/>
      <c r="L581" s="42"/>
      <c r="M581" s="43" t="s">
        <v>27</v>
      </c>
    </row>
    <row r="582" spans="1:13" s="44" customFormat="1" ht="30" customHeight="1" x14ac:dyDescent="0.25">
      <c r="A582" s="39" t="s">
        <v>1481</v>
      </c>
      <c r="B582" s="50">
        <v>45631</v>
      </c>
      <c r="C582" s="51" t="s">
        <v>1482</v>
      </c>
      <c r="D582" s="52"/>
      <c r="E582" s="53">
        <v>5</v>
      </c>
      <c r="F582" s="53">
        <f>1+1+1</f>
        <v>3</v>
      </c>
      <c r="G582" s="53"/>
      <c r="H582" s="41">
        <f>+D582+E582-F582+G582</f>
        <v>2</v>
      </c>
      <c r="I582" s="54">
        <v>1522.2</v>
      </c>
      <c r="J582" s="55">
        <f t="shared" si="19"/>
        <v>3044.4</v>
      </c>
      <c r="K582" s="54"/>
      <c r="L582" s="54"/>
      <c r="M582" s="60" t="s">
        <v>1372</v>
      </c>
    </row>
    <row r="583" spans="1:13" s="44" customFormat="1" ht="30" customHeight="1" x14ac:dyDescent="0.25">
      <c r="A583" s="39" t="s">
        <v>1480</v>
      </c>
      <c r="B583" s="50">
        <v>45631</v>
      </c>
      <c r="C583" s="51" t="s">
        <v>1478</v>
      </c>
      <c r="D583" s="52"/>
      <c r="E583" s="53">
        <v>2</v>
      </c>
      <c r="F583" s="53"/>
      <c r="G583" s="53"/>
      <c r="H583" s="41">
        <f>+D583+E583-F583+G583</f>
        <v>2</v>
      </c>
      <c r="I583" s="54">
        <v>495.6</v>
      </c>
      <c r="J583" s="55">
        <f t="shared" si="19"/>
        <v>991.2</v>
      </c>
      <c r="K583" s="54"/>
      <c r="L583" s="54"/>
      <c r="M583" s="60" t="s">
        <v>1372</v>
      </c>
    </row>
    <row r="584" spans="1:13" s="44" customFormat="1" ht="30" customHeight="1" x14ac:dyDescent="0.25">
      <c r="A584" s="39" t="s">
        <v>898</v>
      </c>
      <c r="B584" s="48" t="s">
        <v>1584</v>
      </c>
      <c r="C584" s="39" t="s">
        <v>291</v>
      </c>
      <c r="D584" s="41">
        <f>80+14+40-3-2-3</f>
        <v>126</v>
      </c>
      <c r="E584" s="41">
        <v>130</v>
      </c>
      <c r="F584" s="41">
        <f>11+3+4+4+2+18+4+4+4+2+4+7+6+2+4+3+4</f>
        <v>86</v>
      </c>
      <c r="G584" s="41"/>
      <c r="H584" s="41">
        <f>+D584+E584+-F584</f>
        <v>170</v>
      </c>
      <c r="I584" s="42">
        <v>42.48</v>
      </c>
      <c r="J584" s="42">
        <f t="shared" si="19"/>
        <v>7221.5999999999995</v>
      </c>
      <c r="K584" s="42"/>
      <c r="L584" s="42"/>
      <c r="M584" s="43" t="s">
        <v>248</v>
      </c>
    </row>
    <row r="585" spans="1:13" s="44" customFormat="1" ht="30" customHeight="1" x14ac:dyDescent="0.25">
      <c r="A585" s="39" t="s">
        <v>899</v>
      </c>
      <c r="B585" s="48" t="s">
        <v>1584</v>
      </c>
      <c r="C585" s="39" t="s">
        <v>292</v>
      </c>
      <c r="D585" s="41">
        <v>32</v>
      </c>
      <c r="E585" s="41">
        <v>93</v>
      </c>
      <c r="F585" s="41">
        <f>1+6+4+4</f>
        <v>15</v>
      </c>
      <c r="G585" s="41"/>
      <c r="H585" s="41">
        <f>+D585+E585+-F585</f>
        <v>110</v>
      </c>
      <c r="I585" s="42">
        <v>42.48</v>
      </c>
      <c r="J585" s="42">
        <f t="shared" si="19"/>
        <v>4672.7999999999993</v>
      </c>
      <c r="K585" s="42"/>
      <c r="L585" s="42"/>
      <c r="M585" s="43" t="s">
        <v>248</v>
      </c>
    </row>
    <row r="586" spans="1:13" s="44" customFormat="1" ht="30" customHeight="1" x14ac:dyDescent="0.25">
      <c r="A586" s="39" t="s">
        <v>900</v>
      </c>
      <c r="B586" s="48">
        <v>45414</v>
      </c>
      <c r="C586" s="39" t="s">
        <v>293</v>
      </c>
      <c r="D586" s="41">
        <v>107</v>
      </c>
      <c r="E586" s="41"/>
      <c r="F586" s="41">
        <f>20+4+4</f>
        <v>28</v>
      </c>
      <c r="G586" s="41"/>
      <c r="H586" s="41">
        <f>+D586+E586+-F586</f>
        <v>79</v>
      </c>
      <c r="I586" s="42">
        <v>42.48</v>
      </c>
      <c r="J586" s="42">
        <f t="shared" si="19"/>
        <v>3355.9199999999996</v>
      </c>
      <c r="K586" s="42"/>
      <c r="L586" s="42"/>
      <c r="M586" s="43" t="s">
        <v>248</v>
      </c>
    </row>
    <row r="587" spans="1:13" s="44" customFormat="1" ht="30" customHeight="1" x14ac:dyDescent="0.25">
      <c r="A587" s="39" t="s">
        <v>901</v>
      </c>
      <c r="B587" s="48">
        <v>45414</v>
      </c>
      <c r="C587" s="39" t="s">
        <v>294</v>
      </c>
      <c r="D587" s="41">
        <f>24+40</f>
        <v>64</v>
      </c>
      <c r="E587" s="41">
        <v>71</v>
      </c>
      <c r="F587" s="41">
        <f>4+6+4+1+15+2</f>
        <v>32</v>
      </c>
      <c r="G587" s="41"/>
      <c r="H587" s="41">
        <f>+D587+E587+-F587</f>
        <v>103</v>
      </c>
      <c r="I587" s="42">
        <v>42.48</v>
      </c>
      <c r="J587" s="42">
        <f t="shared" si="19"/>
        <v>4375.4399999999996</v>
      </c>
      <c r="K587" s="42"/>
      <c r="L587" s="42"/>
      <c r="M587" s="43" t="s">
        <v>248</v>
      </c>
    </row>
    <row r="588" spans="1:13" s="44" customFormat="1" ht="30" customHeight="1" x14ac:dyDescent="0.25">
      <c r="A588" s="39" t="s">
        <v>1590</v>
      </c>
      <c r="B588" s="50" t="s">
        <v>1584</v>
      </c>
      <c r="C588" s="51" t="s">
        <v>1592</v>
      </c>
      <c r="D588" s="52"/>
      <c r="E588" s="53">
        <v>480</v>
      </c>
      <c r="F588" s="53">
        <f>11+4+4+10+4+4+12+15+4+10+15+4+12+15+4+4+15+4+15+4+310</f>
        <v>480</v>
      </c>
      <c r="G588" s="53"/>
      <c r="H588" s="41">
        <f>+D588+E588-F588+G588</f>
        <v>0</v>
      </c>
      <c r="I588" s="54">
        <v>45.311999999999998</v>
      </c>
      <c r="J588" s="55">
        <f t="shared" si="19"/>
        <v>0</v>
      </c>
      <c r="K588" s="54"/>
      <c r="L588" s="54"/>
      <c r="M588" s="43" t="s">
        <v>248</v>
      </c>
    </row>
    <row r="589" spans="1:13" s="44" customFormat="1" ht="30" customHeight="1" x14ac:dyDescent="0.25">
      <c r="A589" s="39" t="s">
        <v>801</v>
      </c>
      <c r="B589" s="40"/>
      <c r="C589" s="39" t="s">
        <v>201</v>
      </c>
      <c r="D589" s="41">
        <v>1</v>
      </c>
      <c r="E589" s="41"/>
      <c r="F589" s="41"/>
      <c r="G589" s="41"/>
      <c r="H589" s="41">
        <f>+D589+E589+-F589</f>
        <v>1</v>
      </c>
      <c r="I589" s="42"/>
      <c r="J589" s="42">
        <f t="shared" si="19"/>
        <v>0</v>
      </c>
      <c r="K589" s="42"/>
      <c r="L589" s="42"/>
      <c r="M589" s="43" t="s">
        <v>169</v>
      </c>
    </row>
    <row r="590" spans="1:13" s="44" customFormat="1" ht="30" customHeight="1" x14ac:dyDescent="0.25">
      <c r="A590" s="39" t="s">
        <v>1333</v>
      </c>
      <c r="B590" s="46">
        <v>45621</v>
      </c>
      <c r="C590" s="47" t="s">
        <v>1338</v>
      </c>
      <c r="D590" s="39"/>
      <c r="E590" s="41">
        <v>5</v>
      </c>
      <c r="F590" s="41">
        <v>5</v>
      </c>
      <c r="G590" s="41"/>
      <c r="H590" s="41">
        <f>+D590+E590-F590+G590</f>
        <v>0</v>
      </c>
      <c r="I590" s="42">
        <v>949.99</v>
      </c>
      <c r="J590" s="42">
        <f t="shared" si="19"/>
        <v>0</v>
      </c>
      <c r="K590" s="42"/>
      <c r="L590" s="42"/>
      <c r="M590" s="43" t="s">
        <v>1238</v>
      </c>
    </row>
    <row r="591" spans="1:13" s="44" customFormat="1" ht="30" customHeight="1" x14ac:dyDescent="0.25">
      <c r="A591" s="39" t="s">
        <v>1244</v>
      </c>
      <c r="B591" s="62">
        <v>45597</v>
      </c>
      <c r="C591" s="63" t="s">
        <v>1288</v>
      </c>
      <c r="D591" s="64">
        <v>10</v>
      </c>
      <c r="E591" s="64"/>
      <c r="F591" s="64">
        <f>1+1</f>
        <v>2</v>
      </c>
      <c r="G591" s="64"/>
      <c r="H591" s="64">
        <f>+D591+G591-F591</f>
        <v>8</v>
      </c>
      <c r="I591" s="66"/>
      <c r="J591" s="66"/>
      <c r="K591" s="66">
        <v>3942.38</v>
      </c>
      <c r="L591" s="66">
        <f>+H591*K591</f>
        <v>31539.040000000001</v>
      </c>
      <c r="M591" s="67" t="s">
        <v>1238</v>
      </c>
    </row>
    <row r="592" spans="1:13" s="44" customFormat="1" ht="30" customHeight="1" x14ac:dyDescent="0.25">
      <c r="A592" s="39" t="s">
        <v>1239</v>
      </c>
      <c r="B592" s="48">
        <v>45604</v>
      </c>
      <c r="C592" s="39" t="s">
        <v>1251</v>
      </c>
      <c r="D592" s="41"/>
      <c r="E592" s="41">
        <v>5</v>
      </c>
      <c r="F592" s="41">
        <v>2</v>
      </c>
      <c r="G592" s="41"/>
      <c r="H592" s="41">
        <f>+D592+E592+-F592</f>
        <v>3</v>
      </c>
      <c r="I592" s="42">
        <v>3942.38</v>
      </c>
      <c r="J592" s="42">
        <f>+H592*I592</f>
        <v>11827.14</v>
      </c>
      <c r="K592" s="42"/>
      <c r="L592" s="42"/>
      <c r="M592" s="43" t="s">
        <v>1238</v>
      </c>
    </row>
    <row r="593" spans="1:13" s="44" customFormat="1" ht="30" customHeight="1" x14ac:dyDescent="0.25">
      <c r="A593" s="39" t="s">
        <v>1240</v>
      </c>
      <c r="B593" s="48">
        <v>45604</v>
      </c>
      <c r="C593" s="39" t="s">
        <v>1252</v>
      </c>
      <c r="D593" s="41"/>
      <c r="E593" s="41">
        <v>5</v>
      </c>
      <c r="F593" s="41"/>
      <c r="G593" s="41"/>
      <c r="H593" s="41">
        <f>+D593+E593+-F593</f>
        <v>5</v>
      </c>
      <c r="I593" s="42">
        <v>3942.38</v>
      </c>
      <c r="J593" s="42">
        <f>+H593*I593</f>
        <v>19711.900000000001</v>
      </c>
      <c r="K593" s="42"/>
      <c r="L593" s="42"/>
      <c r="M593" s="43" t="s">
        <v>1238</v>
      </c>
    </row>
    <row r="594" spans="1:13" s="44" customFormat="1" ht="30" customHeight="1" x14ac:dyDescent="0.25">
      <c r="A594" s="39" t="s">
        <v>731</v>
      </c>
      <c r="B594" s="49">
        <v>45111</v>
      </c>
      <c r="C594" s="39" t="s">
        <v>145</v>
      </c>
      <c r="D594" s="41">
        <v>1</v>
      </c>
      <c r="E594" s="41"/>
      <c r="F594" s="41">
        <v>1</v>
      </c>
      <c r="G594" s="41"/>
      <c r="H594" s="41">
        <f>+D594+E594-F594</f>
        <v>0</v>
      </c>
      <c r="I594" s="42">
        <v>1500</v>
      </c>
      <c r="J594" s="42">
        <f>+H594*I594</f>
        <v>0</v>
      </c>
      <c r="K594" s="42"/>
      <c r="L594" s="42"/>
      <c r="M594" s="43" t="s">
        <v>1238</v>
      </c>
    </row>
    <row r="595" spans="1:13" s="44" customFormat="1" ht="30" customHeight="1" x14ac:dyDescent="0.25">
      <c r="A595" s="39" t="s">
        <v>1248</v>
      </c>
      <c r="B595" s="77">
        <v>45597</v>
      </c>
      <c r="C595" s="63" t="s">
        <v>1266</v>
      </c>
      <c r="D595" s="64">
        <v>5</v>
      </c>
      <c r="E595" s="64"/>
      <c r="F595" s="64"/>
      <c r="G595" s="64"/>
      <c r="H595" s="64">
        <f>+D595+E595-F595</f>
        <v>5</v>
      </c>
      <c r="I595" s="66"/>
      <c r="J595" s="66"/>
      <c r="K595" s="66">
        <v>3942.38</v>
      </c>
      <c r="L595" s="66">
        <f>+H595*K595</f>
        <v>19711.900000000001</v>
      </c>
      <c r="M595" s="67" t="s">
        <v>1238</v>
      </c>
    </row>
    <row r="596" spans="1:13" s="44" customFormat="1" ht="30" customHeight="1" x14ac:dyDescent="0.25">
      <c r="A596" s="39" t="s">
        <v>708</v>
      </c>
      <c r="B596" s="49">
        <v>45111</v>
      </c>
      <c r="C596" s="39" t="s">
        <v>129</v>
      </c>
      <c r="D596" s="41">
        <v>5</v>
      </c>
      <c r="E596" s="41"/>
      <c r="F596" s="41"/>
      <c r="G596" s="41"/>
      <c r="H596" s="41">
        <f>+D596+E596-F596</f>
        <v>5</v>
      </c>
      <c r="I596" s="42">
        <v>1711</v>
      </c>
      <c r="J596" s="42">
        <f>+H596*I596</f>
        <v>8555</v>
      </c>
      <c r="K596" s="42"/>
      <c r="L596" s="42"/>
      <c r="M596" s="43" t="s">
        <v>1238</v>
      </c>
    </row>
    <row r="597" spans="1:13" s="44" customFormat="1" ht="30" customHeight="1" x14ac:dyDescent="0.25">
      <c r="A597" s="39" t="s">
        <v>718</v>
      </c>
      <c r="B597" s="49">
        <v>45604</v>
      </c>
      <c r="C597" s="39" t="s">
        <v>1224</v>
      </c>
      <c r="D597" s="41">
        <v>2</v>
      </c>
      <c r="E597" s="41">
        <v>10</v>
      </c>
      <c r="F597" s="41">
        <v>1</v>
      </c>
      <c r="G597" s="41"/>
      <c r="H597" s="41">
        <f>+D597+E597-F597</f>
        <v>11</v>
      </c>
      <c r="I597" s="42">
        <v>3942.38</v>
      </c>
      <c r="J597" s="42">
        <f>+H597*I597</f>
        <v>43366.18</v>
      </c>
      <c r="K597" s="42"/>
      <c r="L597" s="42"/>
      <c r="M597" s="43" t="s">
        <v>1238</v>
      </c>
    </row>
    <row r="598" spans="1:13" s="44" customFormat="1" ht="30" customHeight="1" x14ac:dyDescent="0.25">
      <c r="A598" s="39" t="s">
        <v>1246</v>
      </c>
      <c r="B598" s="77">
        <v>45597</v>
      </c>
      <c r="C598" s="63" t="s">
        <v>1397</v>
      </c>
      <c r="D598" s="64">
        <v>20</v>
      </c>
      <c r="E598" s="64"/>
      <c r="F598" s="64">
        <f>2+1+1+1+1+2</f>
        <v>8</v>
      </c>
      <c r="G598" s="64"/>
      <c r="H598" s="64">
        <f>+D598+E598-F598</f>
        <v>12</v>
      </c>
      <c r="I598" s="66"/>
      <c r="J598" s="66"/>
      <c r="K598" s="66">
        <v>3942.38</v>
      </c>
      <c r="L598" s="66">
        <f>+H598*K598</f>
        <v>47308.56</v>
      </c>
      <c r="M598" s="67" t="s">
        <v>1238</v>
      </c>
    </row>
    <row r="599" spans="1:13" s="44" customFormat="1" ht="30" customHeight="1" x14ac:dyDescent="0.25">
      <c r="A599" s="39" t="s">
        <v>1253</v>
      </c>
      <c r="B599" s="77">
        <v>45597</v>
      </c>
      <c r="C599" s="63" t="s">
        <v>1285</v>
      </c>
      <c r="D599" s="64">
        <v>5</v>
      </c>
      <c r="E599" s="64"/>
      <c r="F599" s="64"/>
      <c r="G599" s="64"/>
      <c r="H599" s="64">
        <f>+D599+E599-F599</f>
        <v>5</v>
      </c>
      <c r="I599" s="66"/>
      <c r="J599" s="66"/>
      <c r="K599" s="66">
        <v>3942.38</v>
      </c>
      <c r="L599" s="66">
        <f>+H599*K599</f>
        <v>19711.900000000001</v>
      </c>
      <c r="M599" s="67" t="s">
        <v>1238</v>
      </c>
    </row>
    <row r="600" spans="1:13" s="44" customFormat="1" ht="30" customHeight="1" x14ac:dyDescent="0.25">
      <c r="A600" s="39" t="s">
        <v>1234</v>
      </c>
      <c r="B600" s="48">
        <v>45604</v>
      </c>
      <c r="C600" s="39" t="s">
        <v>1284</v>
      </c>
      <c r="D600" s="41"/>
      <c r="E600" s="41">
        <v>5</v>
      </c>
      <c r="F600" s="41">
        <v>2</v>
      </c>
      <c r="G600" s="41"/>
      <c r="H600" s="41">
        <f>+D600+E600+-F600</f>
        <v>3</v>
      </c>
      <c r="I600" s="42">
        <v>3942.38</v>
      </c>
      <c r="J600" s="42">
        <f>+H600*I600</f>
        <v>11827.14</v>
      </c>
      <c r="K600" s="42"/>
      <c r="L600" s="42"/>
      <c r="M600" s="43" t="s">
        <v>1238</v>
      </c>
    </row>
    <row r="601" spans="1:13" s="44" customFormat="1" ht="30" customHeight="1" x14ac:dyDescent="0.25">
      <c r="A601" s="39" t="s">
        <v>1255</v>
      </c>
      <c r="B601" s="62">
        <v>45597</v>
      </c>
      <c r="C601" s="63" t="s">
        <v>1283</v>
      </c>
      <c r="D601" s="64">
        <v>5</v>
      </c>
      <c r="E601" s="64"/>
      <c r="F601" s="64"/>
      <c r="G601" s="64"/>
      <c r="H601" s="64">
        <f>+D601-F601+G601</f>
        <v>5</v>
      </c>
      <c r="I601" s="66"/>
      <c r="J601" s="66"/>
      <c r="K601" s="66">
        <v>3942.38</v>
      </c>
      <c r="L601" s="66">
        <f>+K601*H601</f>
        <v>19711.900000000001</v>
      </c>
      <c r="M601" s="67" t="s">
        <v>1238</v>
      </c>
    </row>
    <row r="602" spans="1:13" s="44" customFormat="1" ht="30" customHeight="1" x14ac:dyDescent="0.25">
      <c r="A602" s="39" t="s">
        <v>730</v>
      </c>
      <c r="B602" s="49">
        <v>45499</v>
      </c>
      <c r="C602" s="39" t="s">
        <v>1286</v>
      </c>
      <c r="D602" s="41">
        <v>1</v>
      </c>
      <c r="E602" s="41"/>
      <c r="F602" s="41"/>
      <c r="G602" s="41"/>
      <c r="H602" s="41">
        <f>+D602+E602-F602</f>
        <v>1</v>
      </c>
      <c r="I602" s="42">
        <v>3894</v>
      </c>
      <c r="J602" s="42">
        <f t="shared" ref="J602:J607" si="20">+H602*I602</f>
        <v>3894</v>
      </c>
      <c r="K602" s="42"/>
      <c r="L602" s="42"/>
      <c r="M602" s="43" t="s">
        <v>1238</v>
      </c>
    </row>
    <row r="603" spans="1:13" s="44" customFormat="1" ht="30" customHeight="1" x14ac:dyDescent="0.25">
      <c r="A603" s="39" t="s">
        <v>715</v>
      </c>
      <c r="B603" s="49">
        <v>45604</v>
      </c>
      <c r="C603" s="39" t="s">
        <v>1258</v>
      </c>
      <c r="D603" s="41">
        <v>2</v>
      </c>
      <c r="E603" s="41">
        <v>5</v>
      </c>
      <c r="F603" s="41">
        <f>2+1+1</f>
        <v>4</v>
      </c>
      <c r="G603" s="41"/>
      <c r="H603" s="41">
        <f>+D603+E603-F603</f>
        <v>3</v>
      </c>
      <c r="I603" s="42">
        <v>3942.38</v>
      </c>
      <c r="J603" s="42">
        <f t="shared" si="20"/>
        <v>11827.14</v>
      </c>
      <c r="K603" s="42"/>
      <c r="L603" s="42"/>
      <c r="M603" s="43" t="s">
        <v>1238</v>
      </c>
    </row>
    <row r="604" spans="1:13" s="91" customFormat="1" ht="30" customHeight="1" x14ac:dyDescent="0.25">
      <c r="A604" s="39" t="s">
        <v>709</v>
      </c>
      <c r="B604" s="49">
        <v>45604</v>
      </c>
      <c r="C604" s="39" t="s">
        <v>130</v>
      </c>
      <c r="D604" s="41">
        <v>3</v>
      </c>
      <c r="E604" s="41">
        <v>10</v>
      </c>
      <c r="F604" s="41">
        <f>3+1+1</f>
        <v>5</v>
      </c>
      <c r="G604" s="41"/>
      <c r="H604" s="41">
        <f>+D604+E604-F604</f>
        <v>8</v>
      </c>
      <c r="I604" s="42">
        <v>3942.38</v>
      </c>
      <c r="J604" s="42">
        <f t="shared" si="20"/>
        <v>31539.040000000001</v>
      </c>
      <c r="K604" s="42"/>
      <c r="L604" s="42"/>
      <c r="M604" s="43" t="s">
        <v>1238</v>
      </c>
    </row>
    <row r="605" spans="1:13" s="44" customFormat="1" ht="30" customHeight="1" x14ac:dyDescent="0.25">
      <c r="A605" s="39" t="s">
        <v>711</v>
      </c>
      <c r="B605" s="49">
        <v>45111</v>
      </c>
      <c r="C605" s="39" t="s">
        <v>1281</v>
      </c>
      <c r="D605" s="41">
        <v>2</v>
      </c>
      <c r="E605" s="41"/>
      <c r="F605" s="41"/>
      <c r="G605" s="41"/>
      <c r="H605" s="41">
        <f>+D605+E605-F605</f>
        <v>2</v>
      </c>
      <c r="I605" s="42">
        <v>1500</v>
      </c>
      <c r="J605" s="42">
        <f t="shared" si="20"/>
        <v>3000</v>
      </c>
      <c r="K605" s="42"/>
      <c r="L605" s="42"/>
      <c r="M605" s="43" t="s">
        <v>1238</v>
      </c>
    </row>
    <row r="606" spans="1:13" s="44" customFormat="1" ht="30" customHeight="1" x14ac:dyDescent="0.25">
      <c r="A606" s="39" t="s">
        <v>712</v>
      </c>
      <c r="B606" s="49">
        <v>45604</v>
      </c>
      <c r="C606" s="39" t="s">
        <v>132</v>
      </c>
      <c r="D606" s="41">
        <v>5</v>
      </c>
      <c r="E606" s="41">
        <v>5</v>
      </c>
      <c r="F606" s="41"/>
      <c r="G606" s="41"/>
      <c r="H606" s="41">
        <f>+D606+E606-F606</f>
        <v>10</v>
      </c>
      <c r="I606" s="90">
        <v>3942.38</v>
      </c>
      <c r="J606" s="42">
        <f t="shared" si="20"/>
        <v>39423.800000000003</v>
      </c>
      <c r="K606" s="42"/>
      <c r="L606" s="42"/>
      <c r="M606" s="43" t="s">
        <v>1238</v>
      </c>
    </row>
    <row r="607" spans="1:13" s="44" customFormat="1" ht="30" customHeight="1" x14ac:dyDescent="0.25">
      <c r="A607" s="39" t="s">
        <v>713</v>
      </c>
      <c r="B607" s="49">
        <v>45604</v>
      </c>
      <c r="C607" s="39" t="s">
        <v>133</v>
      </c>
      <c r="D607" s="41">
        <v>6</v>
      </c>
      <c r="E607" s="41">
        <v>5</v>
      </c>
      <c r="F607" s="41">
        <v>1</v>
      </c>
      <c r="G607" s="41"/>
      <c r="H607" s="41">
        <f>+D607+E607-F607</f>
        <v>10</v>
      </c>
      <c r="I607" s="42">
        <v>3942.38</v>
      </c>
      <c r="J607" s="42">
        <f t="shared" si="20"/>
        <v>39423.800000000003</v>
      </c>
      <c r="K607" s="42"/>
      <c r="L607" s="42"/>
      <c r="M607" s="43" t="s">
        <v>1238</v>
      </c>
    </row>
    <row r="608" spans="1:13" s="44" customFormat="1" ht="30" customHeight="1" x14ac:dyDescent="0.25">
      <c r="A608" s="39" t="s">
        <v>1254</v>
      </c>
      <c r="B608" s="77">
        <v>45597</v>
      </c>
      <c r="C608" s="63" t="s">
        <v>133</v>
      </c>
      <c r="D608" s="64">
        <v>5</v>
      </c>
      <c r="E608" s="64"/>
      <c r="F608" s="64"/>
      <c r="G608" s="64"/>
      <c r="H608" s="64">
        <f>+D608+E608-F608</f>
        <v>5</v>
      </c>
      <c r="I608" s="66"/>
      <c r="J608" s="66"/>
      <c r="K608" s="66">
        <v>3942.38</v>
      </c>
      <c r="L608" s="66">
        <f>+H608*K608</f>
        <v>19711.900000000001</v>
      </c>
      <c r="M608" s="67" t="s">
        <v>1238</v>
      </c>
    </row>
    <row r="609" spans="1:13" s="44" customFormat="1" ht="30" customHeight="1" x14ac:dyDescent="0.25">
      <c r="A609" s="39" t="s">
        <v>716</v>
      </c>
      <c r="B609" s="49">
        <v>45111</v>
      </c>
      <c r="C609" s="39" t="s">
        <v>134</v>
      </c>
      <c r="D609" s="41">
        <v>1</v>
      </c>
      <c r="E609" s="41"/>
      <c r="F609" s="41"/>
      <c r="G609" s="41"/>
      <c r="H609" s="41">
        <f>+D609+E609-F609</f>
        <v>1</v>
      </c>
      <c r="I609" s="42">
        <v>5915.82</v>
      </c>
      <c r="J609" s="42">
        <f t="shared" ref="J609:J614" si="21">+H609*I609</f>
        <v>5915.82</v>
      </c>
      <c r="K609" s="42"/>
      <c r="L609" s="42"/>
      <c r="M609" s="43" t="s">
        <v>1238</v>
      </c>
    </row>
    <row r="610" spans="1:13" s="44" customFormat="1" ht="30" customHeight="1" x14ac:dyDescent="0.25">
      <c r="A610" s="39" t="s">
        <v>707</v>
      </c>
      <c r="B610" s="40"/>
      <c r="C610" s="39" t="s">
        <v>1301</v>
      </c>
      <c r="D610" s="41">
        <f>3+4</f>
        <v>7</v>
      </c>
      <c r="E610" s="41"/>
      <c r="F610" s="41"/>
      <c r="G610" s="41"/>
      <c r="H610" s="41">
        <f>+D610+E610-F610</f>
        <v>7</v>
      </c>
      <c r="I610" s="42">
        <v>2382</v>
      </c>
      <c r="J610" s="42">
        <f t="shared" si="21"/>
        <v>16674</v>
      </c>
      <c r="K610" s="42"/>
      <c r="L610" s="42"/>
      <c r="M610" s="43" t="s">
        <v>1238</v>
      </c>
    </row>
    <row r="611" spans="1:13" s="44" customFormat="1" ht="30" customHeight="1" x14ac:dyDescent="0.25">
      <c r="A611" s="39" t="s">
        <v>717</v>
      </c>
      <c r="B611" s="49">
        <v>45111</v>
      </c>
      <c r="C611" s="39" t="s">
        <v>135</v>
      </c>
      <c r="D611" s="41">
        <v>9</v>
      </c>
      <c r="E611" s="41"/>
      <c r="F611" s="41">
        <v>6</v>
      </c>
      <c r="G611" s="41"/>
      <c r="H611" s="41">
        <f>+D611+E611-F611</f>
        <v>3</v>
      </c>
      <c r="I611" s="42">
        <v>3942.38</v>
      </c>
      <c r="J611" s="42">
        <f t="shared" si="21"/>
        <v>11827.14</v>
      </c>
      <c r="K611" s="42"/>
      <c r="L611" s="42"/>
      <c r="M611" s="43" t="s">
        <v>1238</v>
      </c>
    </row>
    <row r="612" spans="1:13" s="44" customFormat="1" ht="30" customHeight="1" x14ac:dyDescent="0.25">
      <c r="A612" s="39" t="s">
        <v>719</v>
      </c>
      <c r="B612" s="49">
        <v>44862</v>
      </c>
      <c r="C612" s="39" t="s">
        <v>136</v>
      </c>
      <c r="D612" s="41">
        <f>14-1-1</f>
        <v>12</v>
      </c>
      <c r="E612" s="41"/>
      <c r="F612" s="41">
        <f>1+1</f>
        <v>2</v>
      </c>
      <c r="G612" s="41"/>
      <c r="H612" s="41">
        <f>+D612+E612-F612</f>
        <v>10</v>
      </c>
      <c r="I612" s="42">
        <v>5915.82</v>
      </c>
      <c r="J612" s="42">
        <f t="shared" si="21"/>
        <v>59158.2</v>
      </c>
      <c r="K612" s="42"/>
      <c r="L612" s="42"/>
      <c r="M612" s="43" t="s">
        <v>1238</v>
      </c>
    </row>
    <row r="613" spans="1:13" s="44" customFormat="1" ht="30" customHeight="1" x14ac:dyDescent="0.25">
      <c r="A613" s="39" t="s">
        <v>710</v>
      </c>
      <c r="B613" s="49">
        <v>45621</v>
      </c>
      <c r="C613" s="39" t="s">
        <v>131</v>
      </c>
      <c r="D613" s="41">
        <v>2</v>
      </c>
      <c r="E613" s="41">
        <v>2</v>
      </c>
      <c r="F613" s="41"/>
      <c r="G613" s="41"/>
      <c r="H613" s="41">
        <f>+D613+E613-F613</f>
        <v>4</v>
      </c>
      <c r="I613" s="42">
        <v>3943.28</v>
      </c>
      <c r="J613" s="42">
        <f t="shared" si="21"/>
        <v>15773.12</v>
      </c>
      <c r="K613" s="42"/>
      <c r="L613" s="42">
        <f>+G613*K613</f>
        <v>0</v>
      </c>
      <c r="M613" s="43" t="s">
        <v>1238</v>
      </c>
    </row>
    <row r="614" spans="1:13" s="44" customFormat="1" ht="30" customHeight="1" x14ac:dyDescent="0.25">
      <c r="A614" s="39" t="s">
        <v>720</v>
      </c>
      <c r="B614" s="49">
        <v>45604</v>
      </c>
      <c r="C614" s="39" t="s">
        <v>1302</v>
      </c>
      <c r="D614" s="41">
        <v>3</v>
      </c>
      <c r="E614" s="41">
        <v>5</v>
      </c>
      <c r="F614" s="41">
        <v>7</v>
      </c>
      <c r="G614" s="41"/>
      <c r="H614" s="41">
        <f>+D614+E614-F614</f>
        <v>1</v>
      </c>
      <c r="I614" s="42">
        <v>3942.38</v>
      </c>
      <c r="J614" s="42">
        <f t="shared" si="21"/>
        <v>3942.38</v>
      </c>
      <c r="K614" s="42"/>
      <c r="L614" s="42"/>
      <c r="M614" s="43" t="s">
        <v>1238</v>
      </c>
    </row>
    <row r="615" spans="1:13" s="44" customFormat="1" ht="30" customHeight="1" x14ac:dyDescent="0.25">
      <c r="A615" s="39" t="s">
        <v>1245</v>
      </c>
      <c r="B615" s="62">
        <v>45597</v>
      </c>
      <c r="C615" s="63" t="s">
        <v>1303</v>
      </c>
      <c r="D615" s="64">
        <v>5</v>
      </c>
      <c r="E615" s="64"/>
      <c r="F615" s="64">
        <v>2</v>
      </c>
      <c r="G615" s="64"/>
      <c r="H615" s="64">
        <f>+D615+G615-F615</f>
        <v>3</v>
      </c>
      <c r="I615" s="66"/>
      <c r="J615" s="66"/>
      <c r="K615" s="66">
        <v>3942.38</v>
      </c>
      <c r="L615" s="66">
        <f>+H615*K615</f>
        <v>11827.14</v>
      </c>
      <c r="M615" s="67" t="s">
        <v>1238</v>
      </c>
    </row>
    <row r="616" spans="1:13" s="44" customFormat="1" ht="30" customHeight="1" x14ac:dyDescent="0.25">
      <c r="A616" s="39" t="s">
        <v>721</v>
      </c>
      <c r="B616" s="59">
        <v>45469</v>
      </c>
      <c r="C616" s="39" t="s">
        <v>137</v>
      </c>
      <c r="D616" s="41">
        <f>28+3</f>
        <v>31</v>
      </c>
      <c r="E616" s="41"/>
      <c r="F616" s="41"/>
      <c r="G616" s="41"/>
      <c r="H616" s="41">
        <f>+D616+E616-F616</f>
        <v>31</v>
      </c>
      <c r="I616" s="42">
        <v>1165.8399999999999</v>
      </c>
      <c r="J616" s="42">
        <f t="shared" ref="J616:J621" si="22">+H616*I616</f>
        <v>36141.040000000001</v>
      </c>
      <c r="K616" s="42"/>
      <c r="L616" s="42"/>
      <c r="M616" s="43" t="s">
        <v>1238</v>
      </c>
    </row>
    <row r="617" spans="1:13" s="44" customFormat="1" ht="30" customHeight="1" x14ac:dyDescent="0.25">
      <c r="A617" s="39" t="s">
        <v>1339</v>
      </c>
      <c r="B617" s="46">
        <v>45621</v>
      </c>
      <c r="C617" s="47" t="s">
        <v>1342</v>
      </c>
      <c r="D617" s="39"/>
      <c r="E617" s="41">
        <v>5</v>
      </c>
      <c r="F617" s="41">
        <v>5</v>
      </c>
      <c r="G617" s="41"/>
      <c r="H617" s="41">
        <f>+D617+E617-F617+G617</f>
        <v>0</v>
      </c>
      <c r="I617" s="42">
        <v>4275</v>
      </c>
      <c r="J617" s="42">
        <f t="shared" si="22"/>
        <v>0</v>
      </c>
      <c r="K617" s="42"/>
      <c r="L617" s="42"/>
      <c r="M617" s="43" t="s">
        <v>1238</v>
      </c>
    </row>
    <row r="618" spans="1:13" s="44" customFormat="1" ht="30" customHeight="1" x14ac:dyDescent="0.25">
      <c r="A618" s="39" t="s">
        <v>723</v>
      </c>
      <c r="B618" s="49">
        <v>44678</v>
      </c>
      <c r="C618" s="39" t="s">
        <v>138</v>
      </c>
      <c r="D618" s="41">
        <v>4</v>
      </c>
      <c r="E618" s="41"/>
      <c r="F618" s="41"/>
      <c r="G618" s="41"/>
      <c r="H618" s="41">
        <f>+D618+E618-F618</f>
        <v>4</v>
      </c>
      <c r="I618" s="42">
        <v>1500</v>
      </c>
      <c r="J618" s="42">
        <f t="shared" si="22"/>
        <v>6000</v>
      </c>
      <c r="K618" s="42"/>
      <c r="L618" s="42"/>
      <c r="M618" s="43" t="s">
        <v>1238</v>
      </c>
    </row>
    <row r="619" spans="1:13" s="44" customFormat="1" ht="30" customHeight="1" x14ac:dyDescent="0.25">
      <c r="A619" s="39" t="s">
        <v>724</v>
      </c>
      <c r="B619" s="49">
        <v>44852</v>
      </c>
      <c r="C619" s="39" t="s">
        <v>139</v>
      </c>
      <c r="D619" s="41">
        <v>7</v>
      </c>
      <c r="E619" s="41"/>
      <c r="F619" s="41"/>
      <c r="G619" s="41"/>
      <c r="H619" s="41">
        <f>+D619+E619-F619</f>
        <v>7</v>
      </c>
      <c r="I619" s="42">
        <v>6020</v>
      </c>
      <c r="J619" s="42">
        <f t="shared" si="22"/>
        <v>42140</v>
      </c>
      <c r="K619" s="42"/>
      <c r="L619" s="42"/>
      <c r="M619" s="43" t="s">
        <v>1238</v>
      </c>
    </row>
    <row r="620" spans="1:13" s="44" customFormat="1" ht="30" customHeight="1" x14ac:dyDescent="0.25">
      <c r="A620" s="39" t="s">
        <v>725</v>
      </c>
      <c r="B620" s="49" t="s">
        <v>6</v>
      </c>
      <c r="C620" s="39" t="s">
        <v>140</v>
      </c>
      <c r="D620" s="41">
        <v>4</v>
      </c>
      <c r="E620" s="41"/>
      <c r="F620" s="41"/>
      <c r="G620" s="41"/>
      <c r="H620" s="41">
        <f>+D620+E620-F620</f>
        <v>4</v>
      </c>
      <c r="I620" s="42">
        <v>1250</v>
      </c>
      <c r="J620" s="42">
        <f t="shared" si="22"/>
        <v>5000</v>
      </c>
      <c r="K620" s="42"/>
      <c r="L620" s="42"/>
      <c r="M620" s="43" t="s">
        <v>1238</v>
      </c>
    </row>
    <row r="621" spans="1:13" s="44" customFormat="1" ht="30" customHeight="1" x14ac:dyDescent="0.25">
      <c r="A621" s="39" t="s">
        <v>714</v>
      </c>
      <c r="B621" s="49">
        <v>44851</v>
      </c>
      <c r="C621" s="39" t="s">
        <v>1287</v>
      </c>
      <c r="D621" s="41">
        <v>8</v>
      </c>
      <c r="E621" s="41"/>
      <c r="F621" s="41"/>
      <c r="G621" s="41"/>
      <c r="H621" s="41">
        <f>+D621+E621-F621</f>
        <v>8</v>
      </c>
      <c r="I621" s="90">
        <v>1869.12</v>
      </c>
      <c r="J621" s="42">
        <f t="shared" si="22"/>
        <v>14952.96</v>
      </c>
      <c r="K621" s="42"/>
      <c r="L621" s="42"/>
      <c r="M621" s="43" t="s">
        <v>1238</v>
      </c>
    </row>
    <row r="622" spans="1:13" s="44" customFormat="1" ht="30" customHeight="1" x14ac:dyDescent="0.25">
      <c r="A622" s="39" t="s">
        <v>1243</v>
      </c>
      <c r="B622" s="62">
        <v>45597</v>
      </c>
      <c r="C622" s="63" t="s">
        <v>1263</v>
      </c>
      <c r="D622" s="64">
        <v>5</v>
      </c>
      <c r="E622" s="64"/>
      <c r="F622" s="64">
        <v>1</v>
      </c>
      <c r="G622" s="64"/>
      <c r="H622" s="64">
        <f>+D622+G622-F622</f>
        <v>4</v>
      </c>
      <c r="I622" s="66"/>
      <c r="J622" s="66"/>
      <c r="K622" s="66">
        <v>3942.38</v>
      </c>
      <c r="L622" s="66">
        <f>+H622*K622</f>
        <v>15769.52</v>
      </c>
      <c r="M622" s="67" t="s">
        <v>1238</v>
      </c>
    </row>
    <row r="623" spans="1:13" s="44" customFormat="1" ht="30" customHeight="1" x14ac:dyDescent="0.25">
      <c r="A623" s="39" t="s">
        <v>763</v>
      </c>
      <c r="B623" s="40"/>
      <c r="C623" s="39" t="s">
        <v>173</v>
      </c>
      <c r="D623" s="41">
        <v>3</v>
      </c>
      <c r="E623" s="41"/>
      <c r="F623" s="41">
        <v>2</v>
      </c>
      <c r="G623" s="41"/>
      <c r="H623" s="41">
        <f>+D623+E623+-F623</f>
        <v>1</v>
      </c>
      <c r="I623" s="42">
        <v>755</v>
      </c>
      <c r="J623" s="42">
        <f t="shared" ref="J623:J648" si="23">+H623*I623</f>
        <v>755</v>
      </c>
      <c r="K623" s="42"/>
      <c r="L623" s="42"/>
      <c r="M623" s="43" t="s">
        <v>169</v>
      </c>
    </row>
    <row r="624" spans="1:13" s="44" customFormat="1" ht="30" customHeight="1" x14ac:dyDescent="0.25">
      <c r="A624" s="39" t="s">
        <v>1149</v>
      </c>
      <c r="B624" s="40"/>
      <c r="C624" s="39" t="s">
        <v>500</v>
      </c>
      <c r="D624" s="41">
        <v>1</v>
      </c>
      <c r="E624" s="41"/>
      <c r="F624" s="41"/>
      <c r="G624" s="41"/>
      <c r="H624" s="41">
        <f>+D624+E624+-F624</f>
        <v>1</v>
      </c>
      <c r="I624" s="42">
        <v>1209</v>
      </c>
      <c r="J624" s="42">
        <f t="shared" si="23"/>
        <v>1209</v>
      </c>
      <c r="K624" s="42"/>
      <c r="L624" s="42"/>
      <c r="M624" s="43" t="s">
        <v>454</v>
      </c>
    </row>
    <row r="625" spans="1:13" s="44" customFormat="1" ht="30" customHeight="1" x14ac:dyDescent="0.25">
      <c r="A625" s="39" t="s">
        <v>1030</v>
      </c>
      <c r="B625" s="40"/>
      <c r="C625" s="39" t="s">
        <v>407</v>
      </c>
      <c r="D625" s="41">
        <v>1</v>
      </c>
      <c r="E625" s="41"/>
      <c r="F625" s="41"/>
      <c r="G625" s="41"/>
      <c r="H625" s="41">
        <f>+D625+E625+-F625</f>
        <v>1</v>
      </c>
      <c r="I625" s="42"/>
      <c r="J625" s="42">
        <f t="shared" si="23"/>
        <v>0</v>
      </c>
      <c r="K625" s="42"/>
      <c r="L625" s="42"/>
      <c r="M625" s="43" t="s">
        <v>20</v>
      </c>
    </row>
    <row r="626" spans="1:13" s="44" customFormat="1" ht="30" customHeight="1" x14ac:dyDescent="0.25">
      <c r="A626" s="39" t="s">
        <v>590</v>
      </c>
      <c r="B626" s="48">
        <v>45412</v>
      </c>
      <c r="C626" s="39" t="s">
        <v>1691</v>
      </c>
      <c r="D626" s="57">
        <v>19</v>
      </c>
      <c r="E626" s="57"/>
      <c r="F626" s="57">
        <v>2</v>
      </c>
      <c r="G626" s="57"/>
      <c r="H626" s="41">
        <f>+D626+E626-F626</f>
        <v>17</v>
      </c>
      <c r="I626" s="58">
        <v>90.86</v>
      </c>
      <c r="J626" s="42">
        <f t="shared" si="23"/>
        <v>1544.62</v>
      </c>
      <c r="K626" s="42"/>
      <c r="L626" s="42"/>
      <c r="M626" s="43" t="s">
        <v>20</v>
      </c>
    </row>
    <row r="627" spans="1:13" s="44" customFormat="1" ht="30" customHeight="1" x14ac:dyDescent="0.25">
      <c r="A627" s="39" t="s">
        <v>589</v>
      </c>
      <c r="B627" s="48">
        <v>45412</v>
      </c>
      <c r="C627" s="39" t="s">
        <v>1647</v>
      </c>
      <c r="D627" s="57">
        <v>13</v>
      </c>
      <c r="E627" s="57"/>
      <c r="F627" s="57">
        <f>1+3+2</f>
        <v>6</v>
      </c>
      <c r="G627" s="57"/>
      <c r="H627" s="41">
        <f>+D627+E627-F627</f>
        <v>7</v>
      </c>
      <c r="I627" s="58">
        <v>90.86</v>
      </c>
      <c r="J627" s="42">
        <f t="shared" si="23"/>
        <v>636.02</v>
      </c>
      <c r="K627" s="42"/>
      <c r="L627" s="42"/>
      <c r="M627" s="43" t="s">
        <v>20</v>
      </c>
    </row>
    <row r="628" spans="1:13" s="44" customFormat="1" ht="30" customHeight="1" x14ac:dyDescent="0.25">
      <c r="A628" s="39" t="s">
        <v>1549</v>
      </c>
      <c r="B628" s="50" t="s">
        <v>1553</v>
      </c>
      <c r="C628" s="51" t="s">
        <v>1560</v>
      </c>
      <c r="D628" s="52"/>
      <c r="E628" s="53">
        <v>100</v>
      </c>
      <c r="F628" s="53"/>
      <c r="G628" s="53"/>
      <c r="H628" s="68">
        <f>+D628+E628-F628+G628</f>
        <v>100</v>
      </c>
      <c r="I628" s="54">
        <v>114.224</v>
      </c>
      <c r="J628" s="55">
        <f t="shared" si="23"/>
        <v>11422.4</v>
      </c>
      <c r="K628" s="54"/>
      <c r="L628" s="54"/>
      <c r="M628" s="43" t="s">
        <v>20</v>
      </c>
    </row>
    <row r="629" spans="1:13" s="44" customFormat="1" ht="30" customHeight="1" x14ac:dyDescent="0.25">
      <c r="A629" s="39" t="s">
        <v>1548</v>
      </c>
      <c r="B629" s="50" t="s">
        <v>1553</v>
      </c>
      <c r="C629" s="51" t="s">
        <v>1618</v>
      </c>
      <c r="D629" s="52"/>
      <c r="E629" s="53">
        <v>100</v>
      </c>
      <c r="F629" s="53">
        <f>2+2+3+4+2+3</f>
        <v>16</v>
      </c>
      <c r="G629" s="53"/>
      <c r="H629" s="41">
        <f>+D629+E629-F629+G629</f>
        <v>84</v>
      </c>
      <c r="I629" s="54">
        <v>68.44</v>
      </c>
      <c r="J629" s="55">
        <f t="shared" si="23"/>
        <v>5748.96</v>
      </c>
      <c r="K629" s="54"/>
      <c r="L629" s="54"/>
      <c r="M629" s="43" t="s">
        <v>20</v>
      </c>
    </row>
    <row r="630" spans="1:13" s="44" customFormat="1" ht="30" customHeight="1" x14ac:dyDescent="0.25">
      <c r="A630" s="39" t="s">
        <v>663</v>
      </c>
      <c r="B630" s="40"/>
      <c r="C630" s="39" t="s">
        <v>92</v>
      </c>
      <c r="D630" s="41">
        <v>13</v>
      </c>
      <c r="E630" s="41"/>
      <c r="F630" s="41">
        <v>2</v>
      </c>
      <c r="G630" s="41"/>
      <c r="H630" s="41">
        <f>+D630+E630-F630</f>
        <v>11</v>
      </c>
      <c r="I630" s="42">
        <v>143</v>
      </c>
      <c r="J630" s="42">
        <f t="shared" si="23"/>
        <v>1573</v>
      </c>
      <c r="K630" s="42"/>
      <c r="L630" s="42"/>
      <c r="M630" s="43" t="s">
        <v>27</v>
      </c>
    </row>
    <row r="631" spans="1:13" s="44" customFormat="1" ht="30" customHeight="1" x14ac:dyDescent="0.25">
      <c r="A631" s="39" t="s">
        <v>1031</v>
      </c>
      <c r="B631" s="40"/>
      <c r="C631" s="39" t="s">
        <v>408</v>
      </c>
      <c r="D631" s="41">
        <v>99</v>
      </c>
      <c r="E631" s="41"/>
      <c r="F631" s="41">
        <f>99-33+1</f>
        <v>67</v>
      </c>
      <c r="G631" s="41"/>
      <c r="H631" s="41">
        <f>+D631+E631+-F631</f>
        <v>32</v>
      </c>
      <c r="I631" s="42"/>
      <c r="J631" s="42">
        <f t="shared" si="23"/>
        <v>0</v>
      </c>
      <c r="K631" s="42"/>
      <c r="L631" s="42"/>
      <c r="M631" s="43" t="s">
        <v>313</v>
      </c>
    </row>
    <row r="632" spans="1:13" s="44" customFormat="1" ht="30" customHeight="1" x14ac:dyDescent="0.25">
      <c r="A632" s="39" t="s">
        <v>802</v>
      </c>
      <c r="B632" s="40"/>
      <c r="C632" s="39" t="s">
        <v>202</v>
      </c>
      <c r="D632" s="41">
        <f>11+12</f>
        <v>23</v>
      </c>
      <c r="E632" s="41"/>
      <c r="F632" s="41">
        <v>2</v>
      </c>
      <c r="G632" s="41"/>
      <c r="H632" s="41">
        <f>+D632+E632+-F632</f>
        <v>21</v>
      </c>
      <c r="I632" s="42">
        <v>143</v>
      </c>
      <c r="J632" s="42">
        <f t="shared" si="23"/>
        <v>3003</v>
      </c>
      <c r="K632" s="42"/>
      <c r="L632" s="42"/>
      <c r="M632" s="43" t="s">
        <v>169</v>
      </c>
    </row>
    <row r="633" spans="1:13" s="44" customFormat="1" ht="30" customHeight="1" x14ac:dyDescent="0.25">
      <c r="A633" s="39" t="s">
        <v>1032</v>
      </c>
      <c r="B633" s="40"/>
      <c r="C633" s="39" t="s">
        <v>409</v>
      </c>
      <c r="D633" s="41">
        <v>41</v>
      </c>
      <c r="E633" s="41"/>
      <c r="F633" s="41">
        <v>1</v>
      </c>
      <c r="G633" s="41"/>
      <c r="H633" s="41">
        <f>+D633+E633+-F633</f>
        <v>40</v>
      </c>
      <c r="I633" s="42"/>
      <c r="J633" s="42">
        <f t="shared" si="23"/>
        <v>0</v>
      </c>
      <c r="K633" s="42"/>
      <c r="L633" s="42"/>
      <c r="M633" s="43" t="s">
        <v>313</v>
      </c>
    </row>
    <row r="634" spans="1:13" s="44" customFormat="1" ht="30" customHeight="1" x14ac:dyDescent="0.25">
      <c r="A634" s="39" t="s">
        <v>803</v>
      </c>
      <c r="B634" s="40"/>
      <c r="C634" s="39" t="s">
        <v>203</v>
      </c>
      <c r="D634" s="41">
        <v>1</v>
      </c>
      <c r="E634" s="41"/>
      <c r="F634" s="41"/>
      <c r="G634" s="41"/>
      <c r="H634" s="41">
        <f>+D634+E634+-F634</f>
        <v>1</v>
      </c>
      <c r="I634" s="42"/>
      <c r="J634" s="42">
        <f t="shared" si="23"/>
        <v>0</v>
      </c>
      <c r="K634" s="42"/>
      <c r="L634" s="42"/>
      <c r="M634" s="43" t="s">
        <v>169</v>
      </c>
    </row>
    <row r="635" spans="1:13" s="44" customFormat="1" ht="30" customHeight="1" x14ac:dyDescent="0.25">
      <c r="A635" s="39" t="s">
        <v>1033</v>
      </c>
      <c r="B635" s="40"/>
      <c r="C635" s="39" t="s">
        <v>410</v>
      </c>
      <c r="D635" s="41">
        <v>1</v>
      </c>
      <c r="E635" s="41"/>
      <c r="F635" s="41"/>
      <c r="G635" s="41"/>
      <c r="H635" s="41">
        <f>+D635+E635+-F635</f>
        <v>1</v>
      </c>
      <c r="I635" s="42"/>
      <c r="J635" s="42">
        <f t="shared" si="23"/>
        <v>0</v>
      </c>
      <c r="K635" s="42"/>
      <c r="L635" s="42"/>
      <c r="M635" s="43" t="s">
        <v>313</v>
      </c>
    </row>
    <row r="636" spans="1:13" s="44" customFormat="1" ht="30" customHeight="1" x14ac:dyDescent="0.25">
      <c r="A636" s="39" t="s">
        <v>1075</v>
      </c>
      <c r="B636" s="40" t="s">
        <v>445</v>
      </c>
      <c r="C636" s="39" t="s">
        <v>446</v>
      </c>
      <c r="D636" s="41">
        <v>16</v>
      </c>
      <c r="E636" s="41"/>
      <c r="F636" s="41">
        <v>1</v>
      </c>
      <c r="G636" s="41"/>
      <c r="H636" s="41">
        <f>+D636+E636+-F636</f>
        <v>15</v>
      </c>
      <c r="I636" s="42">
        <v>68.23</v>
      </c>
      <c r="J636" s="42">
        <f t="shared" si="23"/>
        <v>1023.45</v>
      </c>
      <c r="K636" s="42"/>
      <c r="L636" s="42"/>
      <c r="M636" s="43" t="s">
        <v>313</v>
      </c>
    </row>
    <row r="637" spans="1:13" s="44" customFormat="1" ht="30" customHeight="1" x14ac:dyDescent="0.25">
      <c r="A637" s="39" t="s">
        <v>1034</v>
      </c>
      <c r="B637" s="40" t="s">
        <v>273</v>
      </c>
      <c r="C637" s="39" t="s">
        <v>411</v>
      </c>
      <c r="D637" s="41">
        <v>19</v>
      </c>
      <c r="E637" s="41"/>
      <c r="F637" s="41"/>
      <c r="G637" s="41"/>
      <c r="H637" s="41">
        <f>+D637+E637+-F637</f>
        <v>19</v>
      </c>
      <c r="I637" s="42">
        <v>68.23</v>
      </c>
      <c r="J637" s="42">
        <f t="shared" si="23"/>
        <v>1296.3700000000001</v>
      </c>
      <c r="K637" s="42"/>
      <c r="L637" s="42"/>
      <c r="M637" s="43" t="s">
        <v>313</v>
      </c>
    </row>
    <row r="638" spans="1:13" s="44" customFormat="1" ht="30" customHeight="1" x14ac:dyDescent="0.25">
      <c r="A638" s="39" t="s">
        <v>699</v>
      </c>
      <c r="B638" s="48">
        <v>45414</v>
      </c>
      <c r="C638" s="39" t="s">
        <v>121</v>
      </c>
      <c r="D638" s="41">
        <f>29-1</f>
        <v>28</v>
      </c>
      <c r="E638" s="41"/>
      <c r="F638" s="41">
        <f>1+1+2+1+1+1+1+1+1+1+1+1+1</f>
        <v>14</v>
      </c>
      <c r="G638" s="41"/>
      <c r="H638" s="41">
        <f>+D638+E638-F638</f>
        <v>14</v>
      </c>
      <c r="I638" s="42">
        <v>212.93</v>
      </c>
      <c r="J638" s="42">
        <f t="shared" si="23"/>
        <v>2981.02</v>
      </c>
      <c r="K638" s="42"/>
      <c r="L638" s="42"/>
      <c r="M638" s="43" t="s">
        <v>115</v>
      </c>
    </row>
    <row r="639" spans="1:13" s="44" customFormat="1" ht="30" customHeight="1" x14ac:dyDescent="0.25">
      <c r="A639" s="39" t="s">
        <v>1539</v>
      </c>
      <c r="B639" s="50">
        <v>45642</v>
      </c>
      <c r="C639" s="51" t="s">
        <v>1543</v>
      </c>
      <c r="D639" s="52"/>
      <c r="E639" s="53">
        <v>60</v>
      </c>
      <c r="F639" s="53">
        <f>10+2+7</f>
        <v>19</v>
      </c>
      <c r="G639" s="53"/>
      <c r="H639" s="41">
        <f>+D639+E639-F639+G639</f>
        <v>41</v>
      </c>
      <c r="I639" s="54">
        <v>230.1</v>
      </c>
      <c r="J639" s="55">
        <f t="shared" si="23"/>
        <v>9434.1</v>
      </c>
      <c r="K639" s="54"/>
      <c r="L639" s="54"/>
      <c r="M639" s="43" t="s">
        <v>248</v>
      </c>
    </row>
    <row r="640" spans="1:13" s="44" customFormat="1" ht="30" customHeight="1" x14ac:dyDescent="0.25">
      <c r="A640" s="39" t="s">
        <v>902</v>
      </c>
      <c r="B640" s="40"/>
      <c r="C640" s="39" t="s">
        <v>295</v>
      </c>
      <c r="D640" s="41">
        <v>25</v>
      </c>
      <c r="E640" s="41"/>
      <c r="F640" s="41">
        <v>6</v>
      </c>
      <c r="G640" s="41"/>
      <c r="H640" s="41">
        <f>+D640+E640+-F640</f>
        <v>19</v>
      </c>
      <c r="I640" s="42">
        <v>845</v>
      </c>
      <c r="J640" s="42">
        <f t="shared" si="23"/>
        <v>16055</v>
      </c>
      <c r="K640" s="42"/>
      <c r="L640" s="42"/>
      <c r="M640" s="43" t="s">
        <v>248</v>
      </c>
    </row>
    <row r="641" spans="1:13" s="44" customFormat="1" ht="30" customHeight="1" x14ac:dyDescent="0.25">
      <c r="A641" s="39" t="s">
        <v>903</v>
      </c>
      <c r="B641" s="48">
        <v>45418</v>
      </c>
      <c r="C641" s="39" t="s">
        <v>296</v>
      </c>
      <c r="D641" s="41">
        <v>18</v>
      </c>
      <c r="E641" s="41"/>
      <c r="F641" s="41"/>
      <c r="G641" s="41"/>
      <c r="H641" s="41">
        <f>+D641+E641+-F641</f>
        <v>18</v>
      </c>
      <c r="I641" s="42">
        <v>336.3</v>
      </c>
      <c r="J641" s="42">
        <f t="shared" si="23"/>
        <v>6053.4000000000005</v>
      </c>
      <c r="K641" s="42"/>
      <c r="L641" s="42"/>
      <c r="M641" s="43" t="s">
        <v>248</v>
      </c>
    </row>
    <row r="642" spans="1:13" s="44" customFormat="1" ht="30" customHeight="1" x14ac:dyDescent="0.25">
      <c r="A642" s="39" t="s">
        <v>859</v>
      </c>
      <c r="B642" s="40"/>
      <c r="C642" s="39" t="s">
        <v>256</v>
      </c>
      <c r="D642" s="41">
        <v>4</v>
      </c>
      <c r="E642" s="41"/>
      <c r="F642" s="41"/>
      <c r="G642" s="41"/>
      <c r="H642" s="41">
        <f>+D642+E642+-F642</f>
        <v>4</v>
      </c>
      <c r="I642" s="42"/>
      <c r="J642" s="42">
        <f t="shared" si="23"/>
        <v>0</v>
      </c>
      <c r="K642" s="42"/>
      <c r="L642" s="42"/>
      <c r="M642" s="43" t="s">
        <v>248</v>
      </c>
    </row>
    <row r="643" spans="1:13" s="44" customFormat="1" ht="30" customHeight="1" x14ac:dyDescent="0.25">
      <c r="A643" s="39" t="s">
        <v>860</v>
      </c>
      <c r="B643" s="40"/>
      <c r="C643" s="39" t="s">
        <v>257</v>
      </c>
      <c r="D643" s="41">
        <v>16</v>
      </c>
      <c r="E643" s="41"/>
      <c r="F643" s="41">
        <v>2</v>
      </c>
      <c r="G643" s="41"/>
      <c r="H643" s="41">
        <f>+D643+E643+-F643</f>
        <v>14</v>
      </c>
      <c r="I643" s="42"/>
      <c r="J643" s="42">
        <f t="shared" si="23"/>
        <v>0</v>
      </c>
      <c r="K643" s="42"/>
      <c r="L643" s="42"/>
      <c r="M643" s="43" t="s">
        <v>248</v>
      </c>
    </row>
    <row r="644" spans="1:13" s="44" customFormat="1" ht="30" customHeight="1" x14ac:dyDescent="0.25">
      <c r="A644" s="39" t="s">
        <v>1209</v>
      </c>
      <c r="B644" s="40"/>
      <c r="C644" s="39" t="s">
        <v>552</v>
      </c>
      <c r="D644" s="41">
        <v>1</v>
      </c>
      <c r="E644" s="41"/>
      <c r="F644" s="41"/>
      <c r="G644" s="41"/>
      <c r="H644" s="41">
        <f>+D644+E644+-F644</f>
        <v>1</v>
      </c>
      <c r="I644" s="42">
        <v>8300</v>
      </c>
      <c r="J644" s="42">
        <f t="shared" si="23"/>
        <v>8300</v>
      </c>
      <c r="K644" s="42"/>
      <c r="L644" s="42"/>
      <c r="M644" s="43" t="s">
        <v>535</v>
      </c>
    </row>
    <row r="645" spans="1:13" s="44" customFormat="1" ht="30" customHeight="1" x14ac:dyDescent="0.25">
      <c r="A645" s="39" t="s">
        <v>804</v>
      </c>
      <c r="B645" s="40"/>
      <c r="C645" s="39" t="s">
        <v>204</v>
      </c>
      <c r="D645" s="41">
        <v>3</v>
      </c>
      <c r="E645" s="41"/>
      <c r="F645" s="41"/>
      <c r="G645" s="41"/>
      <c r="H645" s="41">
        <f>+D645+E645+-F645</f>
        <v>3</v>
      </c>
      <c r="I645" s="42"/>
      <c r="J645" s="42">
        <f t="shared" si="23"/>
        <v>0</v>
      </c>
      <c r="K645" s="42"/>
      <c r="L645" s="42"/>
      <c r="M645" s="43" t="s">
        <v>169</v>
      </c>
    </row>
    <row r="646" spans="1:13" s="44" customFormat="1" ht="30" customHeight="1" x14ac:dyDescent="0.25">
      <c r="A646" s="39" t="s">
        <v>904</v>
      </c>
      <c r="B646" s="40"/>
      <c r="C646" s="39" t="s">
        <v>297</v>
      </c>
      <c r="D646" s="41">
        <v>30</v>
      </c>
      <c r="E646" s="41"/>
      <c r="F646" s="41"/>
      <c r="G646" s="41"/>
      <c r="H646" s="41">
        <f>+D646+E646+-F646</f>
        <v>30</v>
      </c>
      <c r="I646" s="42">
        <v>275</v>
      </c>
      <c r="J646" s="42">
        <f t="shared" si="23"/>
        <v>8250</v>
      </c>
      <c r="K646" s="42"/>
      <c r="L646" s="42"/>
      <c r="M646" s="43" t="s">
        <v>248</v>
      </c>
    </row>
    <row r="647" spans="1:13" s="44" customFormat="1" ht="30" customHeight="1" x14ac:dyDescent="0.25">
      <c r="A647" s="39" t="s">
        <v>726</v>
      </c>
      <c r="B647" s="40"/>
      <c r="C647" s="39" t="s">
        <v>141</v>
      </c>
      <c r="D647" s="41">
        <v>1</v>
      </c>
      <c r="E647" s="41"/>
      <c r="F647" s="41"/>
      <c r="G647" s="41"/>
      <c r="H647" s="41">
        <f>+D647+E647-F647</f>
        <v>1</v>
      </c>
      <c r="I647" s="42"/>
      <c r="J647" s="42">
        <f t="shared" si="23"/>
        <v>0</v>
      </c>
      <c r="K647" s="42"/>
      <c r="L647" s="42"/>
      <c r="M647" s="43" t="s">
        <v>1238</v>
      </c>
    </row>
    <row r="648" spans="1:13" s="44" customFormat="1" ht="30" customHeight="1" x14ac:dyDescent="0.25">
      <c r="A648" s="39" t="s">
        <v>1151</v>
      </c>
      <c r="B648" s="48">
        <v>45512</v>
      </c>
      <c r="C648" s="39" t="s">
        <v>1221</v>
      </c>
      <c r="D648" s="41">
        <v>5</v>
      </c>
      <c r="E648" s="41"/>
      <c r="F648" s="41">
        <f>1+1+1+1</f>
        <v>4</v>
      </c>
      <c r="G648" s="41"/>
      <c r="H648" s="41">
        <f>+D648+E648+-F648</f>
        <v>1</v>
      </c>
      <c r="I648" s="42">
        <v>10.029999999999999</v>
      </c>
      <c r="J648" s="42">
        <f t="shared" si="23"/>
        <v>10.029999999999999</v>
      </c>
      <c r="K648" s="42"/>
      <c r="L648" s="42"/>
      <c r="M648" s="43" t="s">
        <v>454</v>
      </c>
    </row>
    <row r="649" spans="1:13" s="44" customFormat="1" ht="30" customHeight="1" x14ac:dyDescent="0.25">
      <c r="A649" s="39" t="s">
        <v>1256</v>
      </c>
      <c r="B649" s="48">
        <v>45616</v>
      </c>
      <c r="C649" s="39" t="s">
        <v>1269</v>
      </c>
      <c r="D649" s="41"/>
      <c r="E649" s="41">
        <v>15</v>
      </c>
      <c r="F649" s="41">
        <v>6</v>
      </c>
      <c r="G649" s="41"/>
      <c r="H649" s="64">
        <f>+D649+E649-F649+G649</f>
        <v>9</v>
      </c>
      <c r="I649" s="42">
        <v>23807.68</v>
      </c>
      <c r="J649" s="42">
        <f>+I649*E649</f>
        <v>357115.2</v>
      </c>
      <c r="K649" s="42"/>
      <c r="L649" s="42"/>
      <c r="M649" s="43" t="s">
        <v>27</v>
      </c>
    </row>
    <row r="650" spans="1:13" s="44" customFormat="1" ht="30" customHeight="1" x14ac:dyDescent="0.25">
      <c r="A650" s="39" t="s">
        <v>805</v>
      </c>
      <c r="B650" s="40"/>
      <c r="C650" s="39" t="s">
        <v>205</v>
      </c>
      <c r="D650" s="41">
        <v>7</v>
      </c>
      <c r="E650" s="41"/>
      <c r="F650" s="41"/>
      <c r="G650" s="41"/>
      <c r="H650" s="41">
        <f>+D650+E650+-F650</f>
        <v>7</v>
      </c>
      <c r="I650" s="42">
        <v>408</v>
      </c>
      <c r="J650" s="42">
        <f t="shared" ref="J650:J681" si="24">+H650*I650</f>
        <v>2856</v>
      </c>
      <c r="K650" s="42"/>
      <c r="L650" s="42"/>
      <c r="M650" s="43" t="s">
        <v>169</v>
      </c>
    </row>
    <row r="651" spans="1:13" s="44" customFormat="1" ht="30" customHeight="1" x14ac:dyDescent="0.25">
      <c r="A651" s="39" t="s">
        <v>806</v>
      </c>
      <c r="B651" s="40"/>
      <c r="C651" s="39" t="s">
        <v>206</v>
      </c>
      <c r="D651" s="41">
        <v>2</v>
      </c>
      <c r="E651" s="41"/>
      <c r="F651" s="41"/>
      <c r="G651" s="41"/>
      <c r="H651" s="41">
        <f>+D651+E651+-F651</f>
        <v>2</v>
      </c>
      <c r="I651" s="42">
        <v>408</v>
      </c>
      <c r="J651" s="42">
        <f t="shared" si="24"/>
        <v>816</v>
      </c>
      <c r="K651" s="42"/>
      <c r="L651" s="42"/>
      <c r="M651" s="43" t="s">
        <v>169</v>
      </c>
    </row>
    <row r="652" spans="1:13" s="44" customFormat="1" ht="30" customHeight="1" x14ac:dyDescent="0.25">
      <c r="A652" s="39" t="s">
        <v>1035</v>
      </c>
      <c r="B652" s="40" t="s">
        <v>273</v>
      </c>
      <c r="C652" s="39" t="s">
        <v>412</v>
      </c>
      <c r="D652" s="41">
        <v>6</v>
      </c>
      <c r="E652" s="41"/>
      <c r="F652" s="41">
        <v>4</v>
      </c>
      <c r="G652" s="41"/>
      <c r="H652" s="41">
        <f>+D652+E652+-F652</f>
        <v>2</v>
      </c>
      <c r="I652" s="42">
        <v>9.75</v>
      </c>
      <c r="J652" s="42">
        <f t="shared" si="24"/>
        <v>19.5</v>
      </c>
      <c r="K652" s="42"/>
      <c r="L652" s="42"/>
      <c r="M652" s="43" t="s">
        <v>313</v>
      </c>
    </row>
    <row r="653" spans="1:13" s="44" customFormat="1" ht="30" customHeight="1" x14ac:dyDescent="0.25">
      <c r="A653" s="39" t="s">
        <v>1152</v>
      </c>
      <c r="B653" s="40"/>
      <c r="C653" s="39" t="s">
        <v>502</v>
      </c>
      <c r="D653" s="41">
        <v>2</v>
      </c>
      <c r="E653" s="41"/>
      <c r="F653" s="41"/>
      <c r="G653" s="41"/>
      <c r="H653" s="41">
        <f>+D653+E653+-F653</f>
        <v>2</v>
      </c>
      <c r="I653" s="42">
        <v>455</v>
      </c>
      <c r="J653" s="42">
        <f t="shared" si="24"/>
        <v>910</v>
      </c>
      <c r="K653" s="42"/>
      <c r="L653" s="42"/>
      <c r="M653" s="43" t="s">
        <v>454</v>
      </c>
    </row>
    <row r="654" spans="1:13" s="44" customFormat="1" ht="30" customHeight="1" x14ac:dyDescent="0.25">
      <c r="A654" s="39" t="s">
        <v>664</v>
      </c>
      <c r="B654" s="40"/>
      <c r="C654" s="39" t="s">
        <v>93</v>
      </c>
      <c r="D654" s="41">
        <v>10</v>
      </c>
      <c r="E654" s="41"/>
      <c r="F654" s="41"/>
      <c r="G654" s="41"/>
      <c r="H654" s="41">
        <f>+D654+E654-F654</f>
        <v>10</v>
      </c>
      <c r="I654" s="42">
        <v>1390</v>
      </c>
      <c r="J654" s="42">
        <f t="shared" si="24"/>
        <v>13900</v>
      </c>
      <c r="K654" s="42"/>
      <c r="L654" s="42"/>
      <c r="M654" s="43" t="s">
        <v>27</v>
      </c>
    </row>
    <row r="655" spans="1:13" s="44" customFormat="1" ht="30" customHeight="1" x14ac:dyDescent="0.25">
      <c r="A655" s="39" t="s">
        <v>665</v>
      </c>
      <c r="B655" s="40"/>
      <c r="C655" s="39" t="s">
        <v>94</v>
      </c>
      <c r="D655" s="41">
        <v>5</v>
      </c>
      <c r="E655" s="41"/>
      <c r="F655" s="41"/>
      <c r="G655" s="41"/>
      <c r="H655" s="41">
        <f>+D655+E655-F655</f>
        <v>5</v>
      </c>
      <c r="I655" s="42"/>
      <c r="J655" s="42">
        <f t="shared" si="24"/>
        <v>0</v>
      </c>
      <c r="K655" s="42"/>
      <c r="L655" s="42"/>
      <c r="M655" s="43" t="s">
        <v>27</v>
      </c>
    </row>
    <row r="656" spans="1:13" s="44" customFormat="1" ht="30" customHeight="1" x14ac:dyDescent="0.25">
      <c r="A656" s="39" t="s">
        <v>666</v>
      </c>
      <c r="B656" s="40"/>
      <c r="C656" s="39" t="s">
        <v>95</v>
      </c>
      <c r="D656" s="41">
        <v>2</v>
      </c>
      <c r="E656" s="41"/>
      <c r="F656" s="41"/>
      <c r="G656" s="41"/>
      <c r="H656" s="41">
        <f>+D656+E656-F656</f>
        <v>2</v>
      </c>
      <c r="I656" s="42"/>
      <c r="J656" s="42">
        <f t="shared" si="24"/>
        <v>0</v>
      </c>
      <c r="K656" s="42"/>
      <c r="L656" s="42"/>
      <c r="M656" s="43" t="s">
        <v>27</v>
      </c>
    </row>
    <row r="657" spans="1:13" s="44" customFormat="1" ht="30" customHeight="1" x14ac:dyDescent="0.25">
      <c r="A657" s="39" t="s">
        <v>667</v>
      </c>
      <c r="B657" s="40"/>
      <c r="C657" s="39" t="s">
        <v>96</v>
      </c>
      <c r="D657" s="41">
        <v>1</v>
      </c>
      <c r="E657" s="41"/>
      <c r="F657" s="41"/>
      <c r="G657" s="41"/>
      <c r="H657" s="41">
        <f>+D657+E657-F657</f>
        <v>1</v>
      </c>
      <c r="I657" s="42"/>
      <c r="J657" s="42">
        <f t="shared" si="24"/>
        <v>0</v>
      </c>
      <c r="K657" s="42"/>
      <c r="L657" s="42"/>
      <c r="M657" s="43" t="s">
        <v>27</v>
      </c>
    </row>
    <row r="658" spans="1:13" s="44" customFormat="1" ht="30" customHeight="1" x14ac:dyDescent="0.25">
      <c r="A658" s="39" t="s">
        <v>668</v>
      </c>
      <c r="B658" s="40"/>
      <c r="C658" s="39" t="s">
        <v>97</v>
      </c>
      <c r="D658" s="41">
        <v>6</v>
      </c>
      <c r="E658" s="41"/>
      <c r="F658" s="41"/>
      <c r="G658" s="41"/>
      <c r="H658" s="41">
        <f>+D658+E658-F658</f>
        <v>6</v>
      </c>
      <c r="I658" s="42"/>
      <c r="J658" s="42">
        <f t="shared" si="24"/>
        <v>0</v>
      </c>
      <c r="K658" s="42"/>
      <c r="L658" s="42"/>
      <c r="M658" s="43" t="s">
        <v>27</v>
      </c>
    </row>
    <row r="659" spans="1:13" s="44" customFormat="1" ht="30" customHeight="1" x14ac:dyDescent="0.25">
      <c r="A659" s="39" t="s">
        <v>669</v>
      </c>
      <c r="B659" s="40"/>
      <c r="C659" s="39" t="s">
        <v>98</v>
      </c>
      <c r="D659" s="41">
        <v>1</v>
      </c>
      <c r="E659" s="41"/>
      <c r="F659" s="41"/>
      <c r="G659" s="41"/>
      <c r="H659" s="41">
        <f>+D659+E659-F659</f>
        <v>1</v>
      </c>
      <c r="I659" s="42"/>
      <c r="J659" s="42">
        <f t="shared" si="24"/>
        <v>0</v>
      </c>
      <c r="K659" s="42"/>
      <c r="L659" s="42"/>
      <c r="M659" s="43" t="s">
        <v>27</v>
      </c>
    </row>
    <row r="660" spans="1:13" s="44" customFormat="1" ht="30" customHeight="1" x14ac:dyDescent="0.25">
      <c r="A660" s="39" t="s">
        <v>1036</v>
      </c>
      <c r="B660" s="40"/>
      <c r="C660" s="39" t="s">
        <v>413</v>
      </c>
      <c r="D660" s="41">
        <v>1</v>
      </c>
      <c r="E660" s="41"/>
      <c r="F660" s="41"/>
      <c r="G660" s="41"/>
      <c r="H660" s="41">
        <f>+D660+E660+-F660</f>
        <v>1</v>
      </c>
      <c r="I660" s="42"/>
      <c r="J660" s="42">
        <f t="shared" si="24"/>
        <v>0</v>
      </c>
      <c r="K660" s="42"/>
      <c r="L660" s="42"/>
      <c r="M660" s="43" t="s">
        <v>313</v>
      </c>
    </row>
    <row r="661" spans="1:13" s="44" customFormat="1" ht="30" customHeight="1" x14ac:dyDescent="0.25">
      <c r="A661" s="39" t="s">
        <v>843</v>
      </c>
      <c r="B661" s="40"/>
      <c r="C661" s="45" t="s">
        <v>241</v>
      </c>
      <c r="D661" s="41">
        <v>6</v>
      </c>
      <c r="E661" s="41"/>
      <c r="F661" s="41">
        <v>4</v>
      </c>
      <c r="G661" s="41"/>
      <c r="H661" s="41">
        <f>+D661+E661+-F661</f>
        <v>2</v>
      </c>
      <c r="I661" s="42"/>
      <c r="J661" s="42">
        <f t="shared" si="24"/>
        <v>0</v>
      </c>
      <c r="K661" s="42"/>
      <c r="L661" s="42"/>
      <c r="M661" s="43" t="s">
        <v>222</v>
      </c>
    </row>
    <row r="662" spans="1:13" s="44" customFormat="1" ht="30" customHeight="1" x14ac:dyDescent="0.25">
      <c r="A662" s="39" t="s">
        <v>1037</v>
      </c>
      <c r="B662" s="40" t="s">
        <v>273</v>
      </c>
      <c r="C662" s="39" t="s">
        <v>1294</v>
      </c>
      <c r="D662" s="41">
        <f>4-1-1</f>
        <v>2</v>
      </c>
      <c r="E662" s="41"/>
      <c r="F662" s="41">
        <f>1+1</f>
        <v>2</v>
      </c>
      <c r="G662" s="41"/>
      <c r="H662" s="41">
        <f>+D662+E662+-F662</f>
        <v>0</v>
      </c>
      <c r="I662" s="42">
        <v>30.63</v>
      </c>
      <c r="J662" s="42">
        <f t="shared" si="24"/>
        <v>0</v>
      </c>
      <c r="K662" s="42"/>
      <c r="L662" s="42"/>
      <c r="M662" s="43" t="s">
        <v>313</v>
      </c>
    </row>
    <row r="663" spans="1:13" s="91" customFormat="1" ht="15.75" x14ac:dyDescent="0.25">
      <c r="A663" s="39" t="s">
        <v>1038</v>
      </c>
      <c r="B663" s="40" t="s">
        <v>273</v>
      </c>
      <c r="C663" s="39" t="s">
        <v>414</v>
      </c>
      <c r="D663" s="41">
        <v>2</v>
      </c>
      <c r="E663" s="41"/>
      <c r="F663" s="41">
        <f>2</f>
        <v>2</v>
      </c>
      <c r="G663" s="41"/>
      <c r="H663" s="41">
        <f>+D663+E663+-F663</f>
        <v>0</v>
      </c>
      <c r="I663" s="42">
        <v>30.63</v>
      </c>
      <c r="J663" s="42">
        <f t="shared" si="24"/>
        <v>0</v>
      </c>
      <c r="K663" s="42"/>
      <c r="L663" s="42"/>
      <c r="M663" s="43" t="s">
        <v>313</v>
      </c>
    </row>
    <row r="664" spans="1:13" s="44" customFormat="1" ht="30" customHeight="1" x14ac:dyDescent="0.25">
      <c r="A664" s="39" t="s">
        <v>1039</v>
      </c>
      <c r="B664" s="40" t="s">
        <v>273</v>
      </c>
      <c r="C664" s="39" t="s">
        <v>415</v>
      </c>
      <c r="D664" s="41">
        <v>2</v>
      </c>
      <c r="E664" s="41"/>
      <c r="F664" s="41">
        <v>2</v>
      </c>
      <c r="G664" s="41"/>
      <c r="H664" s="41">
        <f>+D664+E664+-F664</f>
        <v>0</v>
      </c>
      <c r="I664" s="42">
        <v>30.63</v>
      </c>
      <c r="J664" s="42">
        <f t="shared" si="24"/>
        <v>0</v>
      </c>
      <c r="K664" s="42"/>
      <c r="L664" s="42"/>
      <c r="M664" s="43" t="s">
        <v>313</v>
      </c>
    </row>
    <row r="665" spans="1:13" s="44" customFormat="1" ht="39.950000000000003" customHeight="1" x14ac:dyDescent="0.25">
      <c r="A665" s="39" t="s">
        <v>1041</v>
      </c>
      <c r="B665" s="40" t="s">
        <v>273</v>
      </c>
      <c r="C665" s="39" t="s">
        <v>1296</v>
      </c>
      <c r="D665" s="41">
        <v>48</v>
      </c>
      <c r="E665" s="41"/>
      <c r="F665" s="41">
        <f>18+1</f>
        <v>19</v>
      </c>
      <c r="G665" s="41"/>
      <c r="H665" s="41">
        <f>+D665+E665+-F665</f>
        <v>29</v>
      </c>
      <c r="I665" s="42">
        <v>30.63</v>
      </c>
      <c r="J665" s="42">
        <f t="shared" si="24"/>
        <v>888.27</v>
      </c>
      <c r="K665" s="42"/>
      <c r="L665" s="42"/>
      <c r="M665" s="43" t="s">
        <v>313</v>
      </c>
    </row>
    <row r="666" spans="1:13" s="44" customFormat="1" ht="39.950000000000003" customHeight="1" x14ac:dyDescent="0.25">
      <c r="A666" s="39" t="s">
        <v>1044</v>
      </c>
      <c r="B666" s="40" t="s">
        <v>273</v>
      </c>
      <c r="C666" s="39" t="s">
        <v>1297</v>
      </c>
      <c r="D666" s="41">
        <v>20</v>
      </c>
      <c r="E666" s="41"/>
      <c r="F666" s="41">
        <v>5</v>
      </c>
      <c r="G666" s="41"/>
      <c r="H666" s="41">
        <f>+D666+E666+-F666</f>
        <v>15</v>
      </c>
      <c r="I666" s="42">
        <v>30.63</v>
      </c>
      <c r="J666" s="42">
        <f t="shared" si="24"/>
        <v>459.45</v>
      </c>
      <c r="K666" s="42"/>
      <c r="L666" s="42"/>
      <c r="M666" s="43" t="s">
        <v>313</v>
      </c>
    </row>
    <row r="667" spans="1:13" s="44" customFormat="1" ht="39.950000000000003" customHeight="1" x14ac:dyDescent="0.25">
      <c r="A667" s="39" t="s">
        <v>1046</v>
      </c>
      <c r="B667" s="40" t="s">
        <v>273</v>
      </c>
      <c r="C667" s="39" t="s">
        <v>1298</v>
      </c>
      <c r="D667" s="41">
        <f>4-1</f>
        <v>3</v>
      </c>
      <c r="E667" s="41"/>
      <c r="F667" s="41">
        <f>2+1</f>
        <v>3</v>
      </c>
      <c r="G667" s="41"/>
      <c r="H667" s="41">
        <f>+D667+E667+-F667</f>
        <v>0</v>
      </c>
      <c r="I667" s="42">
        <v>30.63</v>
      </c>
      <c r="J667" s="42">
        <f t="shared" si="24"/>
        <v>0</v>
      </c>
      <c r="K667" s="42"/>
      <c r="L667" s="42"/>
      <c r="M667" s="43" t="s">
        <v>313</v>
      </c>
    </row>
    <row r="668" spans="1:13" s="44" customFormat="1" ht="30" customHeight="1" x14ac:dyDescent="0.25">
      <c r="A668" s="39" t="s">
        <v>1042</v>
      </c>
      <c r="B668" s="40" t="s">
        <v>273</v>
      </c>
      <c r="C668" s="39" t="s">
        <v>416</v>
      </c>
      <c r="D668" s="41">
        <f>24-1</f>
        <v>23</v>
      </c>
      <c r="E668" s="41"/>
      <c r="F668" s="41">
        <f>23-9+1+3+1+2+1</f>
        <v>22</v>
      </c>
      <c r="G668" s="41"/>
      <c r="H668" s="41">
        <f>+D668+E668+-F668</f>
        <v>1</v>
      </c>
      <c r="I668" s="42">
        <v>30.63</v>
      </c>
      <c r="J668" s="42">
        <f t="shared" si="24"/>
        <v>30.63</v>
      </c>
      <c r="K668" s="42"/>
      <c r="L668" s="42"/>
      <c r="M668" s="43" t="s">
        <v>313</v>
      </c>
    </row>
    <row r="669" spans="1:13" s="91" customFormat="1" ht="39.950000000000003" customHeight="1" x14ac:dyDescent="0.25">
      <c r="A669" s="39" t="s">
        <v>1043</v>
      </c>
      <c r="B669" s="40" t="s">
        <v>273</v>
      </c>
      <c r="C669" s="39" t="s">
        <v>417</v>
      </c>
      <c r="D669" s="41">
        <v>15</v>
      </c>
      <c r="E669" s="41"/>
      <c r="F669" s="41">
        <v>15</v>
      </c>
      <c r="G669" s="41"/>
      <c r="H669" s="41">
        <f>+D669+E669+-F669</f>
        <v>0</v>
      </c>
      <c r="I669" s="42">
        <v>30.63</v>
      </c>
      <c r="J669" s="42">
        <f t="shared" si="24"/>
        <v>0</v>
      </c>
      <c r="K669" s="42"/>
      <c r="L669" s="42"/>
      <c r="M669" s="43" t="s">
        <v>313</v>
      </c>
    </row>
    <row r="670" spans="1:13" s="91" customFormat="1" ht="39.950000000000003" customHeight="1" x14ac:dyDescent="0.25">
      <c r="A670" s="39" t="s">
        <v>1040</v>
      </c>
      <c r="B670" s="40" t="s">
        <v>273</v>
      </c>
      <c r="C670" s="39" t="s">
        <v>1295</v>
      </c>
      <c r="D670" s="41">
        <v>14</v>
      </c>
      <c r="E670" s="41"/>
      <c r="F670" s="41">
        <v>1</v>
      </c>
      <c r="G670" s="41"/>
      <c r="H670" s="41">
        <f>+D670+E670+-F670</f>
        <v>13</v>
      </c>
      <c r="I670" s="42">
        <v>30.63</v>
      </c>
      <c r="J670" s="42">
        <f t="shared" si="24"/>
        <v>398.19</v>
      </c>
      <c r="K670" s="42"/>
      <c r="L670" s="42"/>
      <c r="M670" s="43" t="s">
        <v>313</v>
      </c>
    </row>
    <row r="671" spans="1:13" s="91" customFormat="1" ht="39.950000000000003" customHeight="1" x14ac:dyDescent="0.25">
      <c r="A671" s="39" t="s">
        <v>1045</v>
      </c>
      <c r="B671" s="40" t="s">
        <v>273</v>
      </c>
      <c r="C671" s="39" t="s">
        <v>418</v>
      </c>
      <c r="D671" s="41">
        <f>12-1</f>
        <v>11</v>
      </c>
      <c r="E671" s="41"/>
      <c r="F671" s="41">
        <f>2+1+3+1+2+2</f>
        <v>11</v>
      </c>
      <c r="G671" s="41"/>
      <c r="H671" s="41">
        <f>+D671+E671+-F671</f>
        <v>0</v>
      </c>
      <c r="I671" s="42">
        <v>30.63</v>
      </c>
      <c r="J671" s="42">
        <f t="shared" si="24"/>
        <v>0</v>
      </c>
      <c r="K671" s="42"/>
      <c r="L671" s="42"/>
      <c r="M671" s="43" t="s">
        <v>313</v>
      </c>
    </row>
    <row r="672" spans="1:13" s="91" customFormat="1" ht="39.950000000000003" customHeight="1" x14ac:dyDescent="0.25">
      <c r="A672" s="39" t="s">
        <v>1568</v>
      </c>
      <c r="B672" s="50" t="s">
        <v>1561</v>
      </c>
      <c r="C672" s="51" t="s">
        <v>1575</v>
      </c>
      <c r="D672" s="52"/>
      <c r="E672" s="53">
        <v>6</v>
      </c>
      <c r="F672" s="53"/>
      <c r="G672" s="53"/>
      <c r="H672" s="41">
        <f>+D672+E672-F672+G672</f>
        <v>6</v>
      </c>
      <c r="I672" s="54">
        <v>1158.17</v>
      </c>
      <c r="J672" s="55">
        <f t="shared" si="24"/>
        <v>6949.02</v>
      </c>
      <c r="K672" s="54"/>
      <c r="L672" s="54"/>
      <c r="M672" s="43" t="s">
        <v>1541</v>
      </c>
    </row>
    <row r="673" spans="1:14" s="91" customFormat="1" ht="39.950000000000003" customHeight="1" x14ac:dyDescent="0.25">
      <c r="A673" s="39" t="s">
        <v>1047</v>
      </c>
      <c r="B673" s="40"/>
      <c r="C673" s="39" t="s">
        <v>419</v>
      </c>
      <c r="D673" s="41">
        <v>2</v>
      </c>
      <c r="E673" s="41"/>
      <c r="F673" s="41"/>
      <c r="G673" s="41"/>
      <c r="H673" s="41">
        <f>+D673+E673+-F673</f>
        <v>2</v>
      </c>
      <c r="I673" s="42"/>
      <c r="J673" s="42">
        <f t="shared" si="24"/>
        <v>0</v>
      </c>
      <c r="K673" s="42"/>
      <c r="L673" s="42"/>
      <c r="M673" s="43" t="s">
        <v>313</v>
      </c>
    </row>
    <row r="674" spans="1:14" s="91" customFormat="1" ht="39.950000000000003" customHeight="1" x14ac:dyDescent="0.25">
      <c r="A674" s="39" t="s">
        <v>1048</v>
      </c>
      <c r="B674" s="49" t="s">
        <v>6</v>
      </c>
      <c r="C674" s="39" t="s">
        <v>420</v>
      </c>
      <c r="D674" s="41">
        <v>7</v>
      </c>
      <c r="E674" s="41"/>
      <c r="F674" s="41"/>
      <c r="G674" s="41"/>
      <c r="H674" s="41">
        <f>+D674+E674+-F674</f>
        <v>7</v>
      </c>
      <c r="I674" s="42">
        <v>428.22</v>
      </c>
      <c r="J674" s="42">
        <f t="shared" si="24"/>
        <v>2997.54</v>
      </c>
      <c r="K674" s="42"/>
      <c r="L674" s="42"/>
      <c r="M674" s="43" t="s">
        <v>313</v>
      </c>
    </row>
    <row r="675" spans="1:14" s="91" customFormat="1" ht="30" customHeight="1" x14ac:dyDescent="0.25">
      <c r="A675" s="39" t="s">
        <v>1049</v>
      </c>
      <c r="B675" s="40" t="s">
        <v>273</v>
      </c>
      <c r="C675" s="39" t="s">
        <v>421</v>
      </c>
      <c r="D675" s="41">
        <f>200-1</f>
        <v>199</v>
      </c>
      <c r="E675" s="41"/>
      <c r="F675" s="41">
        <f>1+1+1+2+2+2</f>
        <v>9</v>
      </c>
      <c r="G675" s="41"/>
      <c r="H675" s="41">
        <f>+D675+E675+-F675</f>
        <v>190</v>
      </c>
      <c r="I675" s="42">
        <v>247.85</v>
      </c>
      <c r="J675" s="42">
        <f t="shared" si="24"/>
        <v>47091.5</v>
      </c>
      <c r="K675" s="42"/>
      <c r="L675" s="42"/>
      <c r="M675" s="43" t="s">
        <v>313</v>
      </c>
      <c r="N675" s="93"/>
    </row>
    <row r="676" spans="1:14" s="91" customFormat="1" ht="30" customHeight="1" x14ac:dyDescent="0.25">
      <c r="A676" s="39" t="s">
        <v>1050</v>
      </c>
      <c r="B676" s="49" t="s">
        <v>6</v>
      </c>
      <c r="C676" s="39" t="s">
        <v>422</v>
      </c>
      <c r="D676" s="41">
        <v>7</v>
      </c>
      <c r="E676" s="41"/>
      <c r="F676" s="41">
        <f>2+1</f>
        <v>3</v>
      </c>
      <c r="G676" s="41"/>
      <c r="H676" s="41">
        <f>+D676+E676+-F676</f>
        <v>4</v>
      </c>
      <c r="I676" s="42">
        <v>428.22</v>
      </c>
      <c r="J676" s="42">
        <f t="shared" si="24"/>
        <v>1712.88</v>
      </c>
      <c r="K676" s="42"/>
      <c r="L676" s="42"/>
      <c r="M676" s="43" t="s">
        <v>313</v>
      </c>
    </row>
    <row r="677" spans="1:14" s="91" customFormat="1" ht="39.950000000000003" customHeight="1" x14ac:dyDescent="0.25">
      <c r="A677" s="39" t="s">
        <v>1051</v>
      </c>
      <c r="B677" s="49" t="s">
        <v>6</v>
      </c>
      <c r="C677" s="39" t="s">
        <v>1299</v>
      </c>
      <c r="D677" s="41">
        <f>71-1</f>
        <v>70</v>
      </c>
      <c r="E677" s="41"/>
      <c r="F677" s="41">
        <f>3+1+1+1+1+3+1+1+1+1+1+1+2</f>
        <v>18</v>
      </c>
      <c r="G677" s="41"/>
      <c r="H677" s="41">
        <f>+D677+E677+-F677</f>
        <v>52</v>
      </c>
      <c r="I677" s="42">
        <v>326.62</v>
      </c>
      <c r="J677" s="42">
        <f t="shared" si="24"/>
        <v>16984.240000000002</v>
      </c>
      <c r="K677" s="42"/>
      <c r="L677" s="42"/>
      <c r="M677" s="43" t="s">
        <v>313</v>
      </c>
    </row>
    <row r="678" spans="1:14" s="91" customFormat="1" ht="39.950000000000003" customHeight="1" x14ac:dyDescent="0.25">
      <c r="A678" s="39" t="s">
        <v>1052</v>
      </c>
      <c r="B678" s="49" t="s">
        <v>6</v>
      </c>
      <c r="C678" s="39" t="s">
        <v>423</v>
      </c>
      <c r="D678" s="41">
        <v>9</v>
      </c>
      <c r="E678" s="41"/>
      <c r="F678" s="41">
        <v>1</v>
      </c>
      <c r="G678" s="41"/>
      <c r="H678" s="41">
        <f>+D678+E678+-F678</f>
        <v>8</v>
      </c>
      <c r="I678" s="42">
        <v>428.22</v>
      </c>
      <c r="J678" s="42">
        <f t="shared" si="24"/>
        <v>3425.76</v>
      </c>
      <c r="K678" s="42"/>
      <c r="L678" s="42"/>
      <c r="M678" s="43" t="s">
        <v>313</v>
      </c>
    </row>
    <row r="679" spans="1:14" s="91" customFormat="1" ht="39.950000000000003" customHeight="1" x14ac:dyDescent="0.25">
      <c r="A679" s="39" t="s">
        <v>1053</v>
      </c>
      <c r="B679" s="40" t="s">
        <v>6</v>
      </c>
      <c r="C679" s="39" t="s">
        <v>424</v>
      </c>
      <c r="D679" s="41">
        <v>21</v>
      </c>
      <c r="E679" s="41"/>
      <c r="F679" s="41">
        <f>1+2</f>
        <v>3</v>
      </c>
      <c r="G679" s="41"/>
      <c r="H679" s="41">
        <f>+D679+E679+-F679</f>
        <v>18</v>
      </c>
      <c r="I679" s="42">
        <v>428.22</v>
      </c>
      <c r="J679" s="42">
        <f t="shared" si="24"/>
        <v>7707.9600000000009</v>
      </c>
      <c r="K679" s="42"/>
      <c r="L679" s="42"/>
      <c r="M679" s="43" t="s">
        <v>313</v>
      </c>
    </row>
    <row r="680" spans="1:14" s="44" customFormat="1" ht="30" customHeight="1" x14ac:dyDescent="0.25">
      <c r="A680" s="39" t="s">
        <v>1153</v>
      </c>
      <c r="B680" s="40" t="s">
        <v>254</v>
      </c>
      <c r="C680" s="39" t="s">
        <v>503</v>
      </c>
      <c r="D680" s="41">
        <v>2</v>
      </c>
      <c r="E680" s="41"/>
      <c r="F680" s="41"/>
      <c r="G680" s="41"/>
      <c r="H680" s="41">
        <f>+D680+E680+-F680</f>
        <v>2</v>
      </c>
      <c r="I680" s="42">
        <v>348.1</v>
      </c>
      <c r="J680" s="42">
        <f t="shared" si="24"/>
        <v>696.2</v>
      </c>
      <c r="K680" s="42"/>
      <c r="L680" s="42"/>
      <c r="M680" s="43" t="s">
        <v>454</v>
      </c>
    </row>
    <row r="681" spans="1:14" s="44" customFormat="1" ht="30" customHeight="1" x14ac:dyDescent="0.25">
      <c r="A681" s="39" t="s">
        <v>670</v>
      </c>
      <c r="B681" s="40"/>
      <c r="C681" s="39" t="s">
        <v>99</v>
      </c>
      <c r="D681" s="41">
        <v>1</v>
      </c>
      <c r="E681" s="41"/>
      <c r="F681" s="41"/>
      <c r="G681" s="41"/>
      <c r="H681" s="41">
        <f>+D681+E681-F681</f>
        <v>1</v>
      </c>
      <c r="I681" s="42"/>
      <c r="J681" s="42">
        <f t="shared" si="24"/>
        <v>0</v>
      </c>
      <c r="K681" s="42"/>
      <c r="L681" s="42"/>
      <c r="M681" s="43" t="s">
        <v>27</v>
      </c>
    </row>
    <row r="682" spans="1:14" s="44" customFormat="1" ht="30" customHeight="1" x14ac:dyDescent="0.25">
      <c r="A682" s="39" t="s">
        <v>807</v>
      </c>
      <c r="B682" s="48">
        <v>45469</v>
      </c>
      <c r="C682" s="39" t="s">
        <v>207</v>
      </c>
      <c r="D682" s="41">
        <v>1</v>
      </c>
      <c r="E682" s="41"/>
      <c r="F682" s="41">
        <v>1</v>
      </c>
      <c r="G682" s="41"/>
      <c r="H682" s="41">
        <f>+D682+E682+-F682</f>
        <v>0</v>
      </c>
      <c r="I682" s="42">
        <v>2744.42</v>
      </c>
      <c r="J682" s="42">
        <f t="shared" ref="J682:J713" si="25">+H682*I682</f>
        <v>0</v>
      </c>
      <c r="K682" s="42"/>
      <c r="L682" s="42"/>
      <c r="M682" s="43" t="s">
        <v>169</v>
      </c>
    </row>
    <row r="683" spans="1:14" s="44" customFormat="1" ht="30" customHeight="1" x14ac:dyDescent="0.25">
      <c r="A683" s="39" t="s">
        <v>1054</v>
      </c>
      <c r="B683" s="40" t="s">
        <v>425</v>
      </c>
      <c r="C683" s="39" t="s">
        <v>426</v>
      </c>
      <c r="D683" s="41">
        <v>127</v>
      </c>
      <c r="E683" s="41"/>
      <c r="F683" s="41">
        <v>10</v>
      </c>
      <c r="G683" s="41"/>
      <c r="H683" s="41">
        <f>+D683+E683+-F683</f>
        <v>117</v>
      </c>
      <c r="I683" s="42">
        <v>19.489999999999998</v>
      </c>
      <c r="J683" s="42">
        <f t="shared" si="25"/>
        <v>2280.33</v>
      </c>
      <c r="K683" s="42"/>
      <c r="L683" s="42"/>
      <c r="M683" s="43" t="s">
        <v>313</v>
      </c>
    </row>
    <row r="684" spans="1:14" s="44" customFormat="1" ht="30" customHeight="1" x14ac:dyDescent="0.25">
      <c r="A684" s="39" t="s">
        <v>1608</v>
      </c>
      <c r="B684" s="50">
        <v>45577</v>
      </c>
      <c r="C684" s="51" t="s">
        <v>1597</v>
      </c>
      <c r="D684" s="52"/>
      <c r="E684" s="53">
        <v>4000</v>
      </c>
      <c r="F684" s="53">
        <f>200+100</f>
        <v>300</v>
      </c>
      <c r="G684" s="53"/>
      <c r="H684" s="41">
        <f>+D684+E684-F684+G684</f>
        <v>3700</v>
      </c>
      <c r="I684" s="54">
        <v>33.04</v>
      </c>
      <c r="J684" s="55">
        <f t="shared" si="25"/>
        <v>122248</v>
      </c>
      <c r="K684" s="54"/>
      <c r="L684" s="54"/>
      <c r="M684" s="43"/>
    </row>
    <row r="685" spans="1:14" s="44" customFormat="1" ht="30" customHeight="1" x14ac:dyDescent="0.25">
      <c r="A685" s="39" t="s">
        <v>1588</v>
      </c>
      <c r="B685" s="50" t="s">
        <v>1561</v>
      </c>
      <c r="C685" s="51" t="s">
        <v>1579</v>
      </c>
      <c r="D685" s="52"/>
      <c r="E685" s="53">
        <v>10</v>
      </c>
      <c r="F685" s="53"/>
      <c r="G685" s="53"/>
      <c r="H685" s="41">
        <f>+D685+E685-F685+G685</f>
        <v>10</v>
      </c>
      <c r="I685" s="54">
        <v>375.45240000000001</v>
      </c>
      <c r="J685" s="55">
        <f t="shared" si="25"/>
        <v>3754.5240000000003</v>
      </c>
      <c r="K685" s="54"/>
      <c r="L685" s="54"/>
      <c r="M685" s="43" t="s">
        <v>1541</v>
      </c>
    </row>
    <row r="686" spans="1:14" s="44" customFormat="1" ht="30" customHeight="1" x14ac:dyDescent="0.25">
      <c r="A686" s="39" t="s">
        <v>700</v>
      </c>
      <c r="B686" s="49">
        <v>45414</v>
      </c>
      <c r="C686" s="39" t="s">
        <v>122</v>
      </c>
      <c r="D686" s="41">
        <f>49-1-1</f>
        <v>47</v>
      </c>
      <c r="E686" s="41"/>
      <c r="F686" s="41">
        <f>1+1+1+2+2</f>
        <v>7</v>
      </c>
      <c r="G686" s="41"/>
      <c r="H686" s="41">
        <f>+D686+E686-F686</f>
        <v>40</v>
      </c>
      <c r="I686" s="42">
        <v>397.16</v>
      </c>
      <c r="J686" s="42">
        <f t="shared" si="25"/>
        <v>15886.400000000001</v>
      </c>
      <c r="K686" s="42"/>
      <c r="L686" s="42"/>
      <c r="M686" s="43" t="s">
        <v>115</v>
      </c>
    </row>
    <row r="687" spans="1:14" s="44" customFormat="1" ht="30" customHeight="1" x14ac:dyDescent="0.25">
      <c r="A687" s="39" t="s">
        <v>691</v>
      </c>
      <c r="B687" s="48">
        <v>44193</v>
      </c>
      <c r="C687" s="45" t="s">
        <v>1430</v>
      </c>
      <c r="D687" s="41">
        <f>6+1+5+1-1</f>
        <v>12</v>
      </c>
      <c r="E687" s="41"/>
      <c r="F687" s="41">
        <f>6+1+1+1+2+1</f>
        <v>12</v>
      </c>
      <c r="G687" s="41"/>
      <c r="H687" s="41">
        <f>+D687+E687-F687</f>
        <v>0</v>
      </c>
      <c r="I687" s="42">
        <v>122.88</v>
      </c>
      <c r="J687" s="42">
        <f t="shared" si="25"/>
        <v>0</v>
      </c>
      <c r="K687" s="42"/>
      <c r="L687" s="42"/>
      <c r="M687" s="43" t="s">
        <v>115</v>
      </c>
    </row>
    <row r="688" spans="1:14" s="44" customFormat="1" ht="30" customHeight="1" x14ac:dyDescent="0.25">
      <c r="A688" s="39" t="s">
        <v>905</v>
      </c>
      <c r="B688" s="40"/>
      <c r="C688" s="39" t="s">
        <v>298</v>
      </c>
      <c r="D688" s="41">
        <v>15</v>
      </c>
      <c r="E688" s="41"/>
      <c r="F688" s="41"/>
      <c r="G688" s="41"/>
      <c r="H688" s="41">
        <f>+D688+E688+-F688</f>
        <v>15</v>
      </c>
      <c r="I688" s="42">
        <v>275</v>
      </c>
      <c r="J688" s="42">
        <f t="shared" si="25"/>
        <v>4125</v>
      </c>
      <c r="K688" s="42"/>
      <c r="L688" s="42"/>
      <c r="M688" s="43" t="s">
        <v>248</v>
      </c>
    </row>
    <row r="689" spans="1:13" s="44" customFormat="1" ht="30" customHeight="1" x14ac:dyDescent="0.25">
      <c r="A689" s="39" t="s">
        <v>1055</v>
      </c>
      <c r="B689" s="40"/>
      <c r="C689" s="39" t="s">
        <v>427</v>
      </c>
      <c r="D689" s="41">
        <v>8</v>
      </c>
      <c r="E689" s="41"/>
      <c r="F689" s="41">
        <f>1+1+1+1+1</f>
        <v>5</v>
      </c>
      <c r="G689" s="41"/>
      <c r="H689" s="41">
        <f>+D689+E689+-F689</f>
        <v>3</v>
      </c>
      <c r="I689" s="42"/>
      <c r="J689" s="42">
        <f t="shared" si="25"/>
        <v>0</v>
      </c>
      <c r="K689" s="42"/>
      <c r="L689" s="42"/>
      <c r="M689" s="43" t="s">
        <v>313</v>
      </c>
    </row>
    <row r="690" spans="1:13" s="44" customFormat="1" ht="30" customHeight="1" x14ac:dyDescent="0.25">
      <c r="A690" s="39" t="s">
        <v>1056</v>
      </c>
      <c r="B690" s="49">
        <v>44852</v>
      </c>
      <c r="C690" s="39" t="s">
        <v>428</v>
      </c>
      <c r="D690" s="41">
        <f>12+9</f>
        <v>21</v>
      </c>
      <c r="E690" s="41"/>
      <c r="F690" s="41"/>
      <c r="G690" s="41"/>
      <c r="H690" s="41">
        <f>+D690+E690+-F690</f>
        <v>21</v>
      </c>
      <c r="I690" s="42">
        <v>25.52</v>
      </c>
      <c r="J690" s="42">
        <f t="shared" si="25"/>
        <v>535.91999999999996</v>
      </c>
      <c r="K690" s="42"/>
      <c r="L690" s="42"/>
      <c r="M690" s="43" t="s">
        <v>313</v>
      </c>
    </row>
    <row r="691" spans="1:13" s="44" customFormat="1" ht="30" customHeight="1" x14ac:dyDescent="0.25">
      <c r="A691" s="39" t="s">
        <v>1057</v>
      </c>
      <c r="B691" s="40" t="s">
        <v>273</v>
      </c>
      <c r="C691" s="39" t="s">
        <v>429</v>
      </c>
      <c r="D691" s="41">
        <v>18</v>
      </c>
      <c r="E691" s="41"/>
      <c r="F691" s="41">
        <f>2+2</f>
        <v>4</v>
      </c>
      <c r="G691" s="41"/>
      <c r="H691" s="41">
        <f>+D691+E691+-F691</f>
        <v>14</v>
      </c>
      <c r="I691" s="42">
        <v>23.6</v>
      </c>
      <c r="J691" s="42">
        <f t="shared" si="25"/>
        <v>330.40000000000003</v>
      </c>
      <c r="K691" s="42"/>
      <c r="L691" s="42"/>
      <c r="M691" s="43" t="s">
        <v>313</v>
      </c>
    </row>
    <row r="692" spans="1:13" s="44" customFormat="1" ht="30" customHeight="1" x14ac:dyDescent="0.25">
      <c r="A692" s="39" t="s">
        <v>1058</v>
      </c>
      <c r="B692" s="49" t="s">
        <v>6</v>
      </c>
      <c r="C692" s="39" t="s">
        <v>430</v>
      </c>
      <c r="D692" s="41">
        <v>6</v>
      </c>
      <c r="E692" s="41"/>
      <c r="F692" s="41">
        <v>1</v>
      </c>
      <c r="G692" s="41"/>
      <c r="H692" s="41">
        <f>+D692+E692+-F692</f>
        <v>5</v>
      </c>
      <c r="I692" s="42">
        <v>6.5</v>
      </c>
      <c r="J692" s="42">
        <f t="shared" si="25"/>
        <v>32.5</v>
      </c>
      <c r="K692" s="42"/>
      <c r="L692" s="42"/>
      <c r="M692" s="43" t="s">
        <v>313</v>
      </c>
    </row>
    <row r="693" spans="1:13" s="44" customFormat="1" ht="30" customHeight="1" x14ac:dyDescent="0.25">
      <c r="A693" s="39" t="s">
        <v>1059</v>
      </c>
      <c r="B693" s="49" t="s">
        <v>6</v>
      </c>
      <c r="C693" s="39" t="s">
        <v>431</v>
      </c>
      <c r="D693" s="41">
        <v>49</v>
      </c>
      <c r="E693" s="41"/>
      <c r="F693" s="41"/>
      <c r="G693" s="41"/>
      <c r="H693" s="41">
        <f>+D693+E693+-F693</f>
        <v>49</v>
      </c>
      <c r="I693" s="42">
        <v>6.5</v>
      </c>
      <c r="J693" s="42">
        <f t="shared" si="25"/>
        <v>318.5</v>
      </c>
      <c r="K693" s="42"/>
      <c r="L693" s="42"/>
      <c r="M693" s="43" t="s">
        <v>313</v>
      </c>
    </row>
    <row r="694" spans="1:13" s="44" customFormat="1" ht="30" customHeight="1" x14ac:dyDescent="0.25">
      <c r="A694" s="39" t="s">
        <v>923</v>
      </c>
      <c r="B694" s="48">
        <v>45414</v>
      </c>
      <c r="C694" s="39" t="s">
        <v>312</v>
      </c>
      <c r="D694" s="41">
        <v>10</v>
      </c>
      <c r="E694" s="41"/>
      <c r="F694" s="41">
        <v>10</v>
      </c>
      <c r="G694" s="41"/>
      <c r="H694" s="41">
        <f>+D694+E694+-F694</f>
        <v>0</v>
      </c>
      <c r="I694" s="42">
        <v>6313</v>
      </c>
      <c r="J694" s="42">
        <f t="shared" si="25"/>
        <v>0</v>
      </c>
      <c r="K694" s="42"/>
      <c r="L694" s="42"/>
      <c r="M694" s="43" t="s">
        <v>248</v>
      </c>
    </row>
    <row r="695" spans="1:13" s="44" customFormat="1" ht="30" customHeight="1" x14ac:dyDescent="0.25">
      <c r="A695" s="39" t="s">
        <v>922</v>
      </c>
      <c r="B695" s="49">
        <v>45469</v>
      </c>
      <c r="C695" s="39" t="s">
        <v>311</v>
      </c>
      <c r="D695" s="41">
        <v>5</v>
      </c>
      <c r="E695" s="41"/>
      <c r="F695" s="41">
        <v>5</v>
      </c>
      <c r="G695" s="41"/>
      <c r="H695" s="41">
        <f>+D695+E695+-F695</f>
        <v>0</v>
      </c>
      <c r="I695" s="42">
        <v>2655</v>
      </c>
      <c r="J695" s="42">
        <f t="shared" si="25"/>
        <v>0</v>
      </c>
      <c r="K695" s="42"/>
      <c r="L695" s="42"/>
      <c r="M695" s="43" t="s">
        <v>248</v>
      </c>
    </row>
    <row r="696" spans="1:13" s="44" customFormat="1" ht="30" customHeight="1" x14ac:dyDescent="0.25">
      <c r="A696" s="39" t="s">
        <v>921</v>
      </c>
      <c r="B696" s="49">
        <v>45469</v>
      </c>
      <c r="C696" s="39" t="s">
        <v>310</v>
      </c>
      <c r="D696" s="41">
        <v>4</v>
      </c>
      <c r="E696" s="41"/>
      <c r="F696" s="41">
        <v>4</v>
      </c>
      <c r="G696" s="41"/>
      <c r="H696" s="41">
        <f>+D696+E696+-F696</f>
        <v>0</v>
      </c>
      <c r="I696" s="42">
        <v>6313</v>
      </c>
      <c r="J696" s="42">
        <f t="shared" si="25"/>
        <v>0</v>
      </c>
      <c r="K696" s="42"/>
      <c r="L696" s="42"/>
      <c r="M696" s="43" t="s">
        <v>248</v>
      </c>
    </row>
    <row r="697" spans="1:13" s="44" customFormat="1" ht="30" customHeight="1" x14ac:dyDescent="0.25">
      <c r="A697" s="39" t="s">
        <v>920</v>
      </c>
      <c r="B697" s="49">
        <v>45469</v>
      </c>
      <c r="C697" s="39" t="s">
        <v>1620</v>
      </c>
      <c r="D697" s="41">
        <v>15</v>
      </c>
      <c r="E697" s="41"/>
      <c r="F697" s="41">
        <f>5+1+2+1</f>
        <v>9</v>
      </c>
      <c r="G697" s="41"/>
      <c r="H697" s="41">
        <f>+D697+E697+-F697</f>
        <v>6</v>
      </c>
      <c r="I697" s="90">
        <v>265.5</v>
      </c>
      <c r="J697" s="42">
        <f t="shared" si="25"/>
        <v>1593</v>
      </c>
      <c r="K697" s="42"/>
      <c r="L697" s="42"/>
      <c r="M697" s="43" t="s">
        <v>248</v>
      </c>
    </row>
    <row r="698" spans="1:13" s="44" customFormat="1" ht="30" customHeight="1" x14ac:dyDescent="0.25">
      <c r="A698" s="39" t="s">
        <v>1567</v>
      </c>
      <c r="B698" s="50" t="s">
        <v>1561</v>
      </c>
      <c r="C698" s="51" t="s">
        <v>1574</v>
      </c>
      <c r="D698" s="52"/>
      <c r="E698" s="53">
        <v>3</v>
      </c>
      <c r="F698" s="53"/>
      <c r="G698" s="53"/>
      <c r="H698" s="41">
        <f>+D698+E698-F698+G698</f>
        <v>3</v>
      </c>
      <c r="I698" s="54">
        <v>899.99779999999998</v>
      </c>
      <c r="J698" s="55">
        <f t="shared" si="25"/>
        <v>2699.9933999999998</v>
      </c>
      <c r="K698" s="54"/>
      <c r="L698" s="54"/>
      <c r="M698" s="43" t="s">
        <v>115</v>
      </c>
    </row>
    <row r="699" spans="1:13" s="44" customFormat="1" ht="30" customHeight="1" x14ac:dyDescent="0.25">
      <c r="A699" s="39" t="s">
        <v>808</v>
      </c>
      <c r="B699" s="48">
        <v>45555</v>
      </c>
      <c r="C699" s="39" t="s">
        <v>208</v>
      </c>
      <c r="D699" s="41">
        <f>128-2-1</f>
        <v>125</v>
      </c>
      <c r="E699" s="41"/>
      <c r="F699" s="41">
        <f>5+1+1+1+1+1+1+1+1+1+1+1+1+1+1+1</f>
        <v>20</v>
      </c>
      <c r="G699" s="41"/>
      <c r="H699" s="41">
        <f>+D699+E699+-F699</f>
        <v>105</v>
      </c>
      <c r="I699" s="42">
        <v>70.8</v>
      </c>
      <c r="J699" s="42">
        <f t="shared" si="25"/>
        <v>7434</v>
      </c>
      <c r="K699" s="42"/>
      <c r="L699" s="42"/>
      <c r="M699" s="43" t="s">
        <v>169</v>
      </c>
    </row>
    <row r="700" spans="1:13" s="44" customFormat="1" ht="30" customHeight="1" x14ac:dyDescent="0.25">
      <c r="A700" s="39" t="s">
        <v>671</v>
      </c>
      <c r="B700" s="40"/>
      <c r="C700" s="39" t="s">
        <v>100</v>
      </c>
      <c r="D700" s="41">
        <v>9</v>
      </c>
      <c r="E700" s="41"/>
      <c r="F700" s="41"/>
      <c r="G700" s="41"/>
      <c r="H700" s="41">
        <f>+D700+E700-F700</f>
        <v>9</v>
      </c>
      <c r="I700" s="42"/>
      <c r="J700" s="42">
        <f t="shared" si="25"/>
        <v>0</v>
      </c>
      <c r="K700" s="42"/>
      <c r="L700" s="42"/>
      <c r="M700" s="43" t="s">
        <v>27</v>
      </c>
    </row>
    <row r="701" spans="1:13" s="44" customFormat="1" ht="30" customHeight="1" x14ac:dyDescent="0.25">
      <c r="A701" s="39" t="s">
        <v>672</v>
      </c>
      <c r="B701" s="40"/>
      <c r="C701" s="39" t="s">
        <v>101</v>
      </c>
      <c r="D701" s="41">
        <v>2</v>
      </c>
      <c r="E701" s="41"/>
      <c r="F701" s="41"/>
      <c r="G701" s="41"/>
      <c r="H701" s="41">
        <f>+D701+E701-F701</f>
        <v>2</v>
      </c>
      <c r="I701" s="42"/>
      <c r="J701" s="42">
        <f t="shared" si="25"/>
        <v>0</v>
      </c>
      <c r="K701" s="42"/>
      <c r="L701" s="42"/>
      <c r="M701" s="43" t="s">
        <v>27</v>
      </c>
    </row>
    <row r="702" spans="1:13" s="44" customFormat="1" ht="40.5" customHeight="1" x14ac:dyDescent="0.25">
      <c r="A702" s="39" t="s">
        <v>1187</v>
      </c>
      <c r="B702" s="40"/>
      <c r="C702" s="39" t="s">
        <v>530</v>
      </c>
      <c r="D702" s="41">
        <v>6</v>
      </c>
      <c r="E702" s="41"/>
      <c r="F702" s="41">
        <v>6</v>
      </c>
      <c r="G702" s="41"/>
      <c r="H702" s="41">
        <f>+D702+E702+-F702</f>
        <v>0</v>
      </c>
      <c r="I702" s="42">
        <v>170</v>
      </c>
      <c r="J702" s="42">
        <f t="shared" si="25"/>
        <v>0</v>
      </c>
      <c r="K702" s="42"/>
      <c r="L702" s="42"/>
      <c r="M702" s="43" t="s">
        <v>529</v>
      </c>
    </row>
    <row r="703" spans="1:13" s="44" customFormat="1" ht="30" customHeight="1" x14ac:dyDescent="0.25">
      <c r="A703" s="39" t="s">
        <v>1188</v>
      </c>
      <c r="B703" s="40"/>
      <c r="C703" s="39" t="s">
        <v>531</v>
      </c>
      <c r="D703" s="41">
        <v>3</v>
      </c>
      <c r="E703" s="41"/>
      <c r="F703" s="41"/>
      <c r="G703" s="41"/>
      <c r="H703" s="41">
        <f>+D703+E703+-F703</f>
        <v>3</v>
      </c>
      <c r="I703" s="42">
        <v>375</v>
      </c>
      <c r="J703" s="42">
        <f t="shared" si="25"/>
        <v>1125</v>
      </c>
      <c r="K703" s="42"/>
      <c r="L703" s="42"/>
      <c r="M703" s="43" t="s">
        <v>529</v>
      </c>
    </row>
    <row r="704" spans="1:13" s="44" customFormat="1" ht="30" customHeight="1" x14ac:dyDescent="0.25">
      <c r="A704" s="39" t="s">
        <v>1190</v>
      </c>
      <c r="B704" s="40"/>
      <c r="C704" s="39" t="s">
        <v>533</v>
      </c>
      <c r="D704" s="41">
        <v>20</v>
      </c>
      <c r="E704" s="41"/>
      <c r="F704" s="41"/>
      <c r="G704" s="41"/>
      <c r="H704" s="41">
        <f>+D704+E704+-F704</f>
        <v>20</v>
      </c>
      <c r="I704" s="42">
        <v>170</v>
      </c>
      <c r="J704" s="42">
        <f t="shared" si="25"/>
        <v>3400</v>
      </c>
      <c r="K704" s="42"/>
      <c r="L704" s="42"/>
      <c r="M704" s="43" t="s">
        <v>529</v>
      </c>
    </row>
    <row r="705" spans="1:13" s="44" customFormat="1" ht="30" customHeight="1" x14ac:dyDescent="0.25">
      <c r="A705" s="39" t="s">
        <v>585</v>
      </c>
      <c r="B705" s="48">
        <v>45412</v>
      </c>
      <c r="C705" s="39" t="s">
        <v>24</v>
      </c>
      <c r="D705" s="57">
        <f>85-1-1</f>
        <v>83</v>
      </c>
      <c r="E705" s="57"/>
      <c r="F705" s="57">
        <f>2+1+1+1+1+1+1+1+1+1+1+1+1+1+1+1+1</f>
        <v>18</v>
      </c>
      <c r="G705" s="57"/>
      <c r="H705" s="41">
        <f>+D705+E705-F705</f>
        <v>65</v>
      </c>
      <c r="I705" s="58">
        <v>150</v>
      </c>
      <c r="J705" s="42">
        <f t="shared" si="25"/>
        <v>9750</v>
      </c>
      <c r="K705" s="42"/>
      <c r="L705" s="42"/>
      <c r="M705" s="43" t="s">
        <v>20</v>
      </c>
    </row>
    <row r="706" spans="1:13" s="44" customFormat="1" ht="30" customHeight="1" x14ac:dyDescent="0.25">
      <c r="A706" s="39" t="s">
        <v>1154</v>
      </c>
      <c r="B706" s="40"/>
      <c r="C706" s="39" t="s">
        <v>504</v>
      </c>
      <c r="D706" s="41">
        <v>1</v>
      </c>
      <c r="E706" s="41"/>
      <c r="F706" s="41"/>
      <c r="G706" s="41"/>
      <c r="H706" s="41">
        <f>+D706+E706+-F706</f>
        <v>1</v>
      </c>
      <c r="I706" s="42">
        <v>1192</v>
      </c>
      <c r="J706" s="42">
        <f t="shared" si="25"/>
        <v>1192</v>
      </c>
      <c r="K706" s="42"/>
      <c r="L706" s="42"/>
      <c r="M706" s="43" t="s">
        <v>454</v>
      </c>
    </row>
    <row r="707" spans="1:13" s="44" customFormat="1" ht="30" customHeight="1" x14ac:dyDescent="0.25">
      <c r="A707" s="39" t="s">
        <v>1104</v>
      </c>
      <c r="B707" s="48">
        <v>45414</v>
      </c>
      <c r="C707" s="39" t="s">
        <v>1318</v>
      </c>
      <c r="D707" s="41">
        <v>4</v>
      </c>
      <c r="E707" s="41"/>
      <c r="F707" s="41"/>
      <c r="G707" s="41"/>
      <c r="H707" s="41">
        <f>+D707+E707+-F707</f>
        <v>4</v>
      </c>
      <c r="I707" s="42">
        <v>82.19</v>
      </c>
      <c r="J707" s="42">
        <f t="shared" si="25"/>
        <v>328.76</v>
      </c>
      <c r="K707" s="42"/>
      <c r="L707" s="42"/>
      <c r="M707" s="43" t="s">
        <v>454</v>
      </c>
    </row>
    <row r="708" spans="1:13" s="44" customFormat="1" ht="30" customHeight="1" x14ac:dyDescent="0.25">
      <c r="A708" s="39" t="s">
        <v>1060</v>
      </c>
      <c r="B708" s="49" t="s">
        <v>6</v>
      </c>
      <c r="C708" s="39" t="s">
        <v>432</v>
      </c>
      <c r="D708" s="41">
        <v>4</v>
      </c>
      <c r="E708" s="41"/>
      <c r="F708" s="41">
        <v>1</v>
      </c>
      <c r="G708" s="41"/>
      <c r="H708" s="41">
        <f>+D708+E708+-F708</f>
        <v>3</v>
      </c>
      <c r="I708" s="42">
        <v>71.650000000000006</v>
      </c>
      <c r="J708" s="42">
        <f t="shared" si="25"/>
        <v>214.95000000000002</v>
      </c>
      <c r="K708" s="42"/>
      <c r="L708" s="42"/>
      <c r="M708" s="43" t="s">
        <v>313</v>
      </c>
    </row>
    <row r="709" spans="1:13" s="44" customFormat="1" ht="30" customHeight="1" x14ac:dyDescent="0.25">
      <c r="A709" s="39" t="s">
        <v>1061</v>
      </c>
      <c r="B709" s="49" t="s">
        <v>6</v>
      </c>
      <c r="C709" s="39" t="s">
        <v>433</v>
      </c>
      <c r="D709" s="41">
        <v>1</v>
      </c>
      <c r="E709" s="41"/>
      <c r="F709" s="41">
        <v>1</v>
      </c>
      <c r="G709" s="41"/>
      <c r="H709" s="41">
        <f>+D709+E709+-F709</f>
        <v>0</v>
      </c>
      <c r="I709" s="42">
        <v>71.650000000000006</v>
      </c>
      <c r="J709" s="42">
        <f t="shared" si="25"/>
        <v>0</v>
      </c>
      <c r="K709" s="42"/>
      <c r="L709" s="42"/>
      <c r="M709" s="43" t="s">
        <v>313</v>
      </c>
    </row>
    <row r="710" spans="1:13" s="44" customFormat="1" ht="30" customHeight="1" x14ac:dyDescent="0.25">
      <c r="A710" s="39" t="s">
        <v>1062</v>
      </c>
      <c r="B710" s="49">
        <v>45042</v>
      </c>
      <c r="C710" s="39" t="s">
        <v>434</v>
      </c>
      <c r="D710" s="41">
        <v>1</v>
      </c>
      <c r="E710" s="41"/>
      <c r="F710" s="41">
        <v>1</v>
      </c>
      <c r="G710" s="41"/>
      <c r="H710" s="41">
        <f>+D710+E710+-F710</f>
        <v>0</v>
      </c>
      <c r="I710" s="42">
        <v>35.33</v>
      </c>
      <c r="J710" s="42">
        <f t="shared" si="25"/>
        <v>0</v>
      </c>
      <c r="K710" s="42"/>
      <c r="L710" s="42"/>
      <c r="M710" s="43" t="s">
        <v>313</v>
      </c>
    </row>
    <row r="711" spans="1:13" s="44" customFormat="1" ht="30" customHeight="1" x14ac:dyDescent="0.25">
      <c r="A711" s="39" t="s">
        <v>810</v>
      </c>
      <c r="B711" s="40"/>
      <c r="C711" s="39" t="s">
        <v>210</v>
      </c>
      <c r="D711" s="41">
        <v>50</v>
      </c>
      <c r="E711" s="41"/>
      <c r="F711" s="41"/>
      <c r="G711" s="41"/>
      <c r="H711" s="41">
        <f>+D711+E711+-F711</f>
        <v>50</v>
      </c>
      <c r="I711" s="42"/>
      <c r="J711" s="42">
        <f t="shared" si="25"/>
        <v>0</v>
      </c>
      <c r="K711" s="42"/>
      <c r="L711" s="42"/>
      <c r="M711" s="43" t="s">
        <v>169</v>
      </c>
    </row>
    <row r="712" spans="1:13" s="44" customFormat="1" ht="30" customHeight="1" x14ac:dyDescent="0.25">
      <c r="A712" s="39" t="s">
        <v>1063</v>
      </c>
      <c r="B712" s="49" t="s">
        <v>435</v>
      </c>
      <c r="C712" s="39" t="s">
        <v>436</v>
      </c>
      <c r="D712" s="41">
        <v>458</v>
      </c>
      <c r="E712" s="41"/>
      <c r="F712" s="41"/>
      <c r="G712" s="41"/>
      <c r="H712" s="41">
        <f>+D712+E712+-F712</f>
        <v>458</v>
      </c>
      <c r="I712" s="42">
        <v>2.5</v>
      </c>
      <c r="J712" s="42">
        <f t="shared" si="25"/>
        <v>1145</v>
      </c>
      <c r="K712" s="42"/>
      <c r="L712" s="42"/>
      <c r="M712" s="43" t="s">
        <v>313</v>
      </c>
    </row>
    <row r="713" spans="1:13" s="44" customFormat="1" ht="30" customHeight="1" x14ac:dyDescent="0.25">
      <c r="A713" s="39" t="s">
        <v>1064</v>
      </c>
      <c r="B713" s="49" t="s">
        <v>6</v>
      </c>
      <c r="C713" s="39" t="s">
        <v>437</v>
      </c>
      <c r="D713" s="41">
        <v>386</v>
      </c>
      <c r="E713" s="41"/>
      <c r="F713" s="41"/>
      <c r="G713" s="41"/>
      <c r="H713" s="41">
        <f>+D713+E713+-F713</f>
        <v>386</v>
      </c>
      <c r="I713" s="42">
        <v>2.5</v>
      </c>
      <c r="J713" s="42">
        <f t="shared" si="25"/>
        <v>965</v>
      </c>
      <c r="K713" s="42"/>
      <c r="L713" s="42"/>
      <c r="M713" s="43" t="s">
        <v>313</v>
      </c>
    </row>
    <row r="714" spans="1:13" s="44" customFormat="1" ht="30" customHeight="1" x14ac:dyDescent="0.25">
      <c r="A714" s="39" t="s">
        <v>975</v>
      </c>
      <c r="B714" s="40"/>
      <c r="C714" s="39" t="s">
        <v>361</v>
      </c>
      <c r="D714" s="41">
        <v>196</v>
      </c>
      <c r="E714" s="41"/>
      <c r="F714" s="41">
        <f>10+10+35</f>
        <v>55</v>
      </c>
      <c r="G714" s="41"/>
      <c r="H714" s="41">
        <f>+D714+E714+-F714</f>
        <v>141</v>
      </c>
      <c r="I714" s="42">
        <v>2.5</v>
      </c>
      <c r="J714" s="42">
        <f t="shared" ref="J714:J745" si="26">+H714*I714</f>
        <v>352.5</v>
      </c>
      <c r="K714" s="42"/>
      <c r="L714" s="42"/>
      <c r="M714" s="43" t="s">
        <v>313</v>
      </c>
    </row>
    <row r="715" spans="1:13" s="44" customFormat="1" ht="30" customHeight="1" x14ac:dyDescent="0.25">
      <c r="A715" s="39" t="s">
        <v>976</v>
      </c>
      <c r="B715" s="40"/>
      <c r="C715" s="39" t="s">
        <v>362</v>
      </c>
      <c r="D715" s="41">
        <v>62</v>
      </c>
      <c r="E715" s="41"/>
      <c r="F715" s="41">
        <f>21+10+10</f>
        <v>41</v>
      </c>
      <c r="G715" s="41"/>
      <c r="H715" s="41">
        <f>+D715+E715+-F715</f>
        <v>21</v>
      </c>
      <c r="I715" s="42">
        <v>6.5</v>
      </c>
      <c r="J715" s="42">
        <f t="shared" si="26"/>
        <v>136.5</v>
      </c>
      <c r="K715" s="42"/>
      <c r="L715" s="42"/>
      <c r="M715" s="43" t="s">
        <v>313</v>
      </c>
    </row>
    <row r="716" spans="1:13" s="44" customFormat="1" ht="30" customHeight="1" x14ac:dyDescent="0.25">
      <c r="A716" s="39" t="s">
        <v>1065</v>
      </c>
      <c r="B716" s="59">
        <v>45469</v>
      </c>
      <c r="C716" s="39" t="s">
        <v>438</v>
      </c>
      <c r="D716" s="41">
        <v>384</v>
      </c>
      <c r="E716" s="41"/>
      <c r="F716" s="41"/>
      <c r="G716" s="41"/>
      <c r="H716" s="41">
        <f>+D716+E716+-F716</f>
        <v>384</v>
      </c>
      <c r="I716" s="42">
        <v>6.25</v>
      </c>
      <c r="J716" s="42">
        <f t="shared" si="26"/>
        <v>2400</v>
      </c>
      <c r="K716" s="42"/>
      <c r="L716" s="42"/>
      <c r="M716" s="43" t="s">
        <v>313</v>
      </c>
    </row>
    <row r="717" spans="1:13" s="91" customFormat="1" ht="30" customHeight="1" x14ac:dyDescent="0.25">
      <c r="A717" s="39" t="s">
        <v>673</v>
      </c>
      <c r="B717" s="40"/>
      <c r="C717" s="39" t="s">
        <v>102</v>
      </c>
      <c r="D717" s="41">
        <v>6</v>
      </c>
      <c r="E717" s="41"/>
      <c r="F717" s="41"/>
      <c r="G717" s="41"/>
      <c r="H717" s="41">
        <f>+D717+E717-F717</f>
        <v>6</v>
      </c>
      <c r="I717" s="42">
        <v>85</v>
      </c>
      <c r="J717" s="42">
        <f t="shared" si="26"/>
        <v>510</v>
      </c>
      <c r="K717" s="42"/>
      <c r="L717" s="42"/>
      <c r="M717" s="43" t="s">
        <v>27</v>
      </c>
    </row>
    <row r="718" spans="1:13" s="91" customFormat="1" ht="30" customHeight="1" x14ac:dyDescent="0.25">
      <c r="A718" s="39" t="s">
        <v>811</v>
      </c>
      <c r="B718" s="40"/>
      <c r="C718" s="39" t="s">
        <v>211</v>
      </c>
      <c r="D718" s="41">
        <v>8</v>
      </c>
      <c r="E718" s="41"/>
      <c r="F718" s="41"/>
      <c r="G718" s="41"/>
      <c r="H718" s="41">
        <f>+D718+E718+-F718</f>
        <v>8</v>
      </c>
      <c r="I718" s="42"/>
      <c r="J718" s="42">
        <f t="shared" si="26"/>
        <v>0</v>
      </c>
      <c r="K718" s="42"/>
      <c r="L718" s="42"/>
      <c r="M718" s="43" t="s">
        <v>169</v>
      </c>
    </row>
    <row r="719" spans="1:13" s="91" customFormat="1" ht="30" customHeight="1" x14ac:dyDescent="0.25">
      <c r="A719" s="39" t="s">
        <v>1066</v>
      </c>
      <c r="B719" s="40"/>
      <c r="C719" s="39" t="s">
        <v>439</v>
      </c>
      <c r="D719" s="41">
        <v>5</v>
      </c>
      <c r="E719" s="41"/>
      <c r="F719" s="41">
        <v>1</v>
      </c>
      <c r="G719" s="41"/>
      <c r="H719" s="41">
        <f>+D719+E719+-F719</f>
        <v>4</v>
      </c>
      <c r="I719" s="42">
        <v>125</v>
      </c>
      <c r="J719" s="42">
        <f t="shared" si="26"/>
        <v>500</v>
      </c>
      <c r="K719" s="42"/>
      <c r="L719" s="42"/>
      <c r="M719" s="43" t="s">
        <v>313</v>
      </c>
    </row>
    <row r="720" spans="1:13" s="91" customFormat="1" ht="30" customHeight="1" x14ac:dyDescent="0.25">
      <c r="A720" s="39" t="s">
        <v>906</v>
      </c>
      <c r="B720" s="48">
        <v>45019</v>
      </c>
      <c r="C720" s="39" t="s">
        <v>299</v>
      </c>
      <c r="D720" s="41">
        <v>0</v>
      </c>
      <c r="E720" s="41"/>
      <c r="F720" s="41"/>
      <c r="G720" s="41"/>
      <c r="H720" s="41">
        <f>+D720+E720+-F720</f>
        <v>0</v>
      </c>
      <c r="I720" s="42">
        <v>223.06</v>
      </c>
      <c r="J720" s="42">
        <f t="shared" si="26"/>
        <v>0</v>
      </c>
      <c r="K720" s="42"/>
      <c r="L720" s="42"/>
      <c r="M720" s="43" t="s">
        <v>248</v>
      </c>
    </row>
    <row r="721" spans="1:13" s="91" customFormat="1" ht="30" customHeight="1" x14ac:dyDescent="0.25">
      <c r="A721" s="39" t="s">
        <v>907</v>
      </c>
      <c r="B721" s="48">
        <v>44652</v>
      </c>
      <c r="C721" s="39" t="s">
        <v>300</v>
      </c>
      <c r="D721" s="41">
        <v>2</v>
      </c>
      <c r="E721" s="41"/>
      <c r="F721" s="41">
        <f>1+1</f>
        <v>2</v>
      </c>
      <c r="G721" s="41"/>
      <c r="H721" s="41">
        <f>+D721+E721+-F721</f>
        <v>0</v>
      </c>
      <c r="I721" s="42">
        <v>145</v>
      </c>
      <c r="J721" s="42">
        <f t="shared" si="26"/>
        <v>0</v>
      </c>
      <c r="K721" s="42"/>
      <c r="L721" s="42"/>
      <c r="M721" s="43" t="s">
        <v>248</v>
      </c>
    </row>
    <row r="722" spans="1:13" s="91" customFormat="1" ht="30" customHeight="1" x14ac:dyDescent="0.25">
      <c r="A722" s="39" t="s">
        <v>910</v>
      </c>
      <c r="B722" s="40"/>
      <c r="C722" s="39" t="s">
        <v>1228</v>
      </c>
      <c r="D722" s="41">
        <v>1</v>
      </c>
      <c r="E722" s="41"/>
      <c r="F722" s="41"/>
      <c r="G722" s="41"/>
      <c r="H722" s="41">
        <f>+D722+E722+-F722</f>
        <v>1</v>
      </c>
      <c r="I722" s="42">
        <v>375</v>
      </c>
      <c r="J722" s="42">
        <f t="shared" si="26"/>
        <v>375</v>
      </c>
      <c r="K722" s="42"/>
      <c r="L722" s="42"/>
      <c r="M722" s="43" t="s">
        <v>248</v>
      </c>
    </row>
    <row r="723" spans="1:13" s="91" customFormat="1" ht="30" customHeight="1" x14ac:dyDescent="0.25">
      <c r="A723" s="39" t="s">
        <v>908</v>
      </c>
      <c r="B723" s="40" t="s">
        <v>6</v>
      </c>
      <c r="C723" s="39" t="s">
        <v>301</v>
      </c>
      <c r="D723" s="41">
        <v>32</v>
      </c>
      <c r="E723" s="41"/>
      <c r="F723" s="41">
        <f>1+2+1+1+1+2+1+1+1+1+5+1+2+2+2+3</f>
        <v>27</v>
      </c>
      <c r="G723" s="41"/>
      <c r="H723" s="41">
        <f>+D723+E723+-F723</f>
        <v>5</v>
      </c>
      <c r="I723" s="42">
        <v>150</v>
      </c>
      <c r="J723" s="42">
        <f t="shared" si="26"/>
        <v>750</v>
      </c>
      <c r="K723" s="42"/>
      <c r="L723" s="42"/>
      <c r="M723" s="43" t="s">
        <v>248</v>
      </c>
    </row>
    <row r="724" spans="1:13" s="91" customFormat="1" ht="30" customHeight="1" x14ac:dyDescent="0.25">
      <c r="A724" s="39" t="s">
        <v>909</v>
      </c>
      <c r="B724" s="48">
        <v>44652</v>
      </c>
      <c r="C724" s="39" t="s">
        <v>302</v>
      </c>
      <c r="D724" s="41">
        <v>2</v>
      </c>
      <c r="E724" s="41"/>
      <c r="F724" s="41">
        <f>1+1</f>
        <v>2</v>
      </c>
      <c r="G724" s="41"/>
      <c r="H724" s="41">
        <f>+D724+E724+-F724</f>
        <v>0</v>
      </c>
      <c r="I724" s="42">
        <v>159</v>
      </c>
      <c r="J724" s="42">
        <f t="shared" si="26"/>
        <v>0</v>
      </c>
      <c r="K724" s="42"/>
      <c r="L724" s="42"/>
      <c r="M724" s="43" t="s">
        <v>248</v>
      </c>
    </row>
    <row r="725" spans="1:13" s="91" customFormat="1" ht="30" customHeight="1" x14ac:dyDescent="0.25">
      <c r="A725" s="39" t="s">
        <v>844</v>
      </c>
      <c r="B725" s="48">
        <v>45474</v>
      </c>
      <c r="C725" s="45" t="s">
        <v>242</v>
      </c>
      <c r="D725" s="41">
        <v>21</v>
      </c>
      <c r="E725" s="41"/>
      <c r="F725" s="41">
        <v>4</v>
      </c>
      <c r="G725" s="41"/>
      <c r="H725" s="41">
        <f>+D725+E725+-F725</f>
        <v>17</v>
      </c>
      <c r="I725" s="42">
        <v>649</v>
      </c>
      <c r="J725" s="42">
        <f t="shared" si="26"/>
        <v>11033</v>
      </c>
      <c r="K725" s="42"/>
      <c r="L725" s="42"/>
      <c r="M725" s="43" t="s">
        <v>222</v>
      </c>
    </row>
    <row r="726" spans="1:13" s="91" customFormat="1" ht="30" customHeight="1" x14ac:dyDescent="0.25">
      <c r="A726" s="39" t="s">
        <v>845</v>
      </c>
      <c r="B726" s="48">
        <v>45474</v>
      </c>
      <c r="C726" s="45" t="s">
        <v>243</v>
      </c>
      <c r="D726" s="41">
        <v>26</v>
      </c>
      <c r="E726" s="41"/>
      <c r="F726" s="41"/>
      <c r="G726" s="41"/>
      <c r="H726" s="41">
        <f>+D726+E726+-F726</f>
        <v>26</v>
      </c>
      <c r="I726" s="42">
        <v>778.8</v>
      </c>
      <c r="J726" s="42">
        <f t="shared" si="26"/>
        <v>20248.8</v>
      </c>
      <c r="K726" s="42"/>
      <c r="L726" s="42"/>
      <c r="M726" s="43" t="s">
        <v>222</v>
      </c>
    </row>
    <row r="727" spans="1:13" s="91" customFormat="1" ht="30" customHeight="1" x14ac:dyDescent="0.25">
      <c r="A727" s="39" t="s">
        <v>674</v>
      </c>
      <c r="B727" s="40"/>
      <c r="C727" s="39" t="s">
        <v>103</v>
      </c>
      <c r="D727" s="41">
        <v>8</v>
      </c>
      <c r="E727" s="41"/>
      <c r="F727" s="41"/>
      <c r="G727" s="41"/>
      <c r="H727" s="41">
        <f>+D727+E727-F727</f>
        <v>8</v>
      </c>
      <c r="I727" s="42"/>
      <c r="J727" s="42">
        <f t="shared" si="26"/>
        <v>0</v>
      </c>
      <c r="K727" s="42"/>
      <c r="L727" s="42"/>
      <c r="M727" s="43" t="s">
        <v>27</v>
      </c>
    </row>
    <row r="728" spans="1:13" s="91" customFormat="1" ht="30" customHeight="1" x14ac:dyDescent="0.25">
      <c r="A728" s="39" t="s">
        <v>675</v>
      </c>
      <c r="B728" s="40"/>
      <c r="C728" s="39" t="s">
        <v>104</v>
      </c>
      <c r="D728" s="41">
        <v>10</v>
      </c>
      <c r="E728" s="41"/>
      <c r="F728" s="41"/>
      <c r="G728" s="41"/>
      <c r="H728" s="41">
        <f>+D728+E728-F728</f>
        <v>10</v>
      </c>
      <c r="I728" s="42"/>
      <c r="J728" s="42">
        <f t="shared" si="26"/>
        <v>0</v>
      </c>
      <c r="K728" s="42"/>
      <c r="L728" s="42"/>
      <c r="M728" s="43" t="s">
        <v>27</v>
      </c>
    </row>
    <row r="729" spans="1:13" s="44" customFormat="1" ht="30" customHeight="1" x14ac:dyDescent="0.25">
      <c r="A729" s="39" t="s">
        <v>1155</v>
      </c>
      <c r="B729" s="40" t="s">
        <v>6</v>
      </c>
      <c r="C729" s="39" t="s">
        <v>1314</v>
      </c>
      <c r="D729" s="41">
        <v>5</v>
      </c>
      <c r="E729" s="41"/>
      <c r="F729" s="41">
        <f>2+3</f>
        <v>5</v>
      </c>
      <c r="G729" s="41"/>
      <c r="H729" s="41">
        <f>+D729+E729+-F729</f>
        <v>0</v>
      </c>
      <c r="I729" s="42">
        <v>11</v>
      </c>
      <c r="J729" s="42">
        <f t="shared" si="26"/>
        <v>0</v>
      </c>
      <c r="K729" s="42"/>
      <c r="L729" s="42"/>
      <c r="M729" s="43" t="s">
        <v>454</v>
      </c>
    </row>
    <row r="730" spans="1:13" s="44" customFormat="1" ht="30" customHeight="1" x14ac:dyDescent="0.25">
      <c r="A730" s="39" t="s">
        <v>1157</v>
      </c>
      <c r="B730" s="40"/>
      <c r="C730" s="94" t="s">
        <v>1311</v>
      </c>
      <c r="D730" s="41">
        <v>14</v>
      </c>
      <c r="E730" s="41"/>
      <c r="F730" s="41">
        <v>1</v>
      </c>
      <c r="G730" s="41"/>
      <c r="H730" s="41">
        <f>+D730+E730+-F730</f>
        <v>13</v>
      </c>
      <c r="I730" s="42">
        <v>29.35</v>
      </c>
      <c r="J730" s="42">
        <f t="shared" si="26"/>
        <v>381.55</v>
      </c>
      <c r="K730" s="42"/>
      <c r="L730" s="42"/>
      <c r="M730" s="43" t="s">
        <v>454</v>
      </c>
    </row>
    <row r="731" spans="1:13" s="44" customFormat="1" ht="30" customHeight="1" x14ac:dyDescent="0.25">
      <c r="A731" s="39" t="s">
        <v>1160</v>
      </c>
      <c r="B731" s="40"/>
      <c r="C731" s="39" t="s">
        <v>505</v>
      </c>
      <c r="D731" s="41">
        <v>29</v>
      </c>
      <c r="E731" s="41"/>
      <c r="F731" s="41"/>
      <c r="G731" s="41"/>
      <c r="H731" s="41">
        <f>+D731+E731+-F731</f>
        <v>29</v>
      </c>
      <c r="I731" s="42">
        <v>134</v>
      </c>
      <c r="J731" s="42">
        <f t="shared" si="26"/>
        <v>3886</v>
      </c>
      <c r="K731" s="42"/>
      <c r="L731" s="42"/>
      <c r="M731" s="43" t="s">
        <v>454</v>
      </c>
    </row>
    <row r="732" spans="1:13" s="44" customFormat="1" ht="30" customHeight="1" x14ac:dyDescent="0.25">
      <c r="A732" s="39" t="s">
        <v>1161</v>
      </c>
      <c r="B732" s="70"/>
      <c r="C732" s="67" t="s">
        <v>1735</v>
      </c>
      <c r="D732" s="64">
        <f>20+1</f>
        <v>21</v>
      </c>
      <c r="E732" s="64"/>
      <c r="F732" s="64"/>
      <c r="G732" s="64"/>
      <c r="H732" s="64">
        <f>+D732+E732+-F732</f>
        <v>21</v>
      </c>
      <c r="I732" s="66">
        <v>10.48</v>
      </c>
      <c r="J732" s="66"/>
      <c r="K732" s="66">
        <v>10.48</v>
      </c>
      <c r="L732" s="66">
        <f>+H732*K732</f>
        <v>220.08</v>
      </c>
      <c r="M732" s="67" t="s">
        <v>454</v>
      </c>
    </row>
    <row r="733" spans="1:13" s="44" customFormat="1" ht="30" customHeight="1" x14ac:dyDescent="0.25">
      <c r="A733" s="39" t="s">
        <v>1162</v>
      </c>
      <c r="B733" s="40"/>
      <c r="C733" s="39" t="s">
        <v>506</v>
      </c>
      <c r="D733" s="41">
        <v>1</v>
      </c>
      <c r="E733" s="41"/>
      <c r="F733" s="41"/>
      <c r="G733" s="41"/>
      <c r="H733" s="95">
        <f>+D733+E733+-F733</f>
        <v>1</v>
      </c>
      <c r="I733" s="42">
        <v>375</v>
      </c>
      <c r="J733" s="42">
        <f t="shared" ref="J733:J764" si="27">+H733*I733</f>
        <v>375</v>
      </c>
      <c r="K733" s="42"/>
      <c r="L733" s="42"/>
      <c r="M733" s="43" t="s">
        <v>454</v>
      </c>
    </row>
    <row r="734" spans="1:13" s="44" customFormat="1" ht="30" customHeight="1" x14ac:dyDescent="0.25">
      <c r="A734" s="39" t="s">
        <v>1163</v>
      </c>
      <c r="B734" s="40"/>
      <c r="C734" s="39" t="s">
        <v>507</v>
      </c>
      <c r="D734" s="41">
        <v>1</v>
      </c>
      <c r="E734" s="41"/>
      <c r="F734" s="41">
        <v>1</v>
      </c>
      <c r="G734" s="41"/>
      <c r="H734" s="41">
        <f>+D734+E734+-F734</f>
        <v>0</v>
      </c>
      <c r="I734" s="55">
        <v>120</v>
      </c>
      <c r="J734" s="42">
        <f t="shared" si="27"/>
        <v>0</v>
      </c>
      <c r="K734" s="42"/>
      <c r="L734" s="42"/>
      <c r="M734" s="43" t="s">
        <v>454</v>
      </c>
    </row>
    <row r="735" spans="1:13" s="44" customFormat="1" ht="30" customHeight="1" x14ac:dyDescent="0.25">
      <c r="A735" s="39" t="s">
        <v>1156</v>
      </c>
      <c r="B735" s="40" t="s">
        <v>82</v>
      </c>
      <c r="C735" s="39" t="s">
        <v>1315</v>
      </c>
      <c r="D735" s="41">
        <v>23</v>
      </c>
      <c r="E735" s="41"/>
      <c r="F735" s="41">
        <v>0</v>
      </c>
      <c r="G735" s="41"/>
      <c r="H735" s="41">
        <f>+D735+E735+-F735</f>
        <v>23</v>
      </c>
      <c r="I735" s="42">
        <v>18.86</v>
      </c>
      <c r="J735" s="42">
        <f t="shared" si="27"/>
        <v>433.78</v>
      </c>
      <c r="K735" s="42"/>
      <c r="L735" s="42"/>
      <c r="M735" s="43" t="s">
        <v>454</v>
      </c>
    </row>
    <row r="736" spans="1:13" s="44" customFormat="1" ht="30" customHeight="1" x14ac:dyDescent="0.25">
      <c r="A736" s="39" t="s">
        <v>1158</v>
      </c>
      <c r="B736" s="48">
        <v>45414</v>
      </c>
      <c r="C736" s="39" t="s">
        <v>1312</v>
      </c>
      <c r="D736" s="41">
        <v>10</v>
      </c>
      <c r="E736" s="41"/>
      <c r="F736" s="41">
        <v>9</v>
      </c>
      <c r="G736" s="41"/>
      <c r="H736" s="41">
        <f>+D736+E736+-F736</f>
        <v>1</v>
      </c>
      <c r="I736" s="42">
        <v>55.45</v>
      </c>
      <c r="J736" s="42">
        <f t="shared" si="27"/>
        <v>55.45</v>
      </c>
      <c r="K736" s="42"/>
      <c r="L736" s="42"/>
      <c r="M736" s="43" t="s">
        <v>454</v>
      </c>
    </row>
    <row r="737" spans="1:13" s="44" customFormat="1" ht="30" customHeight="1" x14ac:dyDescent="0.25">
      <c r="A737" s="39" t="s">
        <v>1159</v>
      </c>
      <c r="B737" s="49" t="s">
        <v>6</v>
      </c>
      <c r="C737" s="39" t="s">
        <v>1313</v>
      </c>
      <c r="D737" s="41">
        <v>29</v>
      </c>
      <c r="E737" s="41"/>
      <c r="F737" s="41"/>
      <c r="G737" s="41"/>
      <c r="H737" s="41">
        <f>+D737+E737+-F737</f>
        <v>29</v>
      </c>
      <c r="I737" s="42">
        <v>29.35</v>
      </c>
      <c r="J737" s="42">
        <f t="shared" si="27"/>
        <v>851.15000000000009</v>
      </c>
      <c r="K737" s="42"/>
      <c r="L737" s="42"/>
      <c r="M737" s="43" t="s">
        <v>454</v>
      </c>
    </row>
    <row r="738" spans="1:13" s="44" customFormat="1" ht="30" customHeight="1" x14ac:dyDescent="0.25">
      <c r="A738" s="39" t="s">
        <v>1354</v>
      </c>
      <c r="B738" s="46">
        <v>45623</v>
      </c>
      <c r="C738" s="47" t="s">
        <v>1697</v>
      </c>
      <c r="D738" s="39"/>
      <c r="E738" s="41">
        <v>4</v>
      </c>
      <c r="F738" s="41">
        <v>2</v>
      </c>
      <c r="G738" s="41"/>
      <c r="H738" s="41">
        <f>+D738+E738-F738+G738</f>
        <v>2</v>
      </c>
      <c r="I738" s="42">
        <v>466.7</v>
      </c>
      <c r="J738" s="42">
        <f t="shared" si="27"/>
        <v>933.4</v>
      </c>
      <c r="K738" s="42"/>
      <c r="L738" s="42"/>
      <c r="M738" s="43" t="s">
        <v>454</v>
      </c>
    </row>
    <row r="739" spans="1:13" s="44" customFormat="1" ht="30" customHeight="1" x14ac:dyDescent="0.25">
      <c r="A739" s="39" t="s">
        <v>1067</v>
      </c>
      <c r="B739" s="40" t="s">
        <v>273</v>
      </c>
      <c r="C739" s="39" t="s">
        <v>1621</v>
      </c>
      <c r="D739" s="41">
        <v>40</v>
      </c>
      <c r="E739" s="41"/>
      <c r="F739" s="41">
        <f>7+5+1+3+1+2</f>
        <v>19</v>
      </c>
      <c r="G739" s="41"/>
      <c r="H739" s="41">
        <f>+D739+E739+-F739</f>
        <v>21</v>
      </c>
      <c r="I739" s="42">
        <v>87.32</v>
      </c>
      <c r="J739" s="42">
        <f t="shared" si="27"/>
        <v>1833.7199999999998</v>
      </c>
      <c r="K739" s="42"/>
      <c r="L739" s="42"/>
      <c r="M739" s="43" t="s">
        <v>313</v>
      </c>
    </row>
    <row r="740" spans="1:13" s="44" customFormat="1" ht="30" customHeight="1" x14ac:dyDescent="0.25">
      <c r="A740" s="39" t="s">
        <v>766</v>
      </c>
      <c r="B740" s="40"/>
      <c r="C740" s="39" t="s">
        <v>1229</v>
      </c>
      <c r="D740" s="41">
        <v>200</v>
      </c>
      <c r="E740" s="41"/>
      <c r="F740" s="41">
        <f>100+100</f>
        <v>200</v>
      </c>
      <c r="G740" s="41"/>
      <c r="H740" s="41">
        <f>+D740+E740+-F740</f>
        <v>0</v>
      </c>
      <c r="I740" s="42">
        <v>0.83</v>
      </c>
      <c r="J740" s="42">
        <f t="shared" si="27"/>
        <v>0</v>
      </c>
      <c r="K740" s="42"/>
      <c r="L740" s="42"/>
      <c r="M740" s="43" t="s">
        <v>169</v>
      </c>
    </row>
    <row r="741" spans="1:13" s="44" customFormat="1" ht="30" customHeight="1" x14ac:dyDescent="0.25">
      <c r="A741" s="39" t="s">
        <v>1068</v>
      </c>
      <c r="B741" s="40"/>
      <c r="C741" s="39" t="s">
        <v>440</v>
      </c>
      <c r="D741" s="41">
        <v>71</v>
      </c>
      <c r="E741" s="41"/>
      <c r="F741" s="41">
        <v>4</v>
      </c>
      <c r="G741" s="41"/>
      <c r="H741" s="41">
        <f>+D741+E741+-F741</f>
        <v>67</v>
      </c>
      <c r="I741" s="42"/>
      <c r="J741" s="42">
        <f t="shared" si="27"/>
        <v>0</v>
      </c>
      <c r="K741" s="42"/>
      <c r="L741" s="42"/>
      <c r="M741" s="43" t="s">
        <v>313</v>
      </c>
    </row>
    <row r="742" spans="1:13" s="44" customFormat="1" ht="30" customHeight="1" x14ac:dyDescent="0.25">
      <c r="A742" s="39" t="s">
        <v>576</v>
      </c>
      <c r="B742" s="48"/>
      <c r="C742" s="45" t="s">
        <v>19</v>
      </c>
      <c r="D742" s="41">
        <v>46</v>
      </c>
      <c r="E742" s="41"/>
      <c r="F742" s="41"/>
      <c r="G742" s="41"/>
      <c r="H742" s="41">
        <f>+D742+E742-F742</f>
        <v>46</v>
      </c>
      <c r="I742" s="42">
        <v>5</v>
      </c>
      <c r="J742" s="42">
        <f t="shared" si="27"/>
        <v>230</v>
      </c>
      <c r="K742" s="42"/>
      <c r="L742" s="42"/>
      <c r="M742" s="43" t="s">
        <v>8</v>
      </c>
    </row>
    <row r="743" spans="1:13" s="44" customFormat="1" ht="30" customHeight="1" x14ac:dyDescent="0.25">
      <c r="A743" s="39" t="s">
        <v>1164</v>
      </c>
      <c r="B743" s="48">
        <v>45414</v>
      </c>
      <c r="C743" s="39" t="s">
        <v>508</v>
      </c>
      <c r="D743" s="41">
        <v>6</v>
      </c>
      <c r="E743" s="41"/>
      <c r="F743" s="41"/>
      <c r="G743" s="41"/>
      <c r="H743" s="41">
        <f>+D743+E743+-F743</f>
        <v>6</v>
      </c>
      <c r="I743" s="42">
        <v>514.15</v>
      </c>
      <c r="J743" s="42">
        <f t="shared" si="27"/>
        <v>3084.8999999999996</v>
      </c>
      <c r="K743" s="42"/>
      <c r="L743" s="42"/>
      <c r="M743" s="43" t="s">
        <v>454</v>
      </c>
    </row>
    <row r="744" spans="1:13" s="44" customFormat="1" ht="30" customHeight="1" x14ac:dyDescent="0.25">
      <c r="A744" s="39" t="s">
        <v>1165</v>
      </c>
      <c r="B744" s="48">
        <v>45414</v>
      </c>
      <c r="C744" s="39" t="s">
        <v>509</v>
      </c>
      <c r="D744" s="41">
        <v>5</v>
      </c>
      <c r="E744" s="41"/>
      <c r="F744" s="41"/>
      <c r="G744" s="41"/>
      <c r="H744" s="41">
        <f>+D744+E744+-F744</f>
        <v>5</v>
      </c>
      <c r="I744" s="42">
        <v>391.09</v>
      </c>
      <c r="J744" s="42">
        <f t="shared" si="27"/>
        <v>1955.4499999999998</v>
      </c>
      <c r="K744" s="42"/>
      <c r="L744" s="42"/>
      <c r="M744" s="43" t="s">
        <v>454</v>
      </c>
    </row>
    <row r="745" spans="1:13" s="44" customFormat="1" ht="30" customHeight="1" x14ac:dyDescent="0.25">
      <c r="A745" s="39" t="s">
        <v>1166</v>
      </c>
      <c r="B745" s="48">
        <v>45414</v>
      </c>
      <c r="C745" s="39" t="s">
        <v>510</v>
      </c>
      <c r="D745" s="41">
        <v>9</v>
      </c>
      <c r="E745" s="41"/>
      <c r="F745" s="41"/>
      <c r="G745" s="41"/>
      <c r="H745" s="41">
        <f>+D745+E745+-F745</f>
        <v>9</v>
      </c>
      <c r="I745" s="42">
        <v>514.15</v>
      </c>
      <c r="J745" s="42">
        <f t="shared" si="27"/>
        <v>4627.3499999999995</v>
      </c>
      <c r="K745" s="42"/>
      <c r="L745" s="42"/>
      <c r="M745" s="43" t="s">
        <v>454</v>
      </c>
    </row>
    <row r="746" spans="1:13" s="44" customFormat="1" ht="38.25" customHeight="1" x14ac:dyDescent="0.25">
      <c r="A746" s="39" t="s">
        <v>1210</v>
      </c>
      <c r="B746" s="40"/>
      <c r="C746" s="96" t="s">
        <v>553</v>
      </c>
      <c r="D746" s="41">
        <v>33</v>
      </c>
      <c r="E746" s="41"/>
      <c r="F746" s="41"/>
      <c r="G746" s="41"/>
      <c r="H746" s="41">
        <f>+D746+E746+-F746</f>
        <v>33</v>
      </c>
      <c r="I746" s="42">
        <v>63.18</v>
      </c>
      <c r="J746" s="42">
        <f t="shared" si="27"/>
        <v>2084.94</v>
      </c>
      <c r="K746" s="42"/>
      <c r="L746" s="42"/>
      <c r="M746" s="43" t="s">
        <v>535</v>
      </c>
    </row>
    <row r="747" spans="1:13" s="44" customFormat="1" ht="38.25" customHeight="1" x14ac:dyDescent="0.25">
      <c r="A747" s="39" t="s">
        <v>676</v>
      </c>
      <c r="B747" s="40"/>
      <c r="C747" s="39" t="s">
        <v>105</v>
      </c>
      <c r="D747" s="41">
        <v>34</v>
      </c>
      <c r="E747" s="41"/>
      <c r="F747" s="41">
        <f>2+1</f>
        <v>3</v>
      </c>
      <c r="G747" s="41"/>
      <c r="H747" s="41">
        <f>+D747+E747-F747</f>
        <v>31</v>
      </c>
      <c r="I747" s="42">
        <v>75</v>
      </c>
      <c r="J747" s="42">
        <f t="shared" si="27"/>
        <v>2325</v>
      </c>
      <c r="K747" s="42"/>
      <c r="L747" s="42"/>
      <c r="M747" s="43" t="s">
        <v>27</v>
      </c>
    </row>
    <row r="748" spans="1:13" s="44" customFormat="1" ht="38.25" customHeight="1" x14ac:dyDescent="0.25">
      <c r="A748" s="39" t="s">
        <v>677</v>
      </c>
      <c r="B748" s="40"/>
      <c r="C748" s="39" t="s">
        <v>106</v>
      </c>
      <c r="D748" s="41">
        <v>1</v>
      </c>
      <c r="E748" s="41"/>
      <c r="F748" s="41">
        <v>1</v>
      </c>
      <c r="G748" s="41"/>
      <c r="H748" s="41">
        <f>+D748+E748-F748</f>
        <v>0</v>
      </c>
      <c r="I748" s="42">
        <v>75</v>
      </c>
      <c r="J748" s="42">
        <f t="shared" si="27"/>
        <v>0</v>
      </c>
      <c r="K748" s="42"/>
      <c r="L748" s="42"/>
      <c r="M748" s="43" t="s">
        <v>27</v>
      </c>
    </row>
    <row r="749" spans="1:13" s="44" customFormat="1" ht="38.25" customHeight="1" x14ac:dyDescent="0.25">
      <c r="A749" s="39" t="s">
        <v>678</v>
      </c>
      <c r="B749" s="40"/>
      <c r="C749" s="45" t="s">
        <v>1633</v>
      </c>
      <c r="D749" s="41">
        <f>5-1</f>
        <v>4</v>
      </c>
      <c r="E749" s="41"/>
      <c r="F749" s="41">
        <f>1+1+2</f>
        <v>4</v>
      </c>
      <c r="G749" s="41"/>
      <c r="H749" s="41">
        <f>+D749+E749-F749</f>
        <v>0</v>
      </c>
      <c r="I749" s="42">
        <v>335</v>
      </c>
      <c r="J749" s="42">
        <f t="shared" si="27"/>
        <v>0</v>
      </c>
      <c r="K749" s="42"/>
      <c r="L749" s="42"/>
      <c r="M749" s="43" t="s">
        <v>27</v>
      </c>
    </row>
    <row r="750" spans="1:13" s="44" customFormat="1" ht="38.25" customHeight="1" x14ac:dyDescent="0.25">
      <c r="A750" s="39" t="s">
        <v>1069</v>
      </c>
      <c r="B750" s="40"/>
      <c r="C750" s="39" t="s">
        <v>441</v>
      </c>
      <c r="D750" s="41">
        <f>16+1</f>
        <v>17</v>
      </c>
      <c r="E750" s="41"/>
      <c r="F750" s="41">
        <f>1+1</f>
        <v>2</v>
      </c>
      <c r="G750" s="41"/>
      <c r="H750" s="41">
        <f>+D750+E750+-F750</f>
        <v>15</v>
      </c>
      <c r="I750" s="42">
        <v>415</v>
      </c>
      <c r="J750" s="42">
        <f t="shared" si="27"/>
        <v>6225</v>
      </c>
      <c r="K750" s="42"/>
      <c r="L750" s="42"/>
      <c r="M750" s="43" t="s">
        <v>313</v>
      </c>
    </row>
    <row r="751" spans="1:13" s="44" customFormat="1" ht="38.25" customHeight="1" x14ac:dyDescent="0.25">
      <c r="A751" s="39" t="s">
        <v>1070</v>
      </c>
      <c r="B751" s="40"/>
      <c r="C751" s="39" t="s">
        <v>1650</v>
      </c>
      <c r="D751" s="41">
        <v>37</v>
      </c>
      <c r="E751" s="41"/>
      <c r="F751" s="41">
        <f>1+2+2+2+3+1+2+4+1+3</f>
        <v>21</v>
      </c>
      <c r="G751" s="41"/>
      <c r="H751" s="41">
        <f>+D751+E751+-F751</f>
        <v>16</v>
      </c>
      <c r="I751" s="42">
        <v>32</v>
      </c>
      <c r="J751" s="42">
        <f t="shared" si="27"/>
        <v>512</v>
      </c>
      <c r="K751" s="42"/>
      <c r="L751" s="42"/>
      <c r="M751" s="43" t="s">
        <v>313</v>
      </c>
    </row>
    <row r="752" spans="1:13" s="44" customFormat="1" ht="38.25" customHeight="1" x14ac:dyDescent="0.25">
      <c r="A752" s="39" t="s">
        <v>1167</v>
      </c>
      <c r="B752" s="40"/>
      <c r="C752" s="39" t="s">
        <v>511</v>
      </c>
      <c r="D752" s="41">
        <v>3</v>
      </c>
      <c r="E752" s="41"/>
      <c r="F752" s="41"/>
      <c r="G752" s="41"/>
      <c r="H752" s="41">
        <f>+D752+E752+-F752</f>
        <v>3</v>
      </c>
      <c r="I752" s="42">
        <v>99.27</v>
      </c>
      <c r="J752" s="42">
        <f t="shared" si="27"/>
        <v>297.81</v>
      </c>
      <c r="K752" s="42"/>
      <c r="L752" s="42"/>
      <c r="M752" s="43" t="s">
        <v>454</v>
      </c>
    </row>
    <row r="753" spans="1:13" s="44" customFormat="1" ht="38.25" customHeight="1" x14ac:dyDescent="0.25">
      <c r="A753" s="39" t="s">
        <v>1169</v>
      </c>
      <c r="B753" s="48">
        <v>45414</v>
      </c>
      <c r="C753" s="39" t="s">
        <v>512</v>
      </c>
      <c r="D753" s="41">
        <v>30</v>
      </c>
      <c r="E753" s="41"/>
      <c r="F753" s="41">
        <v>1</v>
      </c>
      <c r="G753" s="41"/>
      <c r="H753" s="41">
        <f>+D753+E753+-F753</f>
        <v>29</v>
      </c>
      <c r="I753" s="42">
        <v>20.45</v>
      </c>
      <c r="J753" s="42">
        <f t="shared" si="27"/>
        <v>593.04999999999995</v>
      </c>
      <c r="K753" s="42"/>
      <c r="L753" s="42"/>
      <c r="M753" s="43" t="s">
        <v>454</v>
      </c>
    </row>
    <row r="754" spans="1:13" s="44" customFormat="1" ht="38.25" customHeight="1" x14ac:dyDescent="0.25">
      <c r="A754" s="39" t="s">
        <v>1170</v>
      </c>
      <c r="B754" s="48">
        <v>45414</v>
      </c>
      <c r="C754" s="39" t="s">
        <v>513</v>
      </c>
      <c r="D754" s="41">
        <v>15</v>
      </c>
      <c r="E754" s="41"/>
      <c r="F754" s="41">
        <v>2</v>
      </c>
      <c r="G754" s="41"/>
      <c r="H754" s="41">
        <f>+D754+E754+-F754</f>
        <v>13</v>
      </c>
      <c r="I754" s="42">
        <v>17.7</v>
      </c>
      <c r="J754" s="42">
        <f t="shared" si="27"/>
        <v>230.1</v>
      </c>
      <c r="K754" s="42"/>
      <c r="L754" s="42"/>
      <c r="M754" s="43" t="s">
        <v>454</v>
      </c>
    </row>
    <row r="755" spans="1:13" s="44" customFormat="1" ht="38.25" customHeight="1" x14ac:dyDescent="0.25">
      <c r="A755" s="39" t="s">
        <v>1171</v>
      </c>
      <c r="B755" s="48">
        <v>45414</v>
      </c>
      <c r="C755" s="39" t="s">
        <v>514</v>
      </c>
      <c r="D755" s="41">
        <v>20</v>
      </c>
      <c r="E755" s="41"/>
      <c r="F755" s="41"/>
      <c r="G755" s="41"/>
      <c r="H755" s="41">
        <f>+D755+E755+-F755</f>
        <v>20</v>
      </c>
      <c r="I755" s="42">
        <v>17.7</v>
      </c>
      <c r="J755" s="42">
        <f t="shared" si="27"/>
        <v>354</v>
      </c>
      <c r="K755" s="42"/>
      <c r="L755" s="42"/>
      <c r="M755" s="43" t="s">
        <v>454</v>
      </c>
    </row>
    <row r="756" spans="1:13" s="44" customFormat="1" ht="38.25" customHeight="1" x14ac:dyDescent="0.25">
      <c r="A756" s="39" t="s">
        <v>1168</v>
      </c>
      <c r="B756" s="48">
        <v>45414</v>
      </c>
      <c r="C756" s="39" t="s">
        <v>1696</v>
      </c>
      <c r="D756" s="41">
        <v>28</v>
      </c>
      <c r="E756" s="41"/>
      <c r="F756" s="41"/>
      <c r="G756" s="41"/>
      <c r="H756" s="41">
        <f>+D756+E756+-F756</f>
        <v>28</v>
      </c>
      <c r="I756" s="42">
        <v>17.7</v>
      </c>
      <c r="J756" s="42">
        <f t="shared" si="27"/>
        <v>495.59999999999997</v>
      </c>
      <c r="K756" s="42"/>
      <c r="L756" s="42"/>
      <c r="M756" s="43" t="s">
        <v>454</v>
      </c>
    </row>
    <row r="757" spans="1:13" s="44" customFormat="1" ht="38.25" customHeight="1" x14ac:dyDescent="0.25">
      <c r="A757" s="39" t="s">
        <v>1172</v>
      </c>
      <c r="B757" s="48">
        <v>45414</v>
      </c>
      <c r="C757" s="39" t="s">
        <v>515</v>
      </c>
      <c r="D757" s="41">
        <v>16</v>
      </c>
      <c r="E757" s="41"/>
      <c r="F757" s="41">
        <v>1</v>
      </c>
      <c r="G757" s="41"/>
      <c r="H757" s="41">
        <f>+D757+E757+-F757</f>
        <v>15</v>
      </c>
      <c r="I757" s="42">
        <v>17.7</v>
      </c>
      <c r="J757" s="42">
        <f t="shared" si="27"/>
        <v>265.5</v>
      </c>
      <c r="K757" s="42"/>
      <c r="L757" s="42"/>
      <c r="M757" s="43" t="s">
        <v>454</v>
      </c>
    </row>
    <row r="758" spans="1:13" s="44" customFormat="1" ht="38.25" customHeight="1" x14ac:dyDescent="0.25">
      <c r="A758" s="39" t="s">
        <v>812</v>
      </c>
      <c r="B758" s="40"/>
      <c r="C758" s="39" t="s">
        <v>212</v>
      </c>
      <c r="D758" s="41">
        <f>107+5-15</f>
        <v>97</v>
      </c>
      <c r="E758" s="41"/>
      <c r="F758" s="41">
        <f>38+19+2+14</f>
        <v>73</v>
      </c>
      <c r="G758" s="41"/>
      <c r="H758" s="41">
        <f>+D758+E758+-F758</f>
        <v>24</v>
      </c>
      <c r="I758" s="42">
        <v>1.28</v>
      </c>
      <c r="J758" s="42">
        <f t="shared" si="27"/>
        <v>30.72</v>
      </c>
      <c r="K758" s="42"/>
      <c r="L758" s="42"/>
      <c r="M758" s="43" t="s">
        <v>169</v>
      </c>
    </row>
    <row r="759" spans="1:13" s="44" customFormat="1" ht="38.25" customHeight="1" x14ac:dyDescent="0.25">
      <c r="A759" s="39" t="s">
        <v>813</v>
      </c>
      <c r="B759" s="40"/>
      <c r="C759" s="39" t="s">
        <v>213</v>
      </c>
      <c r="D759" s="41">
        <v>178</v>
      </c>
      <c r="E759" s="41"/>
      <c r="F759" s="41">
        <f>10+18</f>
        <v>28</v>
      </c>
      <c r="G759" s="41"/>
      <c r="H759" s="41">
        <f>+D759+E759+-F759</f>
        <v>150</v>
      </c>
      <c r="I759" s="42">
        <v>2.17</v>
      </c>
      <c r="J759" s="42">
        <f t="shared" si="27"/>
        <v>325.5</v>
      </c>
      <c r="K759" s="42"/>
      <c r="L759" s="42"/>
      <c r="M759" s="43" t="s">
        <v>169</v>
      </c>
    </row>
    <row r="760" spans="1:13" s="44" customFormat="1" ht="38.25" customHeight="1" x14ac:dyDescent="0.25">
      <c r="A760" s="39" t="s">
        <v>846</v>
      </c>
      <c r="B760" s="40"/>
      <c r="C760" s="45" t="s">
        <v>244</v>
      </c>
      <c r="D760" s="41">
        <v>10</v>
      </c>
      <c r="E760" s="41"/>
      <c r="F760" s="41"/>
      <c r="G760" s="41"/>
      <c r="H760" s="41">
        <f>+D760+E760+-F760</f>
        <v>10</v>
      </c>
      <c r="I760" s="42">
        <v>1600</v>
      </c>
      <c r="J760" s="42">
        <f t="shared" si="27"/>
        <v>16000</v>
      </c>
      <c r="K760" s="42"/>
      <c r="L760" s="42"/>
      <c r="M760" s="43" t="s">
        <v>222</v>
      </c>
    </row>
    <row r="761" spans="1:13" s="44" customFormat="1" ht="38.25" customHeight="1" x14ac:dyDescent="0.25">
      <c r="A761" s="39" t="s">
        <v>587</v>
      </c>
      <c r="B761" s="48" t="s">
        <v>1553</v>
      </c>
      <c r="C761" s="39" t="s">
        <v>1717</v>
      </c>
      <c r="D761" s="57">
        <f>4-1-1-1</f>
        <v>1</v>
      </c>
      <c r="E761" s="57">
        <v>25</v>
      </c>
      <c r="F761" s="57">
        <f>1+4+1+2+2+1+1+2+2+1+2</f>
        <v>19</v>
      </c>
      <c r="G761" s="57"/>
      <c r="H761" s="41">
        <f>+D761+E761-F761</f>
        <v>7</v>
      </c>
      <c r="I761" s="58">
        <v>306.8</v>
      </c>
      <c r="J761" s="42">
        <f t="shared" si="27"/>
        <v>2147.6</v>
      </c>
      <c r="K761" s="42"/>
      <c r="L761" s="42"/>
      <c r="M761" s="43" t="s">
        <v>20</v>
      </c>
    </row>
    <row r="762" spans="1:13" s="44" customFormat="1" ht="38.25" customHeight="1" x14ac:dyDescent="0.25">
      <c r="A762" s="39" t="s">
        <v>586</v>
      </c>
      <c r="B762" s="48" t="s">
        <v>1553</v>
      </c>
      <c r="C762" s="39" t="s">
        <v>1556</v>
      </c>
      <c r="D762" s="57">
        <f>10-1-1-1-1-1-1</f>
        <v>4</v>
      </c>
      <c r="E762" s="57">
        <v>20</v>
      </c>
      <c r="F762" s="57">
        <f>1+1+1+1+1+1+1+1+1+2+1+1+1+1+1+2+1+1+1+1+1</f>
        <v>23</v>
      </c>
      <c r="G762" s="57"/>
      <c r="H762" s="41">
        <f>+D762+E762-F762</f>
        <v>1</v>
      </c>
      <c r="I762" s="58">
        <v>769</v>
      </c>
      <c r="J762" s="42">
        <f t="shared" si="27"/>
        <v>769</v>
      </c>
      <c r="K762" s="42"/>
      <c r="L762" s="42"/>
      <c r="M762" s="43" t="s">
        <v>20</v>
      </c>
    </row>
    <row r="763" spans="1:13" s="44" customFormat="1" ht="38.25" customHeight="1" x14ac:dyDescent="0.25">
      <c r="A763" s="39" t="s">
        <v>1184</v>
      </c>
      <c r="B763" s="48">
        <v>45414</v>
      </c>
      <c r="C763" s="39" t="s">
        <v>526</v>
      </c>
      <c r="D763" s="41">
        <f>44-2-1</f>
        <v>41</v>
      </c>
      <c r="E763" s="41"/>
      <c r="F763" s="41">
        <f>5+1+1</f>
        <v>7</v>
      </c>
      <c r="G763" s="41"/>
      <c r="H763" s="41">
        <f>+D763+E763+-F763</f>
        <v>34</v>
      </c>
      <c r="I763" s="42">
        <v>35.4</v>
      </c>
      <c r="J763" s="42">
        <f t="shared" si="27"/>
        <v>1203.5999999999999</v>
      </c>
      <c r="K763" s="42"/>
      <c r="L763" s="42"/>
      <c r="M763" s="43" t="s">
        <v>454</v>
      </c>
    </row>
    <row r="764" spans="1:13" s="44" customFormat="1" ht="38.25" customHeight="1" x14ac:dyDescent="0.25">
      <c r="A764" s="39" t="s">
        <v>679</v>
      </c>
      <c r="B764" s="48">
        <v>45499</v>
      </c>
      <c r="C764" s="45" t="s">
        <v>1544</v>
      </c>
      <c r="D764" s="41">
        <v>21</v>
      </c>
      <c r="E764" s="41"/>
      <c r="F764" s="41">
        <f>1+1+1+1+1+8+1+1</f>
        <v>15</v>
      </c>
      <c r="G764" s="41"/>
      <c r="H764" s="41">
        <f>+D764+E764-F764</f>
        <v>6</v>
      </c>
      <c r="I764" s="42">
        <v>460.2</v>
      </c>
      <c r="J764" s="42">
        <f t="shared" si="27"/>
        <v>2761.2</v>
      </c>
      <c r="K764" s="42"/>
      <c r="L764" s="42"/>
      <c r="M764" s="43" t="s">
        <v>27</v>
      </c>
    </row>
    <row r="765" spans="1:13" s="44" customFormat="1" ht="38.25" customHeight="1" x14ac:dyDescent="0.25">
      <c r="A765" s="39" t="s">
        <v>1412</v>
      </c>
      <c r="B765" s="46">
        <v>45631</v>
      </c>
      <c r="C765" s="47" t="s">
        <v>1435</v>
      </c>
      <c r="D765" s="56">
        <v>4</v>
      </c>
      <c r="E765" s="41"/>
      <c r="F765" s="41">
        <v>4</v>
      </c>
      <c r="G765" s="41"/>
      <c r="H765" s="41">
        <f>+D765+E765-F765+G765</f>
        <v>0</v>
      </c>
      <c r="I765" s="55">
        <v>348.1</v>
      </c>
      <c r="J765" s="42">
        <f t="shared" ref="J765:J796" si="28">+H765*I765</f>
        <v>0</v>
      </c>
      <c r="K765" s="42"/>
      <c r="L765" s="42"/>
      <c r="M765" s="43" t="s">
        <v>1605</v>
      </c>
    </row>
    <row r="766" spans="1:13" s="44" customFormat="1" ht="38.25" customHeight="1" x14ac:dyDescent="0.25">
      <c r="A766" s="39" t="s">
        <v>690</v>
      </c>
      <c r="B766" s="40"/>
      <c r="C766" s="45" t="s">
        <v>114</v>
      </c>
      <c r="D766" s="41">
        <v>3</v>
      </c>
      <c r="E766" s="41"/>
      <c r="F766" s="41">
        <v>1</v>
      </c>
      <c r="G766" s="41"/>
      <c r="H766" s="41">
        <f>+D766+E766-F766</f>
        <v>2</v>
      </c>
      <c r="I766" s="42"/>
      <c r="J766" s="42">
        <f t="shared" si="28"/>
        <v>0</v>
      </c>
      <c r="K766" s="42"/>
      <c r="L766" s="42"/>
      <c r="M766" s="43" t="s">
        <v>27</v>
      </c>
    </row>
    <row r="767" spans="1:13" s="44" customFormat="1" ht="38.25" customHeight="1" x14ac:dyDescent="0.25">
      <c r="A767" s="39" t="s">
        <v>588</v>
      </c>
      <c r="B767" s="48">
        <v>45412</v>
      </c>
      <c r="C767" s="39" t="s">
        <v>25</v>
      </c>
      <c r="D767" s="57">
        <v>8</v>
      </c>
      <c r="E767" s="57"/>
      <c r="F767" s="57">
        <v>1</v>
      </c>
      <c r="G767" s="57"/>
      <c r="H767" s="41">
        <f>+D767+E767-F767</f>
        <v>7</v>
      </c>
      <c r="I767" s="58">
        <v>44</v>
      </c>
      <c r="J767" s="42">
        <f t="shared" si="28"/>
        <v>308</v>
      </c>
      <c r="K767" s="42"/>
      <c r="L767" s="42"/>
      <c r="M767" s="43" t="s">
        <v>20</v>
      </c>
    </row>
    <row r="768" spans="1:13" s="44" customFormat="1" ht="38.25" customHeight="1" x14ac:dyDescent="0.25">
      <c r="A768" s="39" t="s">
        <v>591</v>
      </c>
      <c r="B768" s="48">
        <v>45412</v>
      </c>
      <c r="C768" s="39" t="s">
        <v>1268</v>
      </c>
      <c r="D768" s="57">
        <v>9</v>
      </c>
      <c r="E768" s="57"/>
      <c r="F768" s="57">
        <v>1</v>
      </c>
      <c r="G768" s="57"/>
      <c r="H768" s="41">
        <f>+D768+E768-F768</f>
        <v>8</v>
      </c>
      <c r="I768" s="58">
        <v>44</v>
      </c>
      <c r="J768" s="42">
        <f t="shared" si="28"/>
        <v>352</v>
      </c>
      <c r="K768" s="42"/>
      <c r="L768" s="42"/>
      <c r="M768" s="43" t="s">
        <v>20</v>
      </c>
    </row>
    <row r="769" spans="1:13" s="44" customFormat="1" ht="38.25" customHeight="1" x14ac:dyDescent="0.25">
      <c r="A769" s="39" t="s">
        <v>1183</v>
      </c>
      <c r="B769" s="40"/>
      <c r="C769" s="39" t="s">
        <v>525</v>
      </c>
      <c r="D769" s="41">
        <v>20</v>
      </c>
      <c r="E769" s="41"/>
      <c r="F769" s="41"/>
      <c r="G769" s="41"/>
      <c r="H769" s="41">
        <f>+D769+E769+-F769</f>
        <v>20</v>
      </c>
      <c r="I769" s="42">
        <v>127</v>
      </c>
      <c r="J769" s="42">
        <f t="shared" si="28"/>
        <v>2540</v>
      </c>
      <c r="K769" s="42"/>
      <c r="L769" s="42"/>
      <c r="M769" s="43" t="s">
        <v>454</v>
      </c>
    </row>
    <row r="770" spans="1:13" s="44" customFormat="1" ht="38.25" customHeight="1" x14ac:dyDescent="0.25">
      <c r="A770" s="39" t="s">
        <v>680</v>
      </c>
      <c r="B770" s="40"/>
      <c r="C770" s="39" t="s">
        <v>107</v>
      </c>
      <c r="D770" s="41">
        <v>13</v>
      </c>
      <c r="E770" s="41"/>
      <c r="F770" s="41">
        <f>10+3</f>
        <v>13</v>
      </c>
      <c r="G770" s="41"/>
      <c r="H770" s="41">
        <f>+D770+E770-F770</f>
        <v>0</v>
      </c>
      <c r="I770" s="42">
        <v>234</v>
      </c>
      <c r="J770" s="42">
        <f t="shared" si="28"/>
        <v>0</v>
      </c>
      <c r="K770" s="42"/>
      <c r="L770" s="42"/>
      <c r="M770" s="43" t="s">
        <v>27</v>
      </c>
    </row>
    <row r="771" spans="1:13" s="44" customFormat="1" ht="38.25" customHeight="1" x14ac:dyDescent="0.25">
      <c r="A771" s="39" t="s">
        <v>732</v>
      </c>
      <c r="B771" s="48">
        <v>45512</v>
      </c>
      <c r="C771" s="39" t="s">
        <v>1223</v>
      </c>
      <c r="D771" s="41">
        <f>18-1</f>
        <v>17</v>
      </c>
      <c r="E771" s="41"/>
      <c r="F771" s="41">
        <f>1+1+1+1+2</f>
        <v>6</v>
      </c>
      <c r="G771" s="41"/>
      <c r="H771" s="41">
        <f>+D771+E771-F771</f>
        <v>11</v>
      </c>
      <c r="I771" s="42">
        <v>489.77</v>
      </c>
      <c r="J771" s="42">
        <f t="shared" si="28"/>
        <v>5387.4699999999993</v>
      </c>
      <c r="K771" s="42"/>
      <c r="L771" s="42"/>
      <c r="M771" s="43" t="s">
        <v>1238</v>
      </c>
    </row>
    <row r="772" spans="1:13" s="44" customFormat="1" ht="38.25" customHeight="1" x14ac:dyDescent="0.25">
      <c r="A772" s="39" t="s">
        <v>1203</v>
      </c>
      <c r="B772" s="40" t="s">
        <v>6</v>
      </c>
      <c r="C772" s="39" t="s">
        <v>547</v>
      </c>
      <c r="D772" s="41">
        <v>1</v>
      </c>
      <c r="E772" s="41"/>
      <c r="F772" s="41"/>
      <c r="G772" s="41"/>
      <c r="H772" s="41">
        <f>+D772+E772+-F772</f>
        <v>1</v>
      </c>
      <c r="I772" s="42">
        <v>8720</v>
      </c>
      <c r="J772" s="42">
        <f t="shared" si="28"/>
        <v>8720</v>
      </c>
      <c r="K772" s="42"/>
      <c r="L772" s="42"/>
      <c r="M772" s="43" t="s">
        <v>535</v>
      </c>
    </row>
    <row r="773" spans="1:13" s="44" customFormat="1" ht="38.25" customHeight="1" x14ac:dyDescent="0.25">
      <c r="A773" s="39" t="s">
        <v>1199</v>
      </c>
      <c r="B773" s="40" t="s">
        <v>6</v>
      </c>
      <c r="C773" s="39" t="s">
        <v>543</v>
      </c>
      <c r="D773" s="41">
        <v>2</v>
      </c>
      <c r="E773" s="41"/>
      <c r="F773" s="41"/>
      <c r="G773" s="41"/>
      <c r="H773" s="41">
        <f>+D773+E773+-F773</f>
        <v>2</v>
      </c>
      <c r="I773" s="42">
        <v>8720</v>
      </c>
      <c r="J773" s="42">
        <f t="shared" si="28"/>
        <v>17440</v>
      </c>
      <c r="K773" s="42"/>
      <c r="L773" s="42"/>
      <c r="M773" s="43" t="s">
        <v>535</v>
      </c>
    </row>
    <row r="774" spans="1:13" s="44" customFormat="1" ht="38.25" customHeight="1" x14ac:dyDescent="0.25">
      <c r="A774" s="39" t="s">
        <v>1201</v>
      </c>
      <c r="B774" s="40" t="s">
        <v>6</v>
      </c>
      <c r="C774" s="39" t="s">
        <v>545</v>
      </c>
      <c r="D774" s="41">
        <v>7</v>
      </c>
      <c r="E774" s="41"/>
      <c r="F774" s="41"/>
      <c r="G774" s="41"/>
      <c r="H774" s="41">
        <f>+D774+E774+-F774</f>
        <v>7</v>
      </c>
      <c r="I774" s="42">
        <v>8720</v>
      </c>
      <c r="J774" s="42">
        <f t="shared" si="28"/>
        <v>61040</v>
      </c>
      <c r="K774" s="42"/>
      <c r="L774" s="42"/>
      <c r="M774" s="43" t="s">
        <v>535</v>
      </c>
    </row>
    <row r="775" spans="1:13" s="44" customFormat="1" ht="38.25" customHeight="1" x14ac:dyDescent="0.25">
      <c r="A775" s="39" t="s">
        <v>1385</v>
      </c>
      <c r="B775" s="46">
        <v>45623</v>
      </c>
      <c r="C775" s="46" t="s">
        <v>1378</v>
      </c>
      <c r="D775" s="39"/>
      <c r="E775" s="41">
        <v>3</v>
      </c>
      <c r="F775" s="41"/>
      <c r="G775" s="41"/>
      <c r="H775" s="41">
        <f>+D775+E775-F775+G775</f>
        <v>3</v>
      </c>
      <c r="I775" s="42">
        <v>115.88</v>
      </c>
      <c r="J775" s="42">
        <f t="shared" si="28"/>
        <v>347.64</v>
      </c>
      <c r="K775" s="42"/>
      <c r="L775" s="42"/>
      <c r="M775" s="43" t="s">
        <v>1358</v>
      </c>
    </row>
    <row r="776" spans="1:13" s="44" customFormat="1" ht="38.25" customHeight="1" x14ac:dyDescent="0.25">
      <c r="A776" s="39" t="s">
        <v>1384</v>
      </c>
      <c r="B776" s="46">
        <v>45623</v>
      </c>
      <c r="C776" s="46" t="s">
        <v>1377</v>
      </c>
      <c r="D776" s="39"/>
      <c r="E776" s="41">
        <v>6</v>
      </c>
      <c r="F776" s="41">
        <v>3</v>
      </c>
      <c r="G776" s="41"/>
      <c r="H776" s="41">
        <f>+D776+E776-F776+G776</f>
        <v>3</v>
      </c>
      <c r="I776" s="42">
        <v>115.88</v>
      </c>
      <c r="J776" s="42">
        <f t="shared" si="28"/>
        <v>347.64</v>
      </c>
      <c r="K776" s="42"/>
      <c r="L776" s="42"/>
      <c r="M776" s="43" t="s">
        <v>1358</v>
      </c>
    </row>
    <row r="777" spans="1:13" s="44" customFormat="1" ht="38.25" customHeight="1" x14ac:dyDescent="0.25">
      <c r="A777" s="39" t="s">
        <v>1387</v>
      </c>
      <c r="B777" s="46">
        <v>45623</v>
      </c>
      <c r="C777" s="46" t="s">
        <v>1380</v>
      </c>
      <c r="D777" s="39"/>
      <c r="E777" s="41">
        <v>100</v>
      </c>
      <c r="F777" s="41"/>
      <c r="G777" s="41"/>
      <c r="H777" s="41">
        <f>+D777+E777-F777+G777</f>
        <v>100</v>
      </c>
      <c r="I777" s="42">
        <v>115.88</v>
      </c>
      <c r="J777" s="42">
        <f t="shared" si="28"/>
        <v>11588</v>
      </c>
      <c r="K777" s="42"/>
      <c r="L777" s="42"/>
      <c r="M777" s="43" t="s">
        <v>1358</v>
      </c>
    </row>
    <row r="778" spans="1:13" s="44" customFormat="1" ht="38.25" customHeight="1" x14ac:dyDescent="0.25">
      <c r="A778" s="39" t="s">
        <v>1386</v>
      </c>
      <c r="B778" s="46">
        <v>45623</v>
      </c>
      <c r="C778" s="46" t="s">
        <v>1379</v>
      </c>
      <c r="D778" s="39">
        <v>100</v>
      </c>
      <c r="E778" s="41"/>
      <c r="F778" s="41"/>
      <c r="G778" s="41"/>
      <c r="H778" s="41">
        <f>+D778+E778-F778+G778</f>
        <v>100</v>
      </c>
      <c r="I778" s="42">
        <v>115.88</v>
      </c>
      <c r="J778" s="42">
        <f t="shared" si="28"/>
        <v>11588</v>
      </c>
      <c r="K778" s="42"/>
      <c r="L778" s="42"/>
      <c r="M778" s="43" t="s">
        <v>1358</v>
      </c>
    </row>
    <row r="779" spans="1:13" s="44" customFormat="1" ht="38.25" customHeight="1" x14ac:dyDescent="0.25">
      <c r="A779" s="39" t="s">
        <v>1362</v>
      </c>
      <c r="B779" s="46">
        <v>45623</v>
      </c>
      <c r="C779" s="47" t="s">
        <v>1368</v>
      </c>
      <c r="D779" s="39"/>
      <c r="E779" s="41">
        <v>5</v>
      </c>
      <c r="F779" s="41"/>
      <c r="G779" s="41"/>
      <c r="H779" s="41">
        <f>+D779+E779-F779+G779</f>
        <v>5</v>
      </c>
      <c r="I779" s="42">
        <v>618.98</v>
      </c>
      <c r="J779" s="42">
        <f t="shared" si="28"/>
        <v>3094.9</v>
      </c>
      <c r="K779" s="42"/>
      <c r="L779" s="42"/>
      <c r="M779" s="43" t="s">
        <v>1358</v>
      </c>
    </row>
    <row r="780" spans="1:13" s="44" customFormat="1" ht="38.25" customHeight="1" x14ac:dyDescent="0.25">
      <c r="A780" s="39" t="s">
        <v>1363</v>
      </c>
      <c r="B780" s="46">
        <v>45623</v>
      </c>
      <c r="C780" s="47" t="s">
        <v>1367</v>
      </c>
      <c r="D780" s="39"/>
      <c r="E780" s="41">
        <v>2</v>
      </c>
      <c r="F780" s="41"/>
      <c r="G780" s="41"/>
      <c r="H780" s="41">
        <f>+D780+E780-F780+G780</f>
        <v>2</v>
      </c>
      <c r="I780" s="42">
        <v>689.06</v>
      </c>
      <c r="J780" s="42">
        <f t="shared" si="28"/>
        <v>1378.12</v>
      </c>
      <c r="K780" s="42"/>
      <c r="L780" s="42"/>
      <c r="M780" s="43" t="s">
        <v>1358</v>
      </c>
    </row>
    <row r="781" spans="1:13" s="44" customFormat="1" ht="38.25" customHeight="1" x14ac:dyDescent="0.25">
      <c r="A781" s="39" t="s">
        <v>1496</v>
      </c>
      <c r="B781" s="50">
        <v>45631</v>
      </c>
      <c r="C781" s="51" t="s">
        <v>1483</v>
      </c>
      <c r="D781" s="52"/>
      <c r="E781" s="53">
        <v>3</v>
      </c>
      <c r="F781" s="53"/>
      <c r="G781" s="53"/>
      <c r="H781" s="41">
        <f>+D781+E781-F781+G781</f>
        <v>3</v>
      </c>
      <c r="I781" s="54">
        <v>763.46</v>
      </c>
      <c r="J781" s="55">
        <f t="shared" si="28"/>
        <v>2290.38</v>
      </c>
      <c r="K781" s="54"/>
      <c r="L781" s="54"/>
      <c r="M781" s="60" t="s">
        <v>1372</v>
      </c>
    </row>
    <row r="782" spans="1:13" s="44" customFormat="1" ht="38.25" customHeight="1" x14ac:dyDescent="0.25">
      <c r="A782" s="39" t="s">
        <v>1071</v>
      </c>
      <c r="B782" s="40" t="s">
        <v>273</v>
      </c>
      <c r="C782" s="39" t="s">
        <v>442</v>
      </c>
      <c r="D782" s="41">
        <v>8</v>
      </c>
      <c r="E782" s="41"/>
      <c r="F782" s="41">
        <f>1+2+1+1+2+1</f>
        <v>8</v>
      </c>
      <c r="G782" s="41"/>
      <c r="H782" s="41">
        <f>+D782+E782+-F782</f>
        <v>0</v>
      </c>
      <c r="I782" s="42">
        <v>40.340000000000003</v>
      </c>
      <c r="J782" s="42">
        <f t="shared" si="28"/>
        <v>0</v>
      </c>
      <c r="K782" s="42"/>
      <c r="L782" s="42"/>
      <c r="M782" s="43" t="s">
        <v>313</v>
      </c>
    </row>
    <row r="783" spans="1:13" s="44" customFormat="1" ht="38.25" customHeight="1" x14ac:dyDescent="0.25">
      <c r="A783" s="39" t="s">
        <v>681</v>
      </c>
      <c r="B783" s="49">
        <v>44193</v>
      </c>
      <c r="C783" s="45" t="s">
        <v>108</v>
      </c>
      <c r="D783" s="41">
        <v>3</v>
      </c>
      <c r="E783" s="41"/>
      <c r="F783" s="41"/>
      <c r="G783" s="41"/>
      <c r="H783" s="41">
        <f>+D783+E783-F783</f>
        <v>3</v>
      </c>
      <c r="I783" s="42">
        <v>995</v>
      </c>
      <c r="J783" s="42">
        <f t="shared" si="28"/>
        <v>2985</v>
      </c>
      <c r="K783" s="42"/>
      <c r="L783" s="42"/>
      <c r="M783" s="43" t="s">
        <v>27</v>
      </c>
    </row>
    <row r="784" spans="1:13" s="44" customFormat="1" ht="38.25" customHeight="1" x14ac:dyDescent="0.25">
      <c r="A784" s="39" t="s">
        <v>1072</v>
      </c>
      <c r="B784" s="40"/>
      <c r="C784" s="39" t="s">
        <v>443</v>
      </c>
      <c r="D784" s="41">
        <v>4</v>
      </c>
      <c r="E784" s="41"/>
      <c r="F784" s="41">
        <v>1</v>
      </c>
      <c r="G784" s="41"/>
      <c r="H784" s="41">
        <f>+D784+E784+-F784</f>
        <v>3</v>
      </c>
      <c r="I784" s="42">
        <v>53.99</v>
      </c>
      <c r="J784" s="42">
        <f t="shared" si="28"/>
        <v>161.97</v>
      </c>
      <c r="K784" s="42"/>
      <c r="L784" s="42"/>
      <c r="M784" s="43" t="s">
        <v>313</v>
      </c>
    </row>
    <row r="785" spans="1:13" s="44" customFormat="1" ht="38.25" customHeight="1" x14ac:dyDescent="0.25">
      <c r="A785" s="39" t="s">
        <v>682</v>
      </c>
      <c r="B785" s="40"/>
      <c r="C785" s="39" t="s">
        <v>1390</v>
      </c>
      <c r="D785" s="41">
        <v>9</v>
      </c>
      <c r="E785" s="41"/>
      <c r="F785" s="41">
        <f>1+1</f>
        <v>2</v>
      </c>
      <c r="G785" s="41"/>
      <c r="H785" s="41">
        <f>+D785+E785-F785</f>
        <v>7</v>
      </c>
      <c r="I785" s="42"/>
      <c r="J785" s="42">
        <f t="shared" si="28"/>
        <v>0</v>
      </c>
      <c r="K785" s="42"/>
      <c r="L785" s="42"/>
      <c r="M785" s="43" t="s">
        <v>27</v>
      </c>
    </row>
    <row r="786" spans="1:13" s="44" customFormat="1" ht="38.25" customHeight="1" x14ac:dyDescent="0.25">
      <c r="A786" s="39" t="s">
        <v>574</v>
      </c>
      <c r="B786" s="40"/>
      <c r="C786" s="39" t="s">
        <v>17</v>
      </c>
      <c r="D786" s="41">
        <v>4</v>
      </c>
      <c r="E786" s="41"/>
      <c r="F786" s="41"/>
      <c r="G786" s="41"/>
      <c r="H786" s="41">
        <f>+D786+E786-F786</f>
        <v>4</v>
      </c>
      <c r="I786" s="42">
        <v>315</v>
      </c>
      <c r="J786" s="42">
        <f t="shared" si="28"/>
        <v>1260</v>
      </c>
      <c r="K786" s="42"/>
      <c r="L786" s="42"/>
      <c r="M786" s="43" t="s">
        <v>8</v>
      </c>
    </row>
    <row r="787" spans="1:13" s="44" customFormat="1" ht="38.25" customHeight="1" x14ac:dyDescent="0.25">
      <c r="A787" s="39" t="s">
        <v>685</v>
      </c>
      <c r="B787" s="40"/>
      <c r="C787" s="39" t="s">
        <v>110</v>
      </c>
      <c r="D787" s="41">
        <v>0</v>
      </c>
      <c r="E787" s="41"/>
      <c r="F787" s="41"/>
      <c r="G787" s="41"/>
      <c r="H787" s="41">
        <f>+D787+E787-F787</f>
        <v>0</v>
      </c>
      <c r="I787" s="42">
        <v>145</v>
      </c>
      <c r="J787" s="42">
        <f t="shared" si="28"/>
        <v>0</v>
      </c>
      <c r="K787" s="42"/>
      <c r="L787" s="42"/>
      <c r="M787" s="43" t="s">
        <v>27</v>
      </c>
    </row>
    <row r="788" spans="1:13" s="44" customFormat="1" ht="38.25" customHeight="1" x14ac:dyDescent="0.25">
      <c r="A788" s="39" t="s">
        <v>686</v>
      </c>
      <c r="B788" s="40"/>
      <c r="C788" s="39" t="s">
        <v>111</v>
      </c>
      <c r="D788" s="41">
        <v>15</v>
      </c>
      <c r="E788" s="41"/>
      <c r="F788" s="41">
        <f>3+3+7</f>
        <v>13</v>
      </c>
      <c r="G788" s="41"/>
      <c r="H788" s="41">
        <f>+D788+E788-F788</f>
        <v>2</v>
      </c>
      <c r="I788" s="42">
        <v>277.3</v>
      </c>
      <c r="J788" s="42">
        <f t="shared" si="28"/>
        <v>554.6</v>
      </c>
      <c r="K788" s="42"/>
      <c r="L788" s="42"/>
      <c r="M788" s="43" t="s">
        <v>27</v>
      </c>
    </row>
    <row r="789" spans="1:13" s="44" customFormat="1" ht="38.25" customHeight="1" x14ac:dyDescent="0.25">
      <c r="A789" s="39" t="s">
        <v>1504</v>
      </c>
      <c r="B789" s="50">
        <v>45631</v>
      </c>
      <c r="C789" s="51" t="s">
        <v>1714</v>
      </c>
      <c r="D789" s="52"/>
      <c r="E789" s="53">
        <v>50</v>
      </c>
      <c r="F789" s="53">
        <f>6+13+10+1</f>
        <v>30</v>
      </c>
      <c r="G789" s="53"/>
      <c r="H789" s="41">
        <f>+D789+E789-F789+G789</f>
        <v>20</v>
      </c>
      <c r="I789" s="54">
        <v>134.52000000000001</v>
      </c>
      <c r="J789" s="55">
        <f t="shared" si="28"/>
        <v>2690.4</v>
      </c>
      <c r="K789" s="54"/>
      <c r="L789" s="54"/>
      <c r="M789" s="60" t="s">
        <v>27</v>
      </c>
    </row>
    <row r="790" spans="1:13" s="44" customFormat="1" ht="38.25" customHeight="1" x14ac:dyDescent="0.25">
      <c r="A790" s="39" t="s">
        <v>1218</v>
      </c>
      <c r="B790" s="40" t="s">
        <v>6</v>
      </c>
      <c r="C790" s="39" t="s">
        <v>562</v>
      </c>
      <c r="D790" s="41">
        <v>3</v>
      </c>
      <c r="E790" s="41"/>
      <c r="F790" s="41"/>
      <c r="G790" s="41"/>
      <c r="H790" s="41">
        <f>+D790+E790+-F790</f>
        <v>3</v>
      </c>
      <c r="I790" s="42">
        <v>4204</v>
      </c>
      <c r="J790" s="42">
        <f t="shared" si="28"/>
        <v>12612</v>
      </c>
      <c r="K790" s="42"/>
      <c r="L790" s="42"/>
      <c r="M790" s="43" t="s">
        <v>535</v>
      </c>
    </row>
    <row r="791" spans="1:13" s="44" customFormat="1" ht="38.25" customHeight="1" x14ac:dyDescent="0.25">
      <c r="A791" s="39" t="s">
        <v>1200</v>
      </c>
      <c r="B791" s="40" t="s">
        <v>6</v>
      </c>
      <c r="C791" s="39" t="s">
        <v>544</v>
      </c>
      <c r="D791" s="41">
        <v>2</v>
      </c>
      <c r="E791" s="41"/>
      <c r="F791" s="41"/>
      <c r="G791" s="41"/>
      <c r="H791" s="41">
        <f>+D791+E791+-F791</f>
        <v>2</v>
      </c>
      <c r="I791" s="42">
        <v>4897</v>
      </c>
      <c r="J791" s="42">
        <f t="shared" si="28"/>
        <v>9794</v>
      </c>
      <c r="K791" s="42"/>
      <c r="L791" s="42"/>
      <c r="M791" s="43" t="s">
        <v>535</v>
      </c>
    </row>
    <row r="792" spans="1:13" s="44" customFormat="1" ht="31.5" x14ac:dyDescent="0.25">
      <c r="A792" s="39" t="s">
        <v>1202</v>
      </c>
      <c r="B792" s="40" t="s">
        <v>6</v>
      </c>
      <c r="C792" s="39" t="s">
        <v>546</v>
      </c>
      <c r="D792" s="41">
        <v>12</v>
      </c>
      <c r="E792" s="41"/>
      <c r="F792" s="41"/>
      <c r="G792" s="41"/>
      <c r="H792" s="41">
        <f>+D792+E792+-F792</f>
        <v>12</v>
      </c>
      <c r="I792" s="42">
        <v>4204</v>
      </c>
      <c r="J792" s="42">
        <f t="shared" si="28"/>
        <v>50448</v>
      </c>
      <c r="K792" s="42"/>
      <c r="L792" s="42"/>
      <c r="M792" s="43" t="s">
        <v>535</v>
      </c>
    </row>
    <row r="793" spans="1:13" s="44" customFormat="1" ht="31.5" x14ac:dyDescent="0.25">
      <c r="A793" s="39" t="s">
        <v>1206</v>
      </c>
      <c r="B793" s="40"/>
      <c r="C793" s="39" t="s">
        <v>549</v>
      </c>
      <c r="D793" s="41">
        <v>2</v>
      </c>
      <c r="E793" s="41"/>
      <c r="F793" s="41"/>
      <c r="G793" s="41"/>
      <c r="H793" s="41">
        <f>+D793+E793+-F793</f>
        <v>2</v>
      </c>
      <c r="I793" s="42">
        <v>650</v>
      </c>
      <c r="J793" s="42">
        <f t="shared" si="28"/>
        <v>1300</v>
      </c>
      <c r="K793" s="42"/>
      <c r="L793" s="42"/>
      <c r="M793" s="43" t="s">
        <v>535</v>
      </c>
    </row>
    <row r="794" spans="1:13" s="44" customFormat="1" ht="31.5" x14ac:dyDescent="0.25">
      <c r="A794" s="39" t="s">
        <v>1207</v>
      </c>
      <c r="B794" s="40"/>
      <c r="C794" s="39" t="s">
        <v>550</v>
      </c>
      <c r="D794" s="41">
        <v>1</v>
      </c>
      <c r="E794" s="41"/>
      <c r="F794" s="41"/>
      <c r="G794" s="41"/>
      <c r="H794" s="41">
        <f>+D794+E794+-F794</f>
        <v>1</v>
      </c>
      <c r="I794" s="42">
        <v>650</v>
      </c>
      <c r="J794" s="42">
        <f t="shared" si="28"/>
        <v>650</v>
      </c>
      <c r="K794" s="42"/>
      <c r="L794" s="42"/>
      <c r="M794" s="43" t="s">
        <v>535</v>
      </c>
    </row>
    <row r="795" spans="1:13" s="44" customFormat="1" ht="31.5" x14ac:dyDescent="0.25">
      <c r="A795" s="39" t="s">
        <v>1208</v>
      </c>
      <c r="B795" s="40"/>
      <c r="C795" s="39" t="s">
        <v>551</v>
      </c>
      <c r="D795" s="41">
        <v>1</v>
      </c>
      <c r="E795" s="41"/>
      <c r="F795" s="41"/>
      <c r="G795" s="41"/>
      <c r="H795" s="41">
        <f>+D795+E795+-F795</f>
        <v>1</v>
      </c>
      <c r="I795" s="42">
        <v>650</v>
      </c>
      <c r="J795" s="42">
        <f t="shared" si="28"/>
        <v>650</v>
      </c>
      <c r="K795" s="42"/>
      <c r="L795" s="42"/>
      <c r="M795" s="43" t="s">
        <v>535</v>
      </c>
    </row>
    <row r="796" spans="1:13" s="44" customFormat="1" ht="38.25" customHeight="1" x14ac:dyDescent="0.25">
      <c r="A796" s="39" t="s">
        <v>1205</v>
      </c>
      <c r="B796" s="40" t="s">
        <v>6</v>
      </c>
      <c r="C796" s="39" t="s">
        <v>548</v>
      </c>
      <c r="D796" s="41">
        <v>2</v>
      </c>
      <c r="E796" s="41"/>
      <c r="F796" s="41"/>
      <c r="G796" s="41"/>
      <c r="H796" s="41">
        <f>+D796+E796+-F796</f>
        <v>2</v>
      </c>
      <c r="I796" s="42">
        <v>8720</v>
      </c>
      <c r="J796" s="42">
        <f t="shared" si="28"/>
        <v>17440</v>
      </c>
      <c r="K796" s="42"/>
      <c r="L796" s="42"/>
      <c r="M796" s="43" t="s">
        <v>535</v>
      </c>
    </row>
    <row r="797" spans="1:13" s="44" customFormat="1" ht="38.25" customHeight="1" x14ac:dyDescent="0.25">
      <c r="A797" s="39" t="s">
        <v>1196</v>
      </c>
      <c r="B797" s="40" t="s">
        <v>6</v>
      </c>
      <c r="C797" s="39" t="s">
        <v>540</v>
      </c>
      <c r="D797" s="41">
        <v>4</v>
      </c>
      <c r="E797" s="41"/>
      <c r="F797" s="41"/>
      <c r="G797" s="41"/>
      <c r="H797" s="41">
        <f>+D797+E797+-F797</f>
        <v>4</v>
      </c>
      <c r="I797" s="42">
        <v>5442.16</v>
      </c>
      <c r="J797" s="42">
        <f t="shared" ref="J797:J828" si="29">+H797*I797</f>
        <v>21768.639999999999</v>
      </c>
      <c r="K797" s="42"/>
      <c r="L797" s="42"/>
      <c r="M797" s="43" t="s">
        <v>535</v>
      </c>
    </row>
    <row r="798" spans="1:13" s="44" customFormat="1" ht="38.25" customHeight="1" x14ac:dyDescent="0.25">
      <c r="A798" s="39" t="s">
        <v>1197</v>
      </c>
      <c r="B798" s="40" t="s">
        <v>6</v>
      </c>
      <c r="C798" s="39" t="s">
        <v>541</v>
      </c>
      <c r="D798" s="41">
        <v>1</v>
      </c>
      <c r="E798" s="41"/>
      <c r="F798" s="41">
        <v>1</v>
      </c>
      <c r="G798" s="41"/>
      <c r="H798" s="41">
        <f>+D798+E798+-F798</f>
        <v>0</v>
      </c>
      <c r="I798" s="42">
        <v>8720</v>
      </c>
      <c r="J798" s="42">
        <f t="shared" si="29"/>
        <v>0</v>
      </c>
      <c r="K798" s="42"/>
      <c r="L798" s="42"/>
      <c r="M798" s="43" t="s">
        <v>535</v>
      </c>
    </row>
    <row r="799" spans="1:13" s="44" customFormat="1" ht="38.25" customHeight="1" x14ac:dyDescent="0.25">
      <c r="A799" s="39" t="s">
        <v>1194</v>
      </c>
      <c r="B799" s="40" t="s">
        <v>6</v>
      </c>
      <c r="C799" s="39" t="s">
        <v>538</v>
      </c>
      <c r="D799" s="41">
        <v>3</v>
      </c>
      <c r="E799" s="41"/>
      <c r="F799" s="41"/>
      <c r="G799" s="41"/>
      <c r="H799" s="41">
        <f>+D799+E799+-F799</f>
        <v>3</v>
      </c>
      <c r="I799" s="42">
        <v>8720</v>
      </c>
      <c r="J799" s="42">
        <f t="shared" si="29"/>
        <v>26160</v>
      </c>
      <c r="K799" s="42"/>
      <c r="L799" s="42"/>
      <c r="M799" s="43" t="s">
        <v>535</v>
      </c>
    </row>
    <row r="800" spans="1:13" s="44" customFormat="1" ht="38.25" customHeight="1" x14ac:dyDescent="0.25">
      <c r="A800" s="39" t="s">
        <v>1204</v>
      </c>
      <c r="B800" s="40" t="s">
        <v>6</v>
      </c>
      <c r="C800" s="39" t="s">
        <v>538</v>
      </c>
      <c r="D800" s="41">
        <v>2</v>
      </c>
      <c r="E800" s="41"/>
      <c r="F800" s="41"/>
      <c r="G800" s="41"/>
      <c r="H800" s="41">
        <f>+D800+E800+-F800</f>
        <v>2</v>
      </c>
      <c r="I800" s="42">
        <v>8720</v>
      </c>
      <c r="J800" s="42">
        <f t="shared" si="29"/>
        <v>17440</v>
      </c>
      <c r="K800" s="42"/>
      <c r="L800" s="42"/>
      <c r="M800" s="43" t="s">
        <v>535</v>
      </c>
    </row>
    <row r="801" spans="1:13" s="44" customFormat="1" ht="38.25" customHeight="1" x14ac:dyDescent="0.25">
      <c r="A801" s="39" t="s">
        <v>1198</v>
      </c>
      <c r="B801" s="40" t="s">
        <v>6</v>
      </c>
      <c r="C801" s="39" t="s">
        <v>542</v>
      </c>
      <c r="D801" s="41">
        <v>10</v>
      </c>
      <c r="E801" s="41"/>
      <c r="F801" s="41"/>
      <c r="G801" s="41"/>
      <c r="H801" s="41">
        <f>+D801+E801+-F801</f>
        <v>10</v>
      </c>
      <c r="I801" s="42">
        <v>8720.2000000000007</v>
      </c>
      <c r="J801" s="42">
        <f t="shared" si="29"/>
        <v>87202</v>
      </c>
      <c r="K801" s="42"/>
      <c r="L801" s="42"/>
      <c r="M801" s="43" t="s">
        <v>535</v>
      </c>
    </row>
    <row r="802" spans="1:13" s="44" customFormat="1" ht="38.25" customHeight="1" x14ac:dyDescent="0.25">
      <c r="A802" s="39" t="s">
        <v>1195</v>
      </c>
      <c r="B802" s="40" t="s">
        <v>6</v>
      </c>
      <c r="C802" s="39" t="s">
        <v>539</v>
      </c>
      <c r="D802" s="41">
        <v>2</v>
      </c>
      <c r="E802" s="41"/>
      <c r="F802" s="41"/>
      <c r="G802" s="41"/>
      <c r="H802" s="41">
        <f>+D802+E802+-F802</f>
        <v>2</v>
      </c>
      <c r="I802" s="42">
        <v>8720</v>
      </c>
      <c r="J802" s="42">
        <f t="shared" si="29"/>
        <v>17440</v>
      </c>
      <c r="K802" s="42"/>
      <c r="L802" s="42"/>
      <c r="M802" s="43" t="s">
        <v>535</v>
      </c>
    </row>
    <row r="803" spans="1:13" s="44" customFormat="1" ht="31.5" x14ac:dyDescent="0.25">
      <c r="A803" s="39" t="s">
        <v>815</v>
      </c>
      <c r="B803" s="40"/>
      <c r="C803" s="39" t="s">
        <v>1609</v>
      </c>
      <c r="D803" s="41">
        <f>200+90-10</f>
        <v>280</v>
      </c>
      <c r="E803" s="41"/>
      <c r="F803" s="41"/>
      <c r="G803" s="41"/>
      <c r="H803" s="41">
        <f>+D803+E803+-F803</f>
        <v>280</v>
      </c>
      <c r="I803" s="42">
        <v>1.85</v>
      </c>
      <c r="J803" s="42">
        <f t="shared" si="29"/>
        <v>518</v>
      </c>
      <c r="K803" s="42"/>
      <c r="L803" s="42"/>
      <c r="M803" s="43" t="s">
        <v>169</v>
      </c>
    </row>
    <row r="804" spans="1:13" s="44" customFormat="1" ht="38.25" customHeight="1" x14ac:dyDescent="0.25">
      <c r="A804" s="39" t="s">
        <v>816</v>
      </c>
      <c r="B804" s="40"/>
      <c r="C804" s="39" t="s">
        <v>215</v>
      </c>
      <c r="D804" s="41">
        <v>105</v>
      </c>
      <c r="E804" s="41"/>
      <c r="F804" s="41"/>
      <c r="G804" s="41"/>
      <c r="H804" s="41">
        <f>+D804+E804+-F804</f>
        <v>105</v>
      </c>
      <c r="I804" s="42">
        <v>1.96</v>
      </c>
      <c r="J804" s="42">
        <f t="shared" si="29"/>
        <v>205.79999999999998</v>
      </c>
      <c r="K804" s="42"/>
      <c r="L804" s="42"/>
      <c r="M804" s="43" t="s">
        <v>169</v>
      </c>
    </row>
    <row r="805" spans="1:13" s="44" customFormat="1" ht="38.25" customHeight="1" x14ac:dyDescent="0.25">
      <c r="A805" s="39" t="s">
        <v>814</v>
      </c>
      <c r="B805" s="40"/>
      <c r="C805" s="39" t="s">
        <v>214</v>
      </c>
      <c r="D805" s="41">
        <v>118</v>
      </c>
      <c r="E805" s="41"/>
      <c r="F805" s="41">
        <v>118</v>
      </c>
      <c r="G805" s="41"/>
      <c r="H805" s="41">
        <f>+D805+E805+-F805</f>
        <v>0</v>
      </c>
      <c r="I805" s="42"/>
      <c r="J805" s="42">
        <f t="shared" si="29"/>
        <v>0</v>
      </c>
      <c r="K805" s="42"/>
      <c r="L805" s="42"/>
      <c r="M805" s="43" t="s">
        <v>169</v>
      </c>
    </row>
    <row r="806" spans="1:13" s="44" customFormat="1" ht="38.25" customHeight="1" x14ac:dyDescent="0.25">
      <c r="A806" s="39" t="s">
        <v>821</v>
      </c>
      <c r="B806" s="40"/>
      <c r="C806" s="39" t="s">
        <v>220</v>
      </c>
      <c r="D806" s="41">
        <f>90-7-6</f>
        <v>77</v>
      </c>
      <c r="E806" s="41"/>
      <c r="F806" s="41">
        <f>30+12+4+14+17</f>
        <v>77</v>
      </c>
      <c r="G806" s="41"/>
      <c r="H806" s="41">
        <f>+D806+E806+-F806</f>
        <v>0</v>
      </c>
      <c r="I806" s="42">
        <v>1.08</v>
      </c>
      <c r="J806" s="42">
        <f t="shared" si="29"/>
        <v>0</v>
      </c>
      <c r="K806" s="42"/>
      <c r="L806" s="42"/>
      <c r="M806" s="43" t="s">
        <v>169</v>
      </c>
    </row>
    <row r="807" spans="1:13" s="44" customFormat="1" ht="38.25" customHeight="1" x14ac:dyDescent="0.25">
      <c r="A807" s="39" t="s">
        <v>820</v>
      </c>
      <c r="B807" s="40"/>
      <c r="C807" s="39" t="s">
        <v>219</v>
      </c>
      <c r="D807" s="41">
        <f>45-16</f>
        <v>29</v>
      </c>
      <c r="E807" s="41"/>
      <c r="F807" s="41">
        <f>10+12+4+3</f>
        <v>29</v>
      </c>
      <c r="G807" s="41"/>
      <c r="H807" s="41">
        <f>+D807+E807+-F807</f>
        <v>0</v>
      </c>
      <c r="I807" s="42">
        <v>1.06</v>
      </c>
      <c r="J807" s="42">
        <f t="shared" si="29"/>
        <v>0</v>
      </c>
      <c r="K807" s="42"/>
      <c r="L807" s="42"/>
      <c r="M807" s="43" t="s">
        <v>169</v>
      </c>
    </row>
    <row r="808" spans="1:13" s="44" customFormat="1" ht="38.25" customHeight="1" x14ac:dyDescent="0.25">
      <c r="A808" s="39" t="s">
        <v>817</v>
      </c>
      <c r="B808" s="40"/>
      <c r="C808" s="39" t="s">
        <v>216</v>
      </c>
      <c r="D808" s="41">
        <v>100</v>
      </c>
      <c r="E808" s="41"/>
      <c r="F808" s="41"/>
      <c r="G808" s="41"/>
      <c r="H808" s="41">
        <f>+D808+E808+-F808</f>
        <v>100</v>
      </c>
      <c r="I808" s="42"/>
      <c r="J808" s="42">
        <f t="shared" si="29"/>
        <v>0</v>
      </c>
      <c r="K808" s="42"/>
      <c r="L808" s="42"/>
      <c r="M808" s="43" t="s">
        <v>169</v>
      </c>
    </row>
    <row r="809" spans="1:13" s="44" customFormat="1" ht="48" customHeight="1" x14ac:dyDescent="0.25">
      <c r="A809" s="39" t="s">
        <v>1216</v>
      </c>
      <c r="B809" s="40"/>
      <c r="C809" s="39" t="s">
        <v>560</v>
      </c>
      <c r="D809" s="41">
        <v>10</v>
      </c>
      <c r="E809" s="41"/>
      <c r="F809" s="41"/>
      <c r="G809" s="41"/>
      <c r="H809" s="41">
        <f>+D809+E809+-F809</f>
        <v>10</v>
      </c>
      <c r="I809" s="71">
        <v>44.84</v>
      </c>
      <c r="J809" s="42">
        <f t="shared" si="29"/>
        <v>448.40000000000003</v>
      </c>
      <c r="K809" s="42"/>
      <c r="L809" s="42"/>
      <c r="M809" s="43" t="s">
        <v>555</v>
      </c>
    </row>
    <row r="810" spans="1:13" s="44" customFormat="1" ht="38.25" customHeight="1" x14ac:dyDescent="0.25">
      <c r="A810" s="39" t="s">
        <v>687</v>
      </c>
      <c r="B810" s="40"/>
      <c r="C810" s="39" t="s">
        <v>112</v>
      </c>
      <c r="D810" s="41">
        <v>2</v>
      </c>
      <c r="E810" s="41"/>
      <c r="F810" s="41"/>
      <c r="G810" s="41"/>
      <c r="H810" s="41">
        <f>+D810+E810-F810</f>
        <v>2</v>
      </c>
      <c r="I810" s="42"/>
      <c r="J810" s="42">
        <f t="shared" si="29"/>
        <v>0</v>
      </c>
      <c r="K810" s="42"/>
      <c r="L810" s="42"/>
      <c r="M810" s="43" t="s">
        <v>27</v>
      </c>
    </row>
    <row r="811" spans="1:13" s="44" customFormat="1" ht="38.25" customHeight="1" x14ac:dyDescent="0.25">
      <c r="A811" s="39" t="s">
        <v>729</v>
      </c>
      <c r="B811" s="49">
        <v>44851</v>
      </c>
      <c r="C811" s="39" t="s">
        <v>144</v>
      </c>
      <c r="D811" s="41">
        <v>9</v>
      </c>
      <c r="E811" s="41"/>
      <c r="F811" s="41">
        <v>3</v>
      </c>
      <c r="G811" s="41"/>
      <c r="H811" s="41">
        <f>+D811+E811-F811</f>
        <v>6</v>
      </c>
      <c r="I811" s="42">
        <v>1177.05</v>
      </c>
      <c r="J811" s="42">
        <f t="shared" si="29"/>
        <v>7062.2999999999993</v>
      </c>
      <c r="K811" s="42"/>
      <c r="L811" s="42"/>
      <c r="M811" s="43" t="s">
        <v>1238</v>
      </c>
    </row>
    <row r="812" spans="1:13" s="44" customFormat="1" ht="38.25" customHeight="1" x14ac:dyDescent="0.25">
      <c r="A812" s="39" t="s">
        <v>1401</v>
      </c>
      <c r="B812" s="97">
        <v>45575</v>
      </c>
      <c r="C812" s="73" t="s">
        <v>1427</v>
      </c>
      <c r="D812" s="92">
        <v>4</v>
      </c>
      <c r="E812" s="64"/>
      <c r="F812" s="64">
        <v>4</v>
      </c>
      <c r="G812" s="64"/>
      <c r="H812" s="64">
        <f>+D812+E812-F812+G812</f>
        <v>0</v>
      </c>
      <c r="I812" s="66"/>
      <c r="J812" s="66"/>
      <c r="K812" s="66"/>
      <c r="L812" s="66">
        <f>+H812*K812</f>
        <v>0</v>
      </c>
      <c r="M812" s="67" t="s">
        <v>555</v>
      </c>
    </row>
    <row r="813" spans="1:13" s="44" customFormat="1" ht="38.25" customHeight="1" x14ac:dyDescent="0.25">
      <c r="A813" s="39" t="s">
        <v>1402</v>
      </c>
      <c r="B813" s="97">
        <v>45575</v>
      </c>
      <c r="C813" s="73" t="s">
        <v>1428</v>
      </c>
      <c r="D813" s="92">
        <v>4</v>
      </c>
      <c r="E813" s="64"/>
      <c r="F813" s="64">
        <v>4</v>
      </c>
      <c r="G813" s="64"/>
      <c r="H813" s="64">
        <f>+D813+E813-F813+G813</f>
        <v>0</v>
      </c>
      <c r="I813" s="66"/>
      <c r="J813" s="66"/>
      <c r="K813" s="66"/>
      <c r="L813" s="66">
        <f>+H813*K813</f>
        <v>0</v>
      </c>
      <c r="M813" s="67" t="s">
        <v>555</v>
      </c>
    </row>
    <row r="814" spans="1:13" s="44" customFormat="1" ht="38.25" customHeight="1" x14ac:dyDescent="0.25">
      <c r="A814" s="39" t="s">
        <v>1398</v>
      </c>
      <c r="B814" s="97">
        <v>45575</v>
      </c>
      <c r="C814" s="73" t="s">
        <v>1424</v>
      </c>
      <c r="D814" s="92">
        <v>4</v>
      </c>
      <c r="E814" s="64"/>
      <c r="F814" s="64">
        <v>4</v>
      </c>
      <c r="G814" s="64"/>
      <c r="H814" s="64">
        <f>+D814+E814-F814+G814</f>
        <v>0</v>
      </c>
      <c r="I814" s="66"/>
      <c r="J814" s="66"/>
      <c r="K814" s="66"/>
      <c r="L814" s="66">
        <f>+H814*K814</f>
        <v>0</v>
      </c>
      <c r="M814" s="67" t="s">
        <v>555</v>
      </c>
    </row>
    <row r="815" spans="1:13" s="98" customFormat="1" ht="72.75" customHeight="1" x14ac:dyDescent="0.25">
      <c r="A815" s="39" t="s">
        <v>1400</v>
      </c>
      <c r="B815" s="97">
        <v>45575</v>
      </c>
      <c r="C815" s="73" t="s">
        <v>1426</v>
      </c>
      <c r="D815" s="92">
        <v>4</v>
      </c>
      <c r="E815" s="64"/>
      <c r="F815" s="64">
        <v>4</v>
      </c>
      <c r="G815" s="64"/>
      <c r="H815" s="64">
        <f>+D815+E815-F815+G815</f>
        <v>0</v>
      </c>
      <c r="I815" s="66"/>
      <c r="J815" s="66"/>
      <c r="K815" s="66"/>
      <c r="L815" s="66">
        <f>+H815*K815</f>
        <v>0</v>
      </c>
      <c r="M815" s="67" t="s">
        <v>555</v>
      </c>
    </row>
    <row r="816" spans="1:13" s="98" customFormat="1" ht="50.1" customHeight="1" x14ac:dyDescent="0.25">
      <c r="A816" s="39" t="s">
        <v>1399</v>
      </c>
      <c r="B816" s="97">
        <v>45575</v>
      </c>
      <c r="C816" s="73" t="s">
        <v>1425</v>
      </c>
      <c r="D816" s="92">
        <v>8</v>
      </c>
      <c r="E816" s="64"/>
      <c r="F816" s="64">
        <v>8</v>
      </c>
      <c r="G816" s="64"/>
      <c r="H816" s="64">
        <f>+D816+E816-F816+G816</f>
        <v>0</v>
      </c>
      <c r="I816" s="66"/>
      <c r="J816" s="66"/>
      <c r="K816" s="66"/>
      <c r="L816" s="66">
        <f>+H816*K816</f>
        <v>0</v>
      </c>
      <c r="M816" s="67" t="s">
        <v>555</v>
      </c>
    </row>
    <row r="817" spans="1:16" s="98" customFormat="1" ht="50.1" customHeight="1" x14ac:dyDescent="0.25">
      <c r="A817" s="39" t="s">
        <v>1173</v>
      </c>
      <c r="B817" s="99"/>
      <c r="C817" s="39" t="s">
        <v>516</v>
      </c>
      <c r="D817" s="41">
        <v>1</v>
      </c>
      <c r="E817" s="41"/>
      <c r="F817" s="41"/>
      <c r="G817" s="41"/>
      <c r="H817" s="41">
        <f>+D817+E817+-F817</f>
        <v>1</v>
      </c>
      <c r="I817" s="42">
        <v>635</v>
      </c>
      <c r="J817" s="42">
        <f t="shared" ref="J817:J842" si="30">+H817*I817</f>
        <v>635</v>
      </c>
      <c r="K817" s="42"/>
      <c r="L817" s="42"/>
      <c r="M817" s="43" t="s">
        <v>454</v>
      </c>
      <c r="P817" s="100"/>
    </row>
    <row r="818" spans="1:16" s="98" customFormat="1" ht="34.5" customHeight="1" x14ac:dyDescent="0.25">
      <c r="A818" s="39" t="s">
        <v>688</v>
      </c>
      <c r="B818" s="40"/>
      <c r="C818" s="39" t="s">
        <v>113</v>
      </c>
      <c r="D818" s="41">
        <v>8</v>
      </c>
      <c r="E818" s="41"/>
      <c r="F818" s="41"/>
      <c r="G818" s="41"/>
      <c r="H818" s="41">
        <f>+D818+E818-F818</f>
        <v>8</v>
      </c>
      <c r="I818" s="42"/>
      <c r="J818" s="42">
        <f t="shared" si="30"/>
        <v>0</v>
      </c>
      <c r="K818" s="42"/>
      <c r="L818" s="42"/>
      <c r="M818" s="43" t="s">
        <v>27</v>
      </c>
    </row>
    <row r="819" spans="1:16" s="98" customFormat="1" ht="50.1" customHeight="1" x14ac:dyDescent="0.25">
      <c r="A819" s="39" t="s">
        <v>689</v>
      </c>
      <c r="B819" s="40"/>
      <c r="C819" s="45" t="s">
        <v>1637</v>
      </c>
      <c r="D819" s="41">
        <v>28</v>
      </c>
      <c r="E819" s="41"/>
      <c r="F819" s="41"/>
      <c r="G819" s="41"/>
      <c r="H819" s="41">
        <f>+D819+E819-F819</f>
        <v>28</v>
      </c>
      <c r="I819" s="42">
        <v>696</v>
      </c>
      <c r="J819" s="42">
        <f t="shared" si="30"/>
        <v>19488</v>
      </c>
      <c r="K819" s="42"/>
      <c r="L819" s="42"/>
      <c r="M819" s="43" t="s">
        <v>27</v>
      </c>
    </row>
    <row r="820" spans="1:16" s="98" customFormat="1" ht="50.1" customHeight="1" x14ac:dyDescent="0.25">
      <c r="A820" s="39" t="s">
        <v>648</v>
      </c>
      <c r="B820" s="40"/>
      <c r="C820" s="45" t="s">
        <v>1689</v>
      </c>
      <c r="D820" s="41">
        <v>123</v>
      </c>
      <c r="E820" s="41"/>
      <c r="F820" s="41">
        <f>1+2+1</f>
        <v>4</v>
      </c>
      <c r="G820" s="41"/>
      <c r="H820" s="41">
        <f>+D820+E820-F820</f>
        <v>119</v>
      </c>
      <c r="I820" s="42"/>
      <c r="J820" s="42">
        <f t="shared" si="30"/>
        <v>0</v>
      </c>
      <c r="K820" s="42"/>
      <c r="L820" s="42"/>
      <c r="M820" s="43" t="s">
        <v>27</v>
      </c>
    </row>
    <row r="821" spans="1:16" s="98" customFormat="1" ht="50.1" customHeight="1" x14ac:dyDescent="0.25">
      <c r="A821" s="39" t="s">
        <v>1571</v>
      </c>
      <c r="B821" s="50" t="s">
        <v>1561</v>
      </c>
      <c r="C821" s="51" t="s">
        <v>1577</v>
      </c>
      <c r="D821" s="52"/>
      <c r="E821" s="53">
        <v>5</v>
      </c>
      <c r="F821" s="53"/>
      <c r="G821" s="53"/>
      <c r="H821" s="41">
        <f>+D821+E821-F821+G821</f>
        <v>5</v>
      </c>
      <c r="I821" s="54">
        <v>1800.5029999999999</v>
      </c>
      <c r="J821" s="55">
        <f t="shared" si="30"/>
        <v>9002.5149999999994</v>
      </c>
      <c r="K821" s="54"/>
      <c r="L821" s="54"/>
      <c r="M821" s="43" t="s">
        <v>454</v>
      </c>
    </row>
    <row r="822" spans="1:16" s="98" customFormat="1" ht="50.1" customHeight="1" x14ac:dyDescent="0.25">
      <c r="A822" s="39" t="s">
        <v>818</v>
      </c>
      <c r="B822" s="101">
        <v>45530</v>
      </c>
      <c r="C822" s="102" t="s">
        <v>217</v>
      </c>
      <c r="D822" s="103">
        <v>100</v>
      </c>
      <c r="E822" s="103"/>
      <c r="F822" s="103">
        <v>10</v>
      </c>
      <c r="G822" s="103"/>
      <c r="H822" s="103">
        <f>+D822+E822+-F822</f>
        <v>90</v>
      </c>
      <c r="I822" s="104">
        <v>47.2</v>
      </c>
      <c r="J822" s="104">
        <f t="shared" si="30"/>
        <v>4248</v>
      </c>
      <c r="K822" s="104"/>
      <c r="L822" s="104"/>
      <c r="M822" s="43" t="s">
        <v>169</v>
      </c>
    </row>
    <row r="823" spans="1:16" s="81" customFormat="1" ht="50.1" customHeight="1" x14ac:dyDescent="0.25">
      <c r="A823" s="39" t="s">
        <v>1217</v>
      </c>
      <c r="B823" s="40"/>
      <c r="C823" s="39" t="s">
        <v>561</v>
      </c>
      <c r="D823" s="41">
        <v>2</v>
      </c>
      <c r="E823" s="41"/>
      <c r="F823" s="41"/>
      <c r="G823" s="41"/>
      <c r="H823" s="41">
        <f>+D823+E823+-F823</f>
        <v>2</v>
      </c>
      <c r="I823" s="71">
        <v>680</v>
      </c>
      <c r="J823" s="42">
        <f t="shared" si="30"/>
        <v>1360</v>
      </c>
      <c r="K823" s="42"/>
      <c r="L823" s="42"/>
      <c r="M823" s="43" t="s">
        <v>555</v>
      </c>
    </row>
    <row r="824" spans="1:16" s="98" customFormat="1" ht="50.1" customHeight="1" x14ac:dyDescent="0.25">
      <c r="A824" s="39" t="s">
        <v>1095</v>
      </c>
      <c r="B824" s="59" t="s">
        <v>6</v>
      </c>
      <c r="C824" s="39" t="s">
        <v>467</v>
      </c>
      <c r="D824" s="41">
        <v>1</v>
      </c>
      <c r="E824" s="41"/>
      <c r="F824" s="41"/>
      <c r="G824" s="41"/>
      <c r="H824" s="41">
        <f>+D824+E824+-F824</f>
        <v>1</v>
      </c>
      <c r="I824" s="42">
        <v>30</v>
      </c>
      <c r="J824" s="42">
        <f t="shared" si="30"/>
        <v>30</v>
      </c>
      <c r="K824" s="42"/>
      <c r="L824" s="42"/>
      <c r="M824" s="43" t="s">
        <v>454</v>
      </c>
    </row>
    <row r="825" spans="1:16" s="98" customFormat="1" ht="50.1" customHeight="1" x14ac:dyDescent="0.25">
      <c r="A825" s="39" t="s">
        <v>1174</v>
      </c>
      <c r="B825" s="40"/>
      <c r="C825" s="39" t="s">
        <v>517</v>
      </c>
      <c r="D825" s="41">
        <f>67+9</f>
        <v>76</v>
      </c>
      <c r="E825" s="41"/>
      <c r="F825" s="41"/>
      <c r="G825" s="41"/>
      <c r="H825" s="41">
        <f>+D825+E825+-F825</f>
        <v>76</v>
      </c>
      <c r="I825" s="42">
        <v>29.16</v>
      </c>
      <c r="J825" s="42">
        <f t="shared" si="30"/>
        <v>2216.16</v>
      </c>
      <c r="K825" s="42"/>
      <c r="L825" s="42"/>
      <c r="M825" s="43" t="s">
        <v>454</v>
      </c>
    </row>
    <row r="826" spans="1:16" s="98" customFormat="1" ht="50.1" customHeight="1" x14ac:dyDescent="0.25">
      <c r="A826" s="39" t="s">
        <v>1175</v>
      </c>
      <c r="B826" s="59" t="s">
        <v>6</v>
      </c>
      <c r="C826" s="39" t="s">
        <v>518</v>
      </c>
      <c r="D826" s="41">
        <v>10</v>
      </c>
      <c r="E826" s="41"/>
      <c r="F826" s="41">
        <f>1+1</f>
        <v>2</v>
      </c>
      <c r="G826" s="41"/>
      <c r="H826" s="41">
        <f>+D826+E826+-F826</f>
        <v>8</v>
      </c>
      <c r="I826" s="42">
        <v>60</v>
      </c>
      <c r="J826" s="42">
        <f t="shared" si="30"/>
        <v>480</v>
      </c>
      <c r="K826" s="42"/>
      <c r="L826" s="42"/>
      <c r="M826" s="43" t="s">
        <v>454</v>
      </c>
    </row>
    <row r="827" spans="1:16" s="98" customFormat="1" ht="50.1" customHeight="1" x14ac:dyDescent="0.25">
      <c r="A827" s="39" t="s">
        <v>1176</v>
      </c>
      <c r="B827" s="40"/>
      <c r="C827" s="39" t="s">
        <v>519</v>
      </c>
      <c r="D827" s="41">
        <v>0</v>
      </c>
      <c r="E827" s="41"/>
      <c r="F827" s="41"/>
      <c r="G827" s="41"/>
      <c r="H827" s="41">
        <f>+D827+E827+-F827</f>
        <v>0</v>
      </c>
      <c r="I827" s="42">
        <v>129</v>
      </c>
      <c r="J827" s="42">
        <f t="shared" si="30"/>
        <v>0</v>
      </c>
      <c r="K827" s="42"/>
      <c r="L827" s="42"/>
      <c r="M827" s="43" t="s">
        <v>454</v>
      </c>
    </row>
    <row r="828" spans="1:16" s="98" customFormat="1" ht="50.1" customHeight="1" x14ac:dyDescent="0.25">
      <c r="A828" s="39" t="s">
        <v>1177</v>
      </c>
      <c r="B828" s="40"/>
      <c r="C828" s="39" t="s">
        <v>520</v>
      </c>
      <c r="D828" s="41">
        <v>10</v>
      </c>
      <c r="E828" s="41"/>
      <c r="F828" s="41"/>
      <c r="G828" s="41"/>
      <c r="H828" s="41">
        <f>+D828+E828+-F828</f>
        <v>10</v>
      </c>
      <c r="I828" s="42">
        <v>53</v>
      </c>
      <c r="J828" s="42">
        <f t="shared" si="30"/>
        <v>530</v>
      </c>
      <c r="K828" s="42"/>
      <c r="L828" s="42"/>
      <c r="M828" s="43" t="s">
        <v>454</v>
      </c>
    </row>
    <row r="829" spans="1:16" s="98" customFormat="1" ht="50.1" customHeight="1" x14ac:dyDescent="0.25">
      <c r="A829" s="39" t="s">
        <v>1178</v>
      </c>
      <c r="B829" s="40"/>
      <c r="C829" s="39" t="s">
        <v>521</v>
      </c>
      <c r="D829" s="41">
        <v>6</v>
      </c>
      <c r="E829" s="41"/>
      <c r="F829" s="41">
        <v>2</v>
      </c>
      <c r="G829" s="41"/>
      <c r="H829" s="41">
        <f>+D829+E829+-F829</f>
        <v>4</v>
      </c>
      <c r="I829" s="42">
        <v>50.11</v>
      </c>
      <c r="J829" s="42">
        <f t="shared" si="30"/>
        <v>200.44</v>
      </c>
      <c r="K829" s="42"/>
      <c r="L829" s="42"/>
      <c r="M829" s="43" t="s">
        <v>454</v>
      </c>
    </row>
    <row r="830" spans="1:16" s="98" customFormat="1" ht="50.1" customHeight="1" x14ac:dyDescent="0.25">
      <c r="A830" s="39" t="s">
        <v>1094</v>
      </c>
      <c r="B830" s="49">
        <v>44193</v>
      </c>
      <c r="C830" s="39" t="s">
        <v>1695</v>
      </c>
      <c r="D830" s="41">
        <v>15</v>
      </c>
      <c r="E830" s="41"/>
      <c r="F830" s="41">
        <v>1</v>
      </c>
      <c r="G830" s="41"/>
      <c r="H830" s="41">
        <f>+D830+E830+-F830</f>
        <v>14</v>
      </c>
      <c r="I830" s="42">
        <v>30</v>
      </c>
      <c r="J830" s="42">
        <f t="shared" si="30"/>
        <v>420</v>
      </c>
      <c r="K830" s="42"/>
      <c r="L830" s="42"/>
      <c r="M830" s="43" t="s">
        <v>454</v>
      </c>
    </row>
    <row r="831" spans="1:16" s="98" customFormat="1" ht="50.1" customHeight="1" x14ac:dyDescent="0.25">
      <c r="A831" s="39" t="s">
        <v>1093</v>
      </c>
      <c r="B831" s="59">
        <v>45469</v>
      </c>
      <c r="C831" s="39" t="s">
        <v>466</v>
      </c>
      <c r="D831" s="41">
        <v>13</v>
      </c>
      <c r="E831" s="41"/>
      <c r="F831" s="41"/>
      <c r="G831" s="41"/>
      <c r="H831" s="41">
        <f>+D831+E831+-F831</f>
        <v>13</v>
      </c>
      <c r="I831" s="42">
        <v>30</v>
      </c>
      <c r="J831" s="42">
        <f t="shared" si="30"/>
        <v>390</v>
      </c>
      <c r="K831" s="42"/>
      <c r="L831" s="42"/>
      <c r="M831" s="43" t="s">
        <v>454</v>
      </c>
    </row>
    <row r="832" spans="1:16" s="98" customFormat="1" ht="50.1" customHeight="1" x14ac:dyDescent="0.25">
      <c r="A832" s="39" t="s">
        <v>1179</v>
      </c>
      <c r="B832" s="40"/>
      <c r="C832" s="39" t="s">
        <v>522</v>
      </c>
      <c r="D832" s="41">
        <v>2</v>
      </c>
      <c r="E832" s="95"/>
      <c r="F832" s="41">
        <v>2</v>
      </c>
      <c r="G832" s="41"/>
      <c r="H832" s="41">
        <f>+D832+E832+-F832</f>
        <v>0</v>
      </c>
      <c r="I832" s="42">
        <v>89</v>
      </c>
      <c r="J832" s="42">
        <f t="shared" si="30"/>
        <v>0</v>
      </c>
      <c r="K832" s="42"/>
      <c r="L832" s="42"/>
      <c r="M832" s="43" t="s">
        <v>454</v>
      </c>
    </row>
    <row r="833" spans="1:15" s="98" customFormat="1" ht="50.1" customHeight="1" x14ac:dyDescent="0.25">
      <c r="A833" s="39" t="s">
        <v>1092</v>
      </c>
      <c r="B833" s="59">
        <v>45469</v>
      </c>
      <c r="C833" s="39" t="s">
        <v>465</v>
      </c>
      <c r="D833" s="41">
        <v>35</v>
      </c>
      <c r="E833" s="41"/>
      <c r="F833" s="41"/>
      <c r="G833" s="41"/>
      <c r="H833" s="41">
        <f>+D833+E833+-F833</f>
        <v>35</v>
      </c>
      <c r="I833" s="42">
        <v>30</v>
      </c>
      <c r="J833" s="42">
        <f t="shared" si="30"/>
        <v>1050</v>
      </c>
      <c r="K833" s="42"/>
      <c r="L833" s="42"/>
      <c r="M833" s="43" t="s">
        <v>454</v>
      </c>
    </row>
    <row r="834" spans="1:15" s="98" customFormat="1" ht="50.1" customHeight="1" x14ac:dyDescent="0.25">
      <c r="A834" s="39" t="s">
        <v>1180</v>
      </c>
      <c r="B834" s="40"/>
      <c r="C834" s="39" t="s">
        <v>465</v>
      </c>
      <c r="D834" s="41">
        <v>2</v>
      </c>
      <c r="E834" s="41"/>
      <c r="F834" s="41">
        <v>2</v>
      </c>
      <c r="G834" s="41"/>
      <c r="H834" s="41">
        <f>+D834+E834+-F834</f>
        <v>0</v>
      </c>
      <c r="I834" s="42">
        <v>42</v>
      </c>
      <c r="J834" s="42">
        <f t="shared" si="30"/>
        <v>0</v>
      </c>
      <c r="K834" s="42"/>
      <c r="L834" s="42"/>
      <c r="M834" s="43" t="s">
        <v>454</v>
      </c>
    </row>
    <row r="835" spans="1:15" s="98" customFormat="1" ht="50.1" customHeight="1" x14ac:dyDescent="0.25">
      <c r="A835" s="39" t="s">
        <v>1181</v>
      </c>
      <c r="B835" s="40"/>
      <c r="C835" s="39" t="s">
        <v>523</v>
      </c>
      <c r="D835" s="41">
        <v>1</v>
      </c>
      <c r="E835" s="41"/>
      <c r="F835" s="41">
        <v>1</v>
      </c>
      <c r="G835" s="41"/>
      <c r="H835" s="41">
        <f>+D835+E835+-F835</f>
        <v>0</v>
      </c>
      <c r="I835" s="42">
        <v>113</v>
      </c>
      <c r="J835" s="42">
        <f t="shared" si="30"/>
        <v>0</v>
      </c>
      <c r="K835" s="42"/>
      <c r="L835" s="42"/>
      <c r="M835" s="43" t="s">
        <v>454</v>
      </c>
    </row>
    <row r="836" spans="1:15" s="98" customFormat="1" ht="50.1" customHeight="1" x14ac:dyDescent="0.25">
      <c r="A836" s="39" t="s">
        <v>1182</v>
      </c>
      <c r="B836" s="40"/>
      <c r="C836" s="39" t="s">
        <v>524</v>
      </c>
      <c r="D836" s="41">
        <v>9</v>
      </c>
      <c r="E836" s="41"/>
      <c r="F836" s="41"/>
      <c r="G836" s="41"/>
      <c r="H836" s="41">
        <f>+D836+E836+-F836</f>
        <v>9</v>
      </c>
      <c r="I836" s="42">
        <v>159</v>
      </c>
      <c r="J836" s="42">
        <f t="shared" si="30"/>
        <v>1431</v>
      </c>
      <c r="K836" s="42"/>
      <c r="L836" s="42"/>
      <c r="M836" s="43" t="s">
        <v>454</v>
      </c>
    </row>
    <row r="837" spans="1:15" s="98" customFormat="1" ht="50.1" customHeight="1" x14ac:dyDescent="0.25">
      <c r="A837" s="39" t="s">
        <v>1074</v>
      </c>
      <c r="B837" s="40"/>
      <c r="C837" s="39" t="s">
        <v>1227</v>
      </c>
      <c r="D837" s="41">
        <v>14</v>
      </c>
      <c r="E837" s="41"/>
      <c r="F837" s="41">
        <v>3</v>
      </c>
      <c r="G837" s="41"/>
      <c r="H837" s="41">
        <f>+D837+E837+-F837</f>
        <v>11</v>
      </c>
      <c r="I837" s="42">
        <v>59.02</v>
      </c>
      <c r="J837" s="42">
        <f t="shared" si="30"/>
        <v>649.22</v>
      </c>
      <c r="K837" s="42"/>
      <c r="L837" s="42"/>
      <c r="M837" s="43" t="s">
        <v>313</v>
      </c>
    </row>
    <row r="838" spans="1:15" s="98" customFormat="1" ht="50.1" customHeight="1" x14ac:dyDescent="0.25">
      <c r="A838" s="39" t="s">
        <v>1545</v>
      </c>
      <c r="B838" s="50" t="s">
        <v>1553</v>
      </c>
      <c r="C838" s="51" t="s">
        <v>1557</v>
      </c>
      <c r="D838" s="52"/>
      <c r="E838" s="52">
        <v>40</v>
      </c>
      <c r="F838" s="53">
        <f>1+1+4+1+2+2+2+1+2+3+2</f>
        <v>21</v>
      </c>
      <c r="G838" s="53"/>
      <c r="H838" s="41">
        <f>+D838+E838-F838+G838</f>
        <v>19</v>
      </c>
      <c r="I838" s="54">
        <v>200.01</v>
      </c>
      <c r="J838" s="55">
        <f t="shared" si="30"/>
        <v>3800.1899999999996</v>
      </c>
      <c r="K838" s="54"/>
      <c r="L838" s="54"/>
      <c r="M838" s="43" t="s">
        <v>20</v>
      </c>
    </row>
    <row r="839" spans="1:15" s="98" customFormat="1" ht="50.1" customHeight="1" x14ac:dyDescent="0.25">
      <c r="A839" s="39" t="s">
        <v>1546</v>
      </c>
      <c r="B839" s="50" t="s">
        <v>1553</v>
      </c>
      <c r="C839" s="51" t="s">
        <v>1558</v>
      </c>
      <c r="D839" s="52"/>
      <c r="E839" s="52">
        <v>40</v>
      </c>
      <c r="F839" s="53">
        <f>3+5+1+3+1+1+2+2</f>
        <v>18</v>
      </c>
      <c r="G839" s="53"/>
      <c r="H839" s="41">
        <f>+D839+E839-F839+G839</f>
        <v>22</v>
      </c>
      <c r="I839" s="54">
        <v>214.17</v>
      </c>
      <c r="J839" s="55">
        <f t="shared" si="30"/>
        <v>4711.74</v>
      </c>
      <c r="K839" s="54"/>
      <c r="L839" s="54"/>
      <c r="M839" s="43" t="s">
        <v>20</v>
      </c>
    </row>
    <row r="840" spans="1:15" s="98" customFormat="1" ht="50.1" customHeight="1" x14ac:dyDescent="0.25">
      <c r="A840" s="39" t="s">
        <v>1547</v>
      </c>
      <c r="B840" s="50" t="s">
        <v>1553</v>
      </c>
      <c r="C840" s="51" t="s">
        <v>1559</v>
      </c>
      <c r="D840" s="52"/>
      <c r="E840" s="53">
        <v>75</v>
      </c>
      <c r="F840" s="53">
        <v>25</v>
      </c>
      <c r="G840" s="53"/>
      <c r="H840" s="41">
        <f>+D840+E840-F840+G840</f>
        <v>50</v>
      </c>
      <c r="I840" s="54">
        <v>212.4</v>
      </c>
      <c r="J840" s="55">
        <f t="shared" si="30"/>
        <v>10620</v>
      </c>
      <c r="K840" s="54"/>
      <c r="L840" s="54"/>
      <c r="M840" s="43" t="s">
        <v>20</v>
      </c>
    </row>
    <row r="841" spans="1:15" s="98" customFormat="1" ht="50.1" customHeight="1" x14ac:dyDescent="0.25">
      <c r="A841" s="39" t="s">
        <v>819</v>
      </c>
      <c r="B841" s="105"/>
      <c r="C841" s="39" t="s">
        <v>218</v>
      </c>
      <c r="D841" s="95">
        <f>6+18+3+1</f>
        <v>28</v>
      </c>
      <c r="E841" s="41"/>
      <c r="F841" s="41"/>
      <c r="G841" s="41"/>
      <c r="H841" s="41">
        <f>+D841+E841+-F841</f>
        <v>28</v>
      </c>
      <c r="I841" s="42"/>
      <c r="J841" s="42">
        <f t="shared" si="30"/>
        <v>0</v>
      </c>
      <c r="K841" s="42"/>
      <c r="L841" s="42"/>
      <c r="M841" s="43" t="s">
        <v>169</v>
      </c>
    </row>
    <row r="842" spans="1:15" s="98" customFormat="1" ht="50.1" customHeight="1" x14ac:dyDescent="0.4">
      <c r="A842" s="39" t="s">
        <v>1150</v>
      </c>
      <c r="B842" s="40"/>
      <c r="C842" s="45" t="s">
        <v>501</v>
      </c>
      <c r="D842" s="41">
        <v>8</v>
      </c>
      <c r="E842" s="41"/>
      <c r="F842" s="41">
        <f>1+1</f>
        <v>2</v>
      </c>
      <c r="G842" s="41"/>
      <c r="H842" s="41">
        <f>+D842+E842+-F842</f>
        <v>6</v>
      </c>
      <c r="I842" s="42">
        <v>1317.47</v>
      </c>
      <c r="J842" s="42">
        <f t="shared" si="30"/>
        <v>7904.82</v>
      </c>
      <c r="K842" s="42"/>
      <c r="L842" s="42"/>
      <c r="M842" s="43" t="s">
        <v>454</v>
      </c>
      <c r="N842" s="69"/>
      <c r="O842" s="43"/>
    </row>
    <row r="843" spans="1:15" ht="27" customHeight="1" x14ac:dyDescent="0.45">
      <c r="A843" s="9"/>
      <c r="B843" s="14"/>
      <c r="C843" s="9"/>
      <c r="D843" s="18"/>
      <c r="E843" s="19"/>
      <c r="F843" s="19"/>
      <c r="G843" s="19"/>
      <c r="H843" s="21"/>
      <c r="I843" s="117">
        <f>SUM(I6:I841)</f>
        <v>946219.20180000062</v>
      </c>
      <c r="J843" s="117">
        <f t="shared" ref="J843" si="31">SUM(J6:J841)</f>
        <v>4588170.7168000005</v>
      </c>
      <c r="K843" s="23"/>
      <c r="L843" s="23"/>
      <c r="M843" s="24"/>
    </row>
    <row r="844" spans="1:15" ht="35.25" customHeight="1" x14ac:dyDescent="0.45">
      <c r="A844" s="123" t="s">
        <v>1727</v>
      </c>
      <c r="B844" s="124" t="s">
        <v>1736</v>
      </c>
      <c r="C844" s="124" t="s">
        <v>1737</v>
      </c>
      <c r="D844" s="125" t="s">
        <v>1738</v>
      </c>
      <c r="E844" s="126"/>
      <c r="F844" s="126"/>
      <c r="G844" s="126"/>
      <c r="H844" s="127" t="s">
        <v>3</v>
      </c>
      <c r="I844" s="128" t="s">
        <v>4</v>
      </c>
      <c r="J844" s="122"/>
      <c r="K844" s="23"/>
      <c r="L844" s="23"/>
      <c r="M844" s="24"/>
    </row>
    <row r="845" spans="1:15" ht="21" customHeight="1" x14ac:dyDescent="0.45">
      <c r="A845" s="81"/>
      <c r="B845" s="114"/>
      <c r="C845" s="114" t="s">
        <v>1739</v>
      </c>
      <c r="D845" s="129">
        <v>5875</v>
      </c>
      <c r="E845" s="121"/>
      <c r="F845" s="121"/>
      <c r="G845" s="121"/>
      <c r="H845" s="115">
        <v>239.1</v>
      </c>
      <c r="I845" s="116">
        <v>1404712.5</v>
      </c>
      <c r="J845" s="122"/>
      <c r="K845" s="23"/>
      <c r="L845" s="23"/>
      <c r="M845" s="24"/>
    </row>
    <row r="846" spans="1:15" ht="21" customHeight="1" x14ac:dyDescent="0.45">
      <c r="A846" s="81"/>
      <c r="B846" s="114"/>
      <c r="C846" s="114" t="s">
        <v>1740</v>
      </c>
      <c r="D846" s="129">
        <v>211</v>
      </c>
      <c r="E846" s="121"/>
      <c r="F846" s="121"/>
      <c r="G846" s="121"/>
      <c r="H846" s="115" t="s">
        <v>1741</v>
      </c>
      <c r="I846" s="129">
        <v>57500</v>
      </c>
      <c r="J846" s="122"/>
      <c r="K846" s="23"/>
      <c r="L846" s="23"/>
      <c r="M846" s="24"/>
    </row>
    <row r="847" spans="1:15" ht="21" customHeight="1" x14ac:dyDescent="0.45">
      <c r="A847" s="118"/>
      <c r="B847" s="119"/>
      <c r="C847" s="118"/>
      <c r="D847" s="120"/>
      <c r="E847" s="121"/>
      <c r="F847" s="121"/>
      <c r="G847" s="121"/>
      <c r="H847" s="115"/>
      <c r="I847" s="116">
        <f>SUM(I845:I846)</f>
        <v>1462212.5</v>
      </c>
      <c r="J847" s="122"/>
      <c r="K847" s="23"/>
      <c r="L847" s="23"/>
      <c r="M847" s="24"/>
    </row>
    <row r="848" spans="1:15" ht="29.25" customHeight="1" x14ac:dyDescent="0.45">
      <c r="A848" s="2" t="s">
        <v>563</v>
      </c>
      <c r="B848" s="2"/>
      <c r="C848" s="25"/>
      <c r="F848" s="27"/>
      <c r="G848" s="27"/>
      <c r="H848" s="2"/>
      <c r="I848" s="28"/>
      <c r="J848" s="28"/>
      <c r="K848" s="28">
        <f>SUM(K7:K842)</f>
        <v>34500.420000000006</v>
      </c>
      <c r="L848" s="28">
        <f>SUM(L7:L842)</f>
        <v>482538.94000000012</v>
      </c>
      <c r="M848" s="29"/>
    </row>
    <row r="849" spans="1:13" ht="50.1" customHeight="1" x14ac:dyDescent="0.3">
      <c r="A849" s="30" t="s">
        <v>564</v>
      </c>
      <c r="B849" s="2"/>
      <c r="C849" s="25"/>
      <c r="F849" s="27"/>
      <c r="G849" s="27"/>
      <c r="H849" s="2"/>
      <c r="I849" s="2"/>
      <c r="J849" s="2"/>
      <c r="K849"/>
      <c r="L849"/>
      <c r="M849" s="29"/>
    </row>
    <row r="850" spans="1:13" ht="61.5" customHeight="1" x14ac:dyDescent="0.3">
      <c r="A850" s="31" t="s">
        <v>1732</v>
      </c>
      <c r="B850" s="31"/>
      <c r="C850" s="25"/>
      <c r="F850" s="27"/>
      <c r="G850" s="27"/>
      <c r="H850" s="2"/>
      <c r="I850" s="2"/>
      <c r="J850" s="2"/>
      <c r="K850"/>
      <c r="L850"/>
      <c r="M850" s="29"/>
    </row>
    <row r="851" spans="1:13" ht="32.25" customHeight="1" x14ac:dyDescent="0.3">
      <c r="A851" s="2" t="s">
        <v>1219</v>
      </c>
    </row>
    <row r="852" spans="1:13" ht="24.75" customHeight="1" x14ac:dyDescent="0.3"/>
  </sheetData>
  <sortState ref="A6:M841">
    <sortCondition ref="C6:C841"/>
  </sortState>
  <mergeCells count="3">
    <mergeCell ref="C3:D3"/>
    <mergeCell ref="C4:D4"/>
    <mergeCell ref="C2:D2"/>
  </mergeCells>
  <phoneticPr fontId="9" type="noConversion"/>
  <pageMargins left="0.7" right="0.7" top="0.75" bottom="0.75" header="0.3" footer="0.3"/>
  <pageSetup paperSize="9" scale="65" orientation="landscape" verticalDpi="360" r:id="rId1"/>
  <rowBreaks count="4" manualBreakCount="4">
    <brk id="166" max="9" man="1"/>
    <brk id="336" max="9" man="1"/>
    <brk id="840" max="16383" man="1"/>
    <brk id="853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Materiales Gastable</vt:lpstr>
      <vt:lpstr>'Inventario Materiales Gastable'!Área_de_impresión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Mejia;i</dc:creator>
  <cp:lastModifiedBy>Josue Reinoso</cp:lastModifiedBy>
  <cp:lastPrinted>2025-04-15T18:51:22Z</cp:lastPrinted>
  <dcterms:created xsi:type="dcterms:W3CDTF">2024-10-21T12:47:02Z</dcterms:created>
  <dcterms:modified xsi:type="dcterms:W3CDTF">2025-04-15T18:52:09Z</dcterms:modified>
</cp:coreProperties>
</file>