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3\datos abiertos\"/>
    </mc:Choice>
  </mc:AlternateContent>
  <bookViews>
    <workbookView xWindow="0" yWindow="0" windowWidth="28800" windowHeight="12300" firstSheet="9" activeTab="18"/>
  </bookViews>
  <sheets>
    <sheet name="JULIO 2021 A SEPTIEMBRE 2021" sheetId="1" r:id="rId1"/>
    <sheet name="OCTUBRE 2021 A DICIEMBRE 2021" sheetId="2" r:id="rId2"/>
    <sheet name="ENERO 2022 A MARZO 2022" sheetId="3" r:id="rId3"/>
    <sheet name="Junio" sheetId="4" r:id="rId4"/>
    <sheet name="Julio" sheetId="5" r:id="rId5"/>
    <sheet name="Agosto" sheetId="6" r:id="rId6"/>
    <sheet name="Septiembre " sheetId="7" r:id="rId7"/>
    <sheet name="Octubre" sheetId="8" r:id="rId8"/>
    <sheet name="Noviembre " sheetId="9" r:id="rId9"/>
    <sheet name="Diciembre" sheetId="10" r:id="rId10"/>
    <sheet name="Enero 2023" sheetId="11" r:id="rId11"/>
    <sheet name="Febrero 2023" sheetId="12" r:id="rId12"/>
    <sheet name="Marzo 2023" sheetId="13" r:id="rId13"/>
    <sheet name="Abril 2023" sheetId="14" r:id="rId14"/>
    <sheet name="Mayo 2023" sheetId="15" r:id="rId15"/>
    <sheet name="Junio 2023" sheetId="16" r:id="rId16"/>
    <sheet name="Julio 2023" sheetId="17" r:id="rId17"/>
    <sheet name="Agosto 2023" sheetId="18" r:id="rId18"/>
    <sheet name="SEPTIEMBRE 2023" sheetId="19" r:id="rId19"/>
  </sheets>
  <definedNames>
    <definedName name="_xlnm._FilterDatabase" localSheetId="13" hidden="1">'Abril 2023'!$A$7:$P$447</definedName>
    <definedName name="_xlnm._FilterDatabase" localSheetId="0" hidden="1">'JULIO 2021 A SEPTIEMBRE 2021'!$A$7:$F$7</definedName>
    <definedName name="_xlnm._FilterDatabase" localSheetId="3" hidden="1">Junio!$A$9:$G$145</definedName>
    <definedName name="_xlnm._FilterDatabase" localSheetId="15" hidden="1">'Junio 2023'!$A$7:$P$473</definedName>
    <definedName name="_xlnm._FilterDatabase" localSheetId="14" hidden="1">'Mayo 2023'!$A$7:$P$472</definedName>
    <definedName name="_xlnm._FilterDatabase" localSheetId="6" hidden="1">'Septiembre '!$A$7:$N$327</definedName>
    <definedName name="_xlnm.Print_Area" localSheetId="2">'ENERO 2022 A MARZO 2022'!$A$1:$F$253</definedName>
    <definedName name="_xlnm.Print_Area" localSheetId="4">Julio!$A$1:$L$348</definedName>
    <definedName name="_xlnm.Print_Area" localSheetId="0">'JULIO 2021 A SEPTIEMBRE 2021'!$A$1:$F$260</definedName>
    <definedName name="_xlnm.Print_Area" localSheetId="18">'SEPTIEMBRE 2023'!$A$1:$Q$488</definedName>
  </definedNames>
  <calcPr calcId="162913"/>
</workbook>
</file>

<file path=xl/calcChain.xml><?xml version="1.0" encoding="utf-8"?>
<calcChain xmlns="http://schemas.openxmlformats.org/spreadsheetml/2006/main">
  <c r="L215" i="19" l="1"/>
  <c r="L293" i="19"/>
  <c r="L390" i="19"/>
  <c r="L180" i="19"/>
  <c r="L250" i="19"/>
  <c r="L323" i="19"/>
  <c r="L389" i="19"/>
  <c r="L163" i="19" l="1"/>
  <c r="L161" i="19"/>
  <c r="L391" i="19"/>
  <c r="L244" i="19"/>
  <c r="M244" i="19" s="1"/>
  <c r="P244" i="19" s="1"/>
  <c r="P475" i="18"/>
  <c r="P475" i="17"/>
  <c r="P475" i="16"/>
  <c r="M474" i="19"/>
  <c r="P474" i="19" s="1"/>
  <c r="M475" i="19"/>
  <c r="P475" i="19" s="1"/>
  <c r="M476" i="19"/>
  <c r="P473" i="19"/>
  <c r="K474" i="19"/>
  <c r="K290" i="19"/>
  <c r="K291" i="19"/>
  <c r="L403" i="19"/>
  <c r="M403" i="19" s="1"/>
  <c r="P403" i="19" s="1"/>
  <c r="M164" i="19"/>
  <c r="P164" i="19" s="1"/>
  <c r="K164" i="19"/>
  <c r="G164" i="19"/>
  <c r="P164" i="18"/>
  <c r="M164" i="18"/>
  <c r="K164" i="18"/>
  <c r="G164" i="18"/>
  <c r="M427" i="19"/>
  <c r="P427" i="19" s="1"/>
  <c r="K427" i="19"/>
  <c r="M427" i="18"/>
  <c r="P427" i="18" s="1"/>
  <c r="K427" i="18"/>
  <c r="M215" i="19"/>
  <c r="P215" i="19" s="1"/>
  <c r="G215" i="19"/>
  <c r="I161" i="19"/>
  <c r="G161" i="19"/>
  <c r="G156" i="19"/>
  <c r="M156" i="19"/>
  <c r="P156" i="19" s="1"/>
  <c r="K244" i="19"/>
  <c r="M27" i="19"/>
  <c r="P27" i="19" s="1"/>
  <c r="G27" i="19"/>
  <c r="M27" i="18"/>
  <c r="P27" i="18" s="1"/>
  <c r="G27" i="18"/>
  <c r="I161" i="18"/>
  <c r="K161" i="18" s="1"/>
  <c r="K323" i="18"/>
  <c r="I244" i="17"/>
  <c r="I161" i="17"/>
  <c r="P427" i="17"/>
  <c r="M164" i="17"/>
  <c r="P164" i="17" s="1"/>
  <c r="M215" i="18"/>
  <c r="P215" i="18" s="1"/>
  <c r="G215" i="18"/>
  <c r="P215" i="17"/>
  <c r="L326" i="19"/>
  <c r="L239" i="19"/>
  <c r="L291" i="19"/>
  <c r="L431" i="19"/>
  <c r="M431" i="19" s="1"/>
  <c r="P431" i="19" s="1"/>
  <c r="L54" i="19"/>
  <c r="M54" i="19" s="1"/>
  <c r="P54" i="19" s="1"/>
  <c r="M473" i="19"/>
  <c r="K473" i="19"/>
  <c r="M472" i="19"/>
  <c r="P472" i="19" s="1"/>
  <c r="K472" i="19"/>
  <c r="M471" i="19"/>
  <c r="P471" i="19" s="1"/>
  <c r="K471" i="19"/>
  <c r="M470" i="19"/>
  <c r="P470" i="19" s="1"/>
  <c r="K470" i="19"/>
  <c r="M469" i="19"/>
  <c r="P469" i="19" s="1"/>
  <c r="K469" i="19"/>
  <c r="M468" i="19"/>
  <c r="P468" i="19" s="1"/>
  <c r="K468" i="19"/>
  <c r="M467" i="19"/>
  <c r="P467" i="19" s="1"/>
  <c r="K467" i="19"/>
  <c r="M466" i="19"/>
  <c r="P466" i="19" s="1"/>
  <c r="K466" i="19"/>
  <c r="M465" i="19"/>
  <c r="P465" i="19" s="1"/>
  <c r="K465" i="19"/>
  <c r="M464" i="19"/>
  <c r="P464" i="19" s="1"/>
  <c r="K464" i="19"/>
  <c r="M463" i="19"/>
  <c r="P463" i="19" s="1"/>
  <c r="K463" i="19"/>
  <c r="M462" i="19"/>
  <c r="P462" i="19" s="1"/>
  <c r="K462" i="19"/>
  <c r="L461" i="19"/>
  <c r="M461" i="19" s="1"/>
  <c r="P461" i="19" s="1"/>
  <c r="K461" i="19"/>
  <c r="M460" i="19"/>
  <c r="P460" i="19" s="1"/>
  <c r="K460" i="19"/>
  <c r="M459" i="19"/>
  <c r="P459" i="19" s="1"/>
  <c r="K459" i="19"/>
  <c r="M458" i="19"/>
  <c r="P458" i="19" s="1"/>
  <c r="K458" i="19"/>
  <c r="M457" i="19"/>
  <c r="P457" i="19" s="1"/>
  <c r="K457" i="19"/>
  <c r="M456" i="19"/>
  <c r="P456" i="19" s="1"/>
  <c r="K456" i="19"/>
  <c r="M455" i="19"/>
  <c r="P455" i="19" s="1"/>
  <c r="K455" i="19"/>
  <c r="M454" i="19"/>
  <c r="P454" i="19" s="1"/>
  <c r="K454" i="19"/>
  <c r="M453" i="19"/>
  <c r="P453" i="19" s="1"/>
  <c r="K453" i="19"/>
  <c r="M452" i="19"/>
  <c r="P452" i="19" s="1"/>
  <c r="M451" i="19"/>
  <c r="P451" i="19" s="1"/>
  <c r="K451" i="19"/>
  <c r="L450" i="19"/>
  <c r="E450" i="19"/>
  <c r="M449" i="19"/>
  <c r="M448" i="19"/>
  <c r="K448" i="19"/>
  <c r="M447" i="19"/>
  <c r="M446" i="19"/>
  <c r="M445" i="19"/>
  <c r="M444" i="19"/>
  <c r="L443" i="19"/>
  <c r="M443" i="19" s="1"/>
  <c r="M442" i="19"/>
  <c r="M441" i="19"/>
  <c r="M440" i="19"/>
  <c r="M439" i="19"/>
  <c r="P439" i="19" s="1"/>
  <c r="K439" i="19"/>
  <c r="M438" i="19"/>
  <c r="P438" i="19" s="1"/>
  <c r="K438" i="19"/>
  <c r="M437" i="19"/>
  <c r="P437" i="19" s="1"/>
  <c r="K437" i="19"/>
  <c r="M436" i="19"/>
  <c r="P436" i="19" s="1"/>
  <c r="K436" i="19"/>
  <c r="M435" i="19"/>
  <c r="P435" i="19" s="1"/>
  <c r="K435" i="19"/>
  <c r="M434" i="19"/>
  <c r="P434" i="19" s="1"/>
  <c r="K434" i="19"/>
  <c r="M433" i="19"/>
  <c r="P433" i="19" s="1"/>
  <c r="K433" i="19"/>
  <c r="M432" i="19"/>
  <c r="P432" i="19" s="1"/>
  <c r="K432" i="19"/>
  <c r="G432" i="19"/>
  <c r="K431" i="19"/>
  <c r="L430" i="19"/>
  <c r="M430" i="19" s="1"/>
  <c r="P430" i="19" s="1"/>
  <c r="K430" i="19"/>
  <c r="M429" i="19"/>
  <c r="P429" i="19" s="1"/>
  <c r="K429" i="19"/>
  <c r="M428" i="19"/>
  <c r="P428" i="19" s="1"/>
  <c r="K428" i="19"/>
  <c r="L426" i="19"/>
  <c r="I426" i="19"/>
  <c r="M425" i="19"/>
  <c r="P425" i="19" s="1"/>
  <c r="K425" i="19"/>
  <c r="M424" i="19"/>
  <c r="P424" i="19" s="1"/>
  <c r="K424" i="19"/>
  <c r="M423" i="19"/>
  <c r="P423" i="19" s="1"/>
  <c r="K423" i="19"/>
  <c r="M422" i="19"/>
  <c r="P422" i="19" s="1"/>
  <c r="K422" i="19"/>
  <c r="M421" i="19"/>
  <c r="P421" i="19" s="1"/>
  <c r="K421" i="19"/>
  <c r="M420" i="19"/>
  <c r="P420" i="19" s="1"/>
  <c r="K420" i="19"/>
  <c r="M419" i="19"/>
  <c r="P419" i="19" s="1"/>
  <c r="K419" i="19"/>
  <c r="M418" i="19"/>
  <c r="P418" i="19" s="1"/>
  <c r="K418" i="19"/>
  <c r="M417" i="19"/>
  <c r="P417" i="19" s="1"/>
  <c r="K417" i="19"/>
  <c r="M416" i="19"/>
  <c r="P416" i="19" s="1"/>
  <c r="K416" i="19"/>
  <c r="M415" i="19"/>
  <c r="P415" i="19" s="1"/>
  <c r="K415" i="19"/>
  <c r="M414" i="19"/>
  <c r="P414" i="19" s="1"/>
  <c r="K414" i="19"/>
  <c r="M413" i="19"/>
  <c r="P413" i="19" s="1"/>
  <c r="K413" i="19"/>
  <c r="M412" i="19"/>
  <c r="P412" i="19" s="1"/>
  <c r="K412" i="19"/>
  <c r="M411" i="19"/>
  <c r="P411" i="19" s="1"/>
  <c r="K411" i="19"/>
  <c r="M410" i="19"/>
  <c r="P410" i="19" s="1"/>
  <c r="K410" i="19"/>
  <c r="M409" i="19"/>
  <c r="P409" i="19" s="1"/>
  <c r="K409" i="19"/>
  <c r="M408" i="19"/>
  <c r="P408" i="19" s="1"/>
  <c r="K408" i="19"/>
  <c r="M407" i="19"/>
  <c r="P407" i="19" s="1"/>
  <c r="K407" i="19"/>
  <c r="M406" i="19"/>
  <c r="P406" i="19" s="1"/>
  <c r="K406" i="19"/>
  <c r="M405" i="19"/>
  <c r="P405" i="19" s="1"/>
  <c r="K405" i="19"/>
  <c r="M404" i="19"/>
  <c r="P404" i="19" s="1"/>
  <c r="K404" i="19"/>
  <c r="K403" i="19"/>
  <c r="M402" i="19"/>
  <c r="P402" i="19" s="1"/>
  <c r="K402" i="19"/>
  <c r="M401" i="19"/>
  <c r="P401" i="19" s="1"/>
  <c r="K401" i="19"/>
  <c r="M400" i="19"/>
  <c r="P400" i="19" s="1"/>
  <c r="K400" i="19"/>
  <c r="M399" i="19"/>
  <c r="P399" i="19" s="1"/>
  <c r="K399" i="19"/>
  <c r="M398" i="19"/>
  <c r="P398" i="19" s="1"/>
  <c r="K398" i="19"/>
  <c r="M397" i="19"/>
  <c r="P397" i="19" s="1"/>
  <c r="K397" i="19"/>
  <c r="M396" i="19"/>
  <c r="P396" i="19" s="1"/>
  <c r="K396" i="19"/>
  <c r="M395" i="19"/>
  <c r="P395" i="19" s="1"/>
  <c r="K395" i="19"/>
  <c r="M394" i="19"/>
  <c r="P394" i="19" s="1"/>
  <c r="K394" i="19"/>
  <c r="I393" i="19"/>
  <c r="M393" i="19" s="1"/>
  <c r="P393" i="19" s="1"/>
  <c r="I392" i="19"/>
  <c r="M392" i="19" s="1"/>
  <c r="P392" i="19" s="1"/>
  <c r="I391" i="19"/>
  <c r="K391" i="19" s="1"/>
  <c r="I390" i="19"/>
  <c r="K390" i="19" s="1"/>
  <c r="I389" i="19"/>
  <c r="L388" i="19"/>
  <c r="M388" i="19" s="1"/>
  <c r="P388" i="19" s="1"/>
  <c r="K388" i="19"/>
  <c r="M387" i="19"/>
  <c r="P387" i="19" s="1"/>
  <c r="M386" i="19"/>
  <c r="P386" i="19" s="1"/>
  <c r="M385" i="19"/>
  <c r="P385" i="19" s="1"/>
  <c r="M384" i="19"/>
  <c r="P384" i="19" s="1"/>
  <c r="K384" i="19"/>
  <c r="M383" i="19"/>
  <c r="P383" i="19" s="1"/>
  <c r="K383" i="19"/>
  <c r="M382" i="19"/>
  <c r="P382" i="19" s="1"/>
  <c r="K382" i="19"/>
  <c r="M381" i="19"/>
  <c r="P381" i="19" s="1"/>
  <c r="K381" i="19"/>
  <c r="M380" i="19"/>
  <c r="P380" i="19" s="1"/>
  <c r="K380" i="19"/>
  <c r="M379" i="19"/>
  <c r="P379" i="19" s="1"/>
  <c r="K379" i="19"/>
  <c r="M378" i="19"/>
  <c r="P378" i="19" s="1"/>
  <c r="K378" i="19"/>
  <c r="M377" i="19"/>
  <c r="P377" i="19" s="1"/>
  <c r="K377" i="19"/>
  <c r="M376" i="19"/>
  <c r="P376" i="19" s="1"/>
  <c r="K376" i="19"/>
  <c r="M375" i="19"/>
  <c r="P375" i="19" s="1"/>
  <c r="K375" i="19"/>
  <c r="M374" i="19"/>
  <c r="P374" i="19" s="1"/>
  <c r="K374" i="19"/>
  <c r="M373" i="19"/>
  <c r="P373" i="19" s="1"/>
  <c r="K373" i="19"/>
  <c r="M372" i="19"/>
  <c r="P372" i="19" s="1"/>
  <c r="K372" i="19"/>
  <c r="M371" i="19"/>
  <c r="P371" i="19" s="1"/>
  <c r="K371" i="19"/>
  <c r="M370" i="19"/>
  <c r="P370" i="19" s="1"/>
  <c r="K370" i="19"/>
  <c r="M369" i="19"/>
  <c r="P369" i="19" s="1"/>
  <c r="K369" i="19"/>
  <c r="M368" i="19"/>
  <c r="P368" i="19" s="1"/>
  <c r="K368" i="19"/>
  <c r="M367" i="19"/>
  <c r="P367" i="19" s="1"/>
  <c r="K367" i="19"/>
  <c r="L366" i="19"/>
  <c r="I366" i="19"/>
  <c r="K366" i="19" s="1"/>
  <c r="M365" i="19"/>
  <c r="P365" i="19" s="1"/>
  <c r="K365" i="19"/>
  <c r="M364" i="19"/>
  <c r="P364" i="19" s="1"/>
  <c r="K364" i="19"/>
  <c r="M363" i="19"/>
  <c r="P363" i="19" s="1"/>
  <c r="K363" i="19"/>
  <c r="M362" i="19"/>
  <c r="P362" i="19" s="1"/>
  <c r="K362" i="19"/>
  <c r="M361" i="19"/>
  <c r="P361" i="19" s="1"/>
  <c r="K361" i="19"/>
  <c r="M360" i="19"/>
  <c r="P360" i="19" s="1"/>
  <c r="K360" i="19"/>
  <c r="M359" i="19"/>
  <c r="P359" i="19" s="1"/>
  <c r="K359" i="19"/>
  <c r="M358" i="19"/>
  <c r="P358" i="19" s="1"/>
  <c r="K358" i="19"/>
  <c r="M357" i="19"/>
  <c r="P357" i="19" s="1"/>
  <c r="K357" i="19"/>
  <c r="M356" i="19"/>
  <c r="P356" i="19" s="1"/>
  <c r="K356" i="19"/>
  <c r="M355" i="19"/>
  <c r="P355" i="19" s="1"/>
  <c r="K355" i="19"/>
  <c r="M354" i="19"/>
  <c r="P354" i="19" s="1"/>
  <c r="K354" i="19"/>
  <c r="M353" i="19"/>
  <c r="P353" i="19" s="1"/>
  <c r="K353" i="19"/>
  <c r="M352" i="19"/>
  <c r="P352" i="19" s="1"/>
  <c r="K352" i="19"/>
  <c r="M351" i="19"/>
  <c r="P351" i="19" s="1"/>
  <c r="K351" i="19"/>
  <c r="M350" i="19"/>
  <c r="P350" i="19" s="1"/>
  <c r="K350" i="19"/>
  <c r="M349" i="19"/>
  <c r="P349" i="19" s="1"/>
  <c r="K349" i="19"/>
  <c r="M348" i="19"/>
  <c r="P348" i="19" s="1"/>
  <c r="K348" i="19"/>
  <c r="M347" i="19"/>
  <c r="P347" i="19" s="1"/>
  <c r="K347" i="19"/>
  <c r="M346" i="19"/>
  <c r="P346" i="19" s="1"/>
  <c r="K346" i="19"/>
  <c r="M345" i="19"/>
  <c r="P345" i="19" s="1"/>
  <c r="K345" i="19"/>
  <c r="L344" i="19"/>
  <c r="I344" i="19"/>
  <c r="M343" i="19"/>
  <c r="P343" i="19" s="1"/>
  <c r="K343" i="19"/>
  <c r="M342" i="19"/>
  <c r="P342" i="19" s="1"/>
  <c r="K342" i="19"/>
  <c r="M341" i="19"/>
  <c r="J341" i="19"/>
  <c r="K341" i="19" s="1"/>
  <c r="M340" i="19"/>
  <c r="J340" i="19"/>
  <c r="K340" i="19" s="1"/>
  <c r="M339" i="19"/>
  <c r="K339" i="19"/>
  <c r="F339" i="19"/>
  <c r="M338" i="19"/>
  <c r="J338" i="19"/>
  <c r="K338" i="19" s="1"/>
  <c r="M337" i="19"/>
  <c r="J337" i="19"/>
  <c r="F337" i="19" s="1"/>
  <c r="L336" i="19"/>
  <c r="M336" i="19" s="1"/>
  <c r="J336" i="19"/>
  <c r="K336" i="19" s="1"/>
  <c r="F336" i="19"/>
  <c r="M335" i="19"/>
  <c r="J335" i="19"/>
  <c r="F335" i="19" s="1"/>
  <c r="M334" i="19"/>
  <c r="J334" i="19"/>
  <c r="K334" i="19" s="1"/>
  <c r="M333" i="19"/>
  <c r="J333" i="19"/>
  <c r="K333" i="19" s="1"/>
  <c r="M332" i="19"/>
  <c r="K332" i="19"/>
  <c r="F332" i="19"/>
  <c r="M331" i="19"/>
  <c r="P331" i="19" s="1"/>
  <c r="K331" i="19"/>
  <c r="M330" i="19"/>
  <c r="P330" i="19" s="1"/>
  <c r="L329" i="19"/>
  <c r="M329" i="19" s="1"/>
  <c r="P329" i="19" s="1"/>
  <c r="K329" i="19"/>
  <c r="M328" i="19"/>
  <c r="P328" i="19" s="1"/>
  <c r="K328" i="19"/>
  <c r="L327" i="19"/>
  <c r="M327" i="19" s="1"/>
  <c r="P327" i="19" s="1"/>
  <c r="K327" i="19"/>
  <c r="I326" i="19"/>
  <c r="K326" i="19" s="1"/>
  <c r="L325" i="19"/>
  <c r="M325" i="19" s="1"/>
  <c r="P325" i="19" s="1"/>
  <c r="K325" i="19"/>
  <c r="M324" i="19"/>
  <c r="P324" i="19" s="1"/>
  <c r="K324" i="19"/>
  <c r="I323" i="19"/>
  <c r="M323" i="19" s="1"/>
  <c r="P323" i="19" s="1"/>
  <c r="M322" i="19"/>
  <c r="P322" i="19" s="1"/>
  <c r="M321" i="19"/>
  <c r="P321" i="19" s="1"/>
  <c r="M320" i="19"/>
  <c r="P320" i="19" s="1"/>
  <c r="M319" i="19"/>
  <c r="P319" i="19" s="1"/>
  <c r="G319" i="19"/>
  <c r="L318" i="19"/>
  <c r="M318" i="19" s="1"/>
  <c r="P318" i="19" s="1"/>
  <c r="L317" i="19"/>
  <c r="M317" i="19" s="1"/>
  <c r="P317" i="19" s="1"/>
  <c r="L316" i="19"/>
  <c r="M316" i="19" s="1"/>
  <c r="P316" i="19" s="1"/>
  <c r="K316" i="19"/>
  <c r="M315" i="19"/>
  <c r="P315" i="19" s="1"/>
  <c r="E314" i="19"/>
  <c r="M314" i="19" s="1"/>
  <c r="P314" i="19" s="1"/>
  <c r="M313" i="19"/>
  <c r="P313" i="19" s="1"/>
  <c r="M312" i="19"/>
  <c r="P312" i="19" s="1"/>
  <c r="M311" i="19"/>
  <c r="P311" i="19" s="1"/>
  <c r="G311" i="19"/>
  <c r="M310" i="19"/>
  <c r="P310" i="19" s="1"/>
  <c r="G310" i="19"/>
  <c r="E309" i="19"/>
  <c r="M309" i="19" s="1"/>
  <c r="P309" i="19" s="1"/>
  <c r="M308" i="19"/>
  <c r="P308" i="19" s="1"/>
  <c r="G308" i="19"/>
  <c r="M307" i="19"/>
  <c r="P307" i="19" s="1"/>
  <c r="G307" i="19"/>
  <c r="M306" i="19"/>
  <c r="P306" i="19" s="1"/>
  <c r="G306" i="19"/>
  <c r="M305" i="19"/>
  <c r="P305" i="19" s="1"/>
  <c r="G305" i="19"/>
  <c r="M304" i="19"/>
  <c r="P304" i="19" s="1"/>
  <c r="G304" i="19"/>
  <c r="L303" i="19"/>
  <c r="M303" i="19" s="1"/>
  <c r="P303" i="19" s="1"/>
  <c r="K303" i="19"/>
  <c r="G303" i="19"/>
  <c r="M302" i="19"/>
  <c r="P302" i="19" s="1"/>
  <c r="G302" i="19"/>
  <c r="M301" i="19"/>
  <c r="P301" i="19" s="1"/>
  <c r="G301" i="19"/>
  <c r="M300" i="19"/>
  <c r="P300" i="19" s="1"/>
  <c r="G300" i="19"/>
  <c r="M299" i="19"/>
  <c r="P299" i="19" s="1"/>
  <c r="G299" i="19"/>
  <c r="M298" i="19"/>
  <c r="P298" i="19" s="1"/>
  <c r="G298" i="19"/>
  <c r="M297" i="19"/>
  <c r="P297" i="19" s="1"/>
  <c r="G297" i="19"/>
  <c r="E296" i="19"/>
  <c r="M296" i="19" s="1"/>
  <c r="P296" i="19" s="1"/>
  <c r="M295" i="19"/>
  <c r="P295" i="19" s="1"/>
  <c r="G295" i="19"/>
  <c r="M294" i="19"/>
  <c r="P294" i="19" s="1"/>
  <c r="G294" i="19"/>
  <c r="E293" i="19"/>
  <c r="G293" i="19" s="1"/>
  <c r="M292" i="19"/>
  <c r="P292" i="19" s="1"/>
  <c r="G292" i="19"/>
  <c r="E291" i="19"/>
  <c r="G291" i="19" s="1"/>
  <c r="M290" i="19"/>
  <c r="P290" i="19" s="1"/>
  <c r="G290" i="19"/>
  <c r="K289" i="19"/>
  <c r="E289" i="19"/>
  <c r="G289" i="19" s="1"/>
  <c r="M288" i="19"/>
  <c r="P288" i="19" s="1"/>
  <c r="M287" i="19"/>
  <c r="P287" i="19" s="1"/>
  <c r="M286" i="19"/>
  <c r="P286" i="19" s="1"/>
  <c r="G286" i="19"/>
  <c r="M285" i="19"/>
  <c r="P285" i="19" s="1"/>
  <c r="G285" i="19"/>
  <c r="M284" i="19"/>
  <c r="P284" i="19" s="1"/>
  <c r="G284" i="19"/>
  <c r="M283" i="19"/>
  <c r="P283" i="19" s="1"/>
  <c r="G283" i="19"/>
  <c r="M282" i="19"/>
  <c r="P282" i="19" s="1"/>
  <c r="G282" i="19"/>
  <c r="M281" i="19"/>
  <c r="P281" i="19" s="1"/>
  <c r="G281" i="19"/>
  <c r="M280" i="19"/>
  <c r="P280" i="19" s="1"/>
  <c r="G280" i="19"/>
  <c r="M279" i="19"/>
  <c r="P279" i="19" s="1"/>
  <c r="G279" i="19"/>
  <c r="M278" i="19"/>
  <c r="P278" i="19" s="1"/>
  <c r="G278" i="19"/>
  <c r="M277" i="19"/>
  <c r="P277" i="19" s="1"/>
  <c r="G277" i="19"/>
  <c r="M276" i="19"/>
  <c r="P276" i="19" s="1"/>
  <c r="G276" i="19"/>
  <c r="M275" i="19"/>
  <c r="P275" i="19" s="1"/>
  <c r="K275" i="19"/>
  <c r="G275" i="19"/>
  <c r="M274" i="19"/>
  <c r="P274" i="19" s="1"/>
  <c r="G274" i="19"/>
  <c r="M273" i="19"/>
  <c r="P273" i="19" s="1"/>
  <c r="M272" i="19"/>
  <c r="P272" i="19" s="1"/>
  <c r="G272" i="19"/>
  <c r="M271" i="19"/>
  <c r="P271" i="19" s="1"/>
  <c r="G271" i="19"/>
  <c r="L270" i="19"/>
  <c r="I270" i="19"/>
  <c r="G270" i="19"/>
  <c r="M269" i="19"/>
  <c r="P269" i="19" s="1"/>
  <c r="K269" i="19"/>
  <c r="G269" i="19"/>
  <c r="M268" i="19"/>
  <c r="P268" i="19" s="1"/>
  <c r="K268" i="19"/>
  <c r="G268" i="19"/>
  <c r="M267" i="19"/>
  <c r="P267" i="19" s="1"/>
  <c r="K267" i="19"/>
  <c r="G267" i="19"/>
  <c r="M266" i="19"/>
  <c r="P266" i="19" s="1"/>
  <c r="G266" i="19"/>
  <c r="M265" i="19"/>
  <c r="P265" i="19" s="1"/>
  <c r="G265" i="19"/>
  <c r="M264" i="19"/>
  <c r="P264" i="19" s="1"/>
  <c r="G264" i="19"/>
  <c r="M263" i="19"/>
  <c r="P263" i="19" s="1"/>
  <c r="G263" i="19"/>
  <c r="M262" i="19"/>
  <c r="P262" i="19" s="1"/>
  <c r="G262" i="19"/>
  <c r="M261" i="19"/>
  <c r="P261" i="19" s="1"/>
  <c r="G261" i="19"/>
  <c r="M260" i="19"/>
  <c r="P260" i="19" s="1"/>
  <c r="G260" i="19"/>
  <c r="M259" i="19"/>
  <c r="P259" i="19" s="1"/>
  <c r="G259" i="19"/>
  <c r="M258" i="19"/>
  <c r="P258" i="19" s="1"/>
  <c r="G258" i="19"/>
  <c r="M257" i="19"/>
  <c r="P257" i="19" s="1"/>
  <c r="G257" i="19"/>
  <c r="M256" i="19"/>
  <c r="P256" i="19" s="1"/>
  <c r="G256" i="19"/>
  <c r="M255" i="19"/>
  <c r="P255" i="19" s="1"/>
  <c r="G255" i="19"/>
  <c r="M254" i="19"/>
  <c r="P254" i="19" s="1"/>
  <c r="G254" i="19"/>
  <c r="M253" i="19"/>
  <c r="P253" i="19" s="1"/>
  <c r="G253" i="19"/>
  <c r="M252" i="19"/>
  <c r="P252" i="19" s="1"/>
  <c r="G252" i="19"/>
  <c r="L251" i="19"/>
  <c r="K251" i="19"/>
  <c r="E251" i="19"/>
  <c r="G251" i="19" s="1"/>
  <c r="I250" i="19"/>
  <c r="K250" i="19" s="1"/>
  <c r="G250" i="19"/>
  <c r="M249" i="19"/>
  <c r="P249" i="19" s="1"/>
  <c r="K249" i="19"/>
  <c r="G249" i="19"/>
  <c r="M248" i="19"/>
  <c r="P248" i="19" s="1"/>
  <c r="K248" i="19"/>
  <c r="G248" i="19"/>
  <c r="M247" i="19"/>
  <c r="P247" i="19" s="1"/>
  <c r="K247" i="19"/>
  <c r="G247" i="19"/>
  <c r="L246" i="19"/>
  <c r="M246" i="19" s="1"/>
  <c r="P246" i="19" s="1"/>
  <c r="K246" i="19"/>
  <c r="G246" i="19"/>
  <c r="M245" i="19"/>
  <c r="P245" i="19" s="1"/>
  <c r="K245" i="19"/>
  <c r="G245" i="19"/>
  <c r="M243" i="19"/>
  <c r="P243" i="19" s="1"/>
  <c r="K243" i="19"/>
  <c r="G243" i="19"/>
  <c r="M242" i="19"/>
  <c r="P242" i="19" s="1"/>
  <c r="K242" i="19"/>
  <c r="G242" i="19"/>
  <c r="I241" i="19"/>
  <c r="M241" i="19" s="1"/>
  <c r="P241" i="19" s="1"/>
  <c r="G241" i="19"/>
  <c r="M240" i="19"/>
  <c r="P240" i="19" s="1"/>
  <c r="K240" i="19"/>
  <c r="G240" i="19"/>
  <c r="M239" i="19"/>
  <c r="P239" i="19" s="1"/>
  <c r="K239" i="19"/>
  <c r="G239" i="19"/>
  <c r="M238" i="19"/>
  <c r="P238" i="19" s="1"/>
  <c r="G238" i="19"/>
  <c r="M237" i="19"/>
  <c r="P237" i="19" s="1"/>
  <c r="G237" i="19"/>
  <c r="M236" i="19"/>
  <c r="P236" i="19" s="1"/>
  <c r="G236" i="19"/>
  <c r="M235" i="19"/>
  <c r="P235" i="19" s="1"/>
  <c r="G235" i="19"/>
  <c r="M234" i="19"/>
  <c r="P234" i="19" s="1"/>
  <c r="G234" i="19"/>
  <c r="L233" i="19"/>
  <c r="M233" i="19" s="1"/>
  <c r="P233" i="19" s="1"/>
  <c r="K233" i="19"/>
  <c r="G233" i="19"/>
  <c r="M232" i="19"/>
  <c r="P232" i="19" s="1"/>
  <c r="G232" i="19"/>
  <c r="M231" i="19"/>
  <c r="P231" i="19" s="1"/>
  <c r="G231" i="19"/>
  <c r="M230" i="19"/>
  <c r="P230" i="19" s="1"/>
  <c r="G230" i="19"/>
  <c r="M229" i="19"/>
  <c r="P229" i="19" s="1"/>
  <c r="G229" i="19"/>
  <c r="M228" i="19"/>
  <c r="P228" i="19" s="1"/>
  <c r="G228" i="19"/>
  <c r="M227" i="19"/>
  <c r="P227" i="19" s="1"/>
  <c r="G227" i="19"/>
  <c r="M226" i="19"/>
  <c r="P226" i="19" s="1"/>
  <c r="G226" i="19"/>
  <c r="M225" i="19"/>
  <c r="P225" i="19" s="1"/>
  <c r="G225" i="19"/>
  <c r="M224" i="19"/>
  <c r="P224" i="19" s="1"/>
  <c r="G224" i="19"/>
  <c r="M223" i="19"/>
  <c r="P223" i="19" s="1"/>
  <c r="G223" i="19"/>
  <c r="M222" i="19"/>
  <c r="P222" i="19" s="1"/>
  <c r="G222" i="19"/>
  <c r="M221" i="19"/>
  <c r="P221" i="19" s="1"/>
  <c r="G221" i="19"/>
  <c r="M220" i="19"/>
  <c r="P220" i="19" s="1"/>
  <c r="G220" i="19"/>
  <c r="E219" i="19"/>
  <c r="G219" i="19" s="1"/>
  <c r="E218" i="19"/>
  <c r="G218" i="19" s="1"/>
  <c r="M217" i="19"/>
  <c r="P217" i="19" s="1"/>
  <c r="G217" i="19"/>
  <c r="M216" i="19"/>
  <c r="P216" i="19" s="1"/>
  <c r="G216" i="19"/>
  <c r="M214" i="19"/>
  <c r="P214" i="19" s="1"/>
  <c r="G214" i="19"/>
  <c r="M213" i="19"/>
  <c r="P213" i="19" s="1"/>
  <c r="G213" i="19"/>
  <c r="M212" i="19"/>
  <c r="P212" i="19" s="1"/>
  <c r="G212" i="19"/>
  <c r="M211" i="19"/>
  <c r="P211" i="19" s="1"/>
  <c r="G211" i="19"/>
  <c r="M210" i="19"/>
  <c r="P210" i="19" s="1"/>
  <c r="G210" i="19"/>
  <c r="M209" i="19"/>
  <c r="P209" i="19" s="1"/>
  <c r="G209" i="19"/>
  <c r="M208" i="19"/>
  <c r="P208" i="19" s="1"/>
  <c r="G208" i="19"/>
  <c r="M207" i="19"/>
  <c r="P207" i="19" s="1"/>
  <c r="G207" i="19"/>
  <c r="M206" i="19"/>
  <c r="P206" i="19" s="1"/>
  <c r="G206" i="19"/>
  <c r="M205" i="19"/>
  <c r="P205" i="19" s="1"/>
  <c r="G205" i="19"/>
  <c r="M204" i="19"/>
  <c r="P204" i="19" s="1"/>
  <c r="G204" i="19"/>
  <c r="M203" i="19"/>
  <c r="P203" i="19" s="1"/>
  <c r="G203" i="19"/>
  <c r="M202" i="19"/>
  <c r="P202" i="19" s="1"/>
  <c r="G202" i="19"/>
  <c r="M201" i="19"/>
  <c r="P201" i="19" s="1"/>
  <c r="M200" i="19"/>
  <c r="P200" i="19" s="1"/>
  <c r="K200" i="19"/>
  <c r="G200" i="19"/>
  <c r="M199" i="19"/>
  <c r="P199" i="19" s="1"/>
  <c r="M198" i="19"/>
  <c r="P198" i="19" s="1"/>
  <c r="K198" i="19"/>
  <c r="G198" i="19"/>
  <c r="M197" i="19"/>
  <c r="P197" i="19" s="1"/>
  <c r="G197" i="19"/>
  <c r="L196" i="19"/>
  <c r="I196" i="19"/>
  <c r="G196" i="19"/>
  <c r="E195" i="19"/>
  <c r="M195" i="19" s="1"/>
  <c r="P195" i="19" s="1"/>
  <c r="M194" i="19"/>
  <c r="P194" i="19" s="1"/>
  <c r="G194" i="19"/>
  <c r="L193" i="19"/>
  <c r="I193" i="19"/>
  <c r="K193" i="19" s="1"/>
  <c r="E193" i="19"/>
  <c r="M192" i="19"/>
  <c r="P192" i="19" s="1"/>
  <c r="G192" i="19"/>
  <c r="M191" i="19"/>
  <c r="P191" i="19" s="1"/>
  <c r="G191" i="19"/>
  <c r="M190" i="19"/>
  <c r="P190" i="19" s="1"/>
  <c r="G190" i="19"/>
  <c r="M189" i="19"/>
  <c r="P189" i="19" s="1"/>
  <c r="G189" i="19"/>
  <c r="M188" i="19"/>
  <c r="P188" i="19" s="1"/>
  <c r="G188" i="19"/>
  <c r="M187" i="19"/>
  <c r="P187" i="19" s="1"/>
  <c r="G187" i="19"/>
  <c r="M186" i="19"/>
  <c r="P186" i="19" s="1"/>
  <c r="G186" i="19"/>
  <c r="M185" i="19"/>
  <c r="P185" i="19" s="1"/>
  <c r="G185" i="19"/>
  <c r="M184" i="19"/>
  <c r="P184" i="19" s="1"/>
  <c r="G184" i="19"/>
  <c r="E183" i="19"/>
  <c r="M183" i="19" s="1"/>
  <c r="P183" i="19" s="1"/>
  <c r="E182" i="19"/>
  <c r="G182" i="19" s="1"/>
  <c r="M181" i="19"/>
  <c r="P181" i="19" s="1"/>
  <c r="G181" i="19"/>
  <c r="I180" i="19"/>
  <c r="M180" i="19" s="1"/>
  <c r="P180" i="19" s="1"/>
  <c r="G180" i="19"/>
  <c r="L179" i="19"/>
  <c r="I179" i="19"/>
  <c r="M179" i="19" s="1"/>
  <c r="P179" i="19" s="1"/>
  <c r="G179" i="19"/>
  <c r="M178" i="19"/>
  <c r="P178" i="19" s="1"/>
  <c r="G178" i="19"/>
  <c r="E177" i="19"/>
  <c r="G177" i="19" s="1"/>
  <c r="M176" i="19"/>
  <c r="P176" i="19" s="1"/>
  <c r="G176" i="19"/>
  <c r="M175" i="19"/>
  <c r="P175" i="19" s="1"/>
  <c r="G175" i="19"/>
  <c r="M174" i="19"/>
  <c r="P174" i="19" s="1"/>
  <c r="G174" i="19"/>
  <c r="M173" i="19"/>
  <c r="P173" i="19" s="1"/>
  <c r="K173" i="19"/>
  <c r="G173" i="19"/>
  <c r="K172" i="19"/>
  <c r="E172" i="19"/>
  <c r="M172" i="19" s="1"/>
  <c r="P172" i="19" s="1"/>
  <c r="M171" i="19"/>
  <c r="P171" i="19" s="1"/>
  <c r="K171" i="19"/>
  <c r="G171" i="19"/>
  <c r="L170" i="19"/>
  <c r="M170" i="19" s="1"/>
  <c r="P170" i="19" s="1"/>
  <c r="K170" i="19"/>
  <c r="G170" i="19"/>
  <c r="M169" i="19"/>
  <c r="P169" i="19" s="1"/>
  <c r="K169" i="19"/>
  <c r="G169" i="19"/>
  <c r="L168" i="19"/>
  <c r="M168" i="19" s="1"/>
  <c r="P168" i="19" s="1"/>
  <c r="G168" i="19"/>
  <c r="M167" i="19"/>
  <c r="P167" i="19" s="1"/>
  <c r="M166" i="19"/>
  <c r="P166" i="19" s="1"/>
  <c r="K166" i="19"/>
  <c r="K165" i="19"/>
  <c r="E165" i="19"/>
  <c r="M165" i="19" s="1"/>
  <c r="P165" i="19" s="1"/>
  <c r="K163" i="19"/>
  <c r="E163" i="19"/>
  <c r="I162" i="19"/>
  <c r="K162" i="19" s="1"/>
  <c r="E162" i="19"/>
  <c r="G162" i="19" s="1"/>
  <c r="E160" i="19"/>
  <c r="M160" i="19" s="1"/>
  <c r="P160" i="19" s="1"/>
  <c r="M159" i="19"/>
  <c r="P159" i="19" s="1"/>
  <c r="G159" i="19"/>
  <c r="M158" i="19"/>
  <c r="P158" i="19" s="1"/>
  <c r="G158" i="19"/>
  <c r="L157" i="19"/>
  <c r="I157" i="19"/>
  <c r="G157" i="19"/>
  <c r="M155" i="19"/>
  <c r="P155" i="19" s="1"/>
  <c r="G155" i="19"/>
  <c r="M154" i="19"/>
  <c r="P154" i="19" s="1"/>
  <c r="G154" i="19"/>
  <c r="M153" i="19"/>
  <c r="P153" i="19" s="1"/>
  <c r="G153" i="19"/>
  <c r="M152" i="19"/>
  <c r="P152" i="19" s="1"/>
  <c r="M151" i="19"/>
  <c r="P151" i="19" s="1"/>
  <c r="G151" i="19"/>
  <c r="M150" i="19"/>
  <c r="P150" i="19" s="1"/>
  <c r="G150" i="19"/>
  <c r="M149" i="19"/>
  <c r="P149" i="19" s="1"/>
  <c r="E148" i="19"/>
  <c r="M148" i="19" s="1"/>
  <c r="P148" i="19" s="1"/>
  <c r="M147" i="19"/>
  <c r="P147" i="19" s="1"/>
  <c r="G147" i="19"/>
  <c r="M146" i="19"/>
  <c r="P146" i="19" s="1"/>
  <c r="G146" i="19"/>
  <c r="M145" i="19"/>
  <c r="P145" i="19" s="1"/>
  <c r="M144" i="19"/>
  <c r="P144" i="19" s="1"/>
  <c r="M143" i="19"/>
  <c r="P143" i="19" s="1"/>
  <c r="G143" i="19"/>
  <c r="M142" i="19"/>
  <c r="P142" i="19" s="1"/>
  <c r="M141" i="19"/>
  <c r="P141" i="19" s="1"/>
  <c r="G141" i="19"/>
  <c r="M140" i="19"/>
  <c r="P140" i="19" s="1"/>
  <c r="G140" i="19"/>
  <c r="I139" i="19"/>
  <c r="M139" i="19" s="1"/>
  <c r="P139" i="19" s="1"/>
  <c r="G139" i="19"/>
  <c r="E138" i="19"/>
  <c r="M138" i="19" s="1"/>
  <c r="P138" i="19" s="1"/>
  <c r="M137" i="19"/>
  <c r="P137" i="19" s="1"/>
  <c r="G137" i="19"/>
  <c r="M136" i="19"/>
  <c r="P136" i="19" s="1"/>
  <c r="G136" i="19"/>
  <c r="E135" i="19"/>
  <c r="M135" i="19" s="1"/>
  <c r="P135" i="19" s="1"/>
  <c r="M134" i="19"/>
  <c r="P134" i="19" s="1"/>
  <c r="G134" i="19"/>
  <c r="E133" i="19"/>
  <c r="M133" i="19" s="1"/>
  <c r="P133" i="19" s="1"/>
  <c r="M132" i="19"/>
  <c r="P132" i="19" s="1"/>
  <c r="G132" i="19"/>
  <c r="M131" i="19"/>
  <c r="P131" i="19" s="1"/>
  <c r="G131" i="19"/>
  <c r="L130" i="19"/>
  <c r="E130" i="19"/>
  <c r="M129" i="19"/>
  <c r="P129" i="19" s="1"/>
  <c r="G129" i="19"/>
  <c r="M128" i="19"/>
  <c r="P128" i="19" s="1"/>
  <c r="G128" i="19"/>
  <c r="M127" i="19"/>
  <c r="P127" i="19" s="1"/>
  <c r="G127" i="19"/>
  <c r="M126" i="19"/>
  <c r="P126" i="19" s="1"/>
  <c r="G126" i="19"/>
  <c r="M125" i="19"/>
  <c r="P125" i="19" s="1"/>
  <c r="G125" i="19"/>
  <c r="L124" i="19"/>
  <c r="M124" i="19" s="1"/>
  <c r="P124" i="19" s="1"/>
  <c r="G124" i="19"/>
  <c r="M123" i="19"/>
  <c r="P123" i="19" s="1"/>
  <c r="G123" i="19"/>
  <c r="M122" i="19"/>
  <c r="P122" i="19" s="1"/>
  <c r="G122" i="19"/>
  <c r="M121" i="19"/>
  <c r="P121" i="19" s="1"/>
  <c r="K121" i="19"/>
  <c r="G121" i="19"/>
  <c r="M120" i="19"/>
  <c r="P120" i="19" s="1"/>
  <c r="G120" i="19"/>
  <c r="M119" i="19"/>
  <c r="P119" i="19" s="1"/>
  <c r="G119" i="19"/>
  <c r="L118" i="19"/>
  <c r="M118" i="19" s="1"/>
  <c r="P118" i="19" s="1"/>
  <c r="G118" i="19"/>
  <c r="L117" i="19"/>
  <c r="E117" i="19"/>
  <c r="G117" i="19" s="1"/>
  <c r="M116" i="19"/>
  <c r="P116" i="19" s="1"/>
  <c r="G116" i="19"/>
  <c r="M115" i="19"/>
  <c r="P115" i="19" s="1"/>
  <c r="G115" i="19"/>
  <c r="M114" i="19"/>
  <c r="P114" i="19" s="1"/>
  <c r="G114" i="19"/>
  <c r="M113" i="19"/>
  <c r="P113" i="19" s="1"/>
  <c r="G113" i="19"/>
  <c r="M112" i="19"/>
  <c r="P112" i="19" s="1"/>
  <c r="G112" i="19"/>
  <c r="M111" i="19"/>
  <c r="P111" i="19" s="1"/>
  <c r="G111" i="19"/>
  <c r="M110" i="19"/>
  <c r="P110" i="19" s="1"/>
  <c r="G110" i="19"/>
  <c r="M109" i="19"/>
  <c r="P109" i="19" s="1"/>
  <c r="G109" i="19"/>
  <c r="M108" i="19"/>
  <c r="P108" i="19" s="1"/>
  <c r="G108" i="19"/>
  <c r="M107" i="19"/>
  <c r="P107" i="19" s="1"/>
  <c r="G107" i="19"/>
  <c r="E106" i="19"/>
  <c r="M106" i="19" s="1"/>
  <c r="P106" i="19" s="1"/>
  <c r="M105" i="19"/>
  <c r="P105" i="19" s="1"/>
  <c r="G105" i="19"/>
  <c r="M104" i="19"/>
  <c r="P104" i="19" s="1"/>
  <c r="G104" i="19"/>
  <c r="E103" i="19"/>
  <c r="G103" i="19" s="1"/>
  <c r="M102" i="19"/>
  <c r="P102" i="19" s="1"/>
  <c r="G102" i="19"/>
  <c r="M101" i="19"/>
  <c r="P101" i="19" s="1"/>
  <c r="G101" i="19"/>
  <c r="M100" i="19"/>
  <c r="P100" i="19" s="1"/>
  <c r="G100" i="19"/>
  <c r="M99" i="19"/>
  <c r="P99" i="19" s="1"/>
  <c r="G99" i="19"/>
  <c r="M98" i="19"/>
  <c r="P98" i="19" s="1"/>
  <c r="G98" i="19"/>
  <c r="M97" i="19"/>
  <c r="P97" i="19" s="1"/>
  <c r="G97" i="19"/>
  <c r="M96" i="19"/>
  <c r="P96" i="19" s="1"/>
  <c r="G96" i="19"/>
  <c r="E95" i="19"/>
  <c r="M95" i="19" s="1"/>
  <c r="P95" i="19" s="1"/>
  <c r="E94" i="19"/>
  <c r="M94" i="19" s="1"/>
  <c r="P94" i="19" s="1"/>
  <c r="M93" i="19"/>
  <c r="P93" i="19" s="1"/>
  <c r="G93" i="19"/>
  <c r="L92" i="19"/>
  <c r="M92" i="19" s="1"/>
  <c r="P92" i="19" s="1"/>
  <c r="G92" i="19"/>
  <c r="M91" i="19"/>
  <c r="P91" i="19" s="1"/>
  <c r="G91" i="19"/>
  <c r="M90" i="19"/>
  <c r="P90" i="19" s="1"/>
  <c r="G90" i="19"/>
  <c r="I89" i="19"/>
  <c r="K89" i="19" s="1"/>
  <c r="G89" i="19"/>
  <c r="M88" i="19"/>
  <c r="P88" i="19" s="1"/>
  <c r="M87" i="19"/>
  <c r="P87" i="19" s="1"/>
  <c r="K87" i="19"/>
  <c r="G87" i="19"/>
  <c r="M86" i="19"/>
  <c r="P86" i="19" s="1"/>
  <c r="K86" i="19"/>
  <c r="G86" i="19"/>
  <c r="M85" i="19"/>
  <c r="P85" i="19" s="1"/>
  <c r="G85" i="19"/>
  <c r="M84" i="19"/>
  <c r="P84" i="19" s="1"/>
  <c r="G84" i="19"/>
  <c r="M83" i="19"/>
  <c r="P83" i="19" s="1"/>
  <c r="G83" i="19"/>
  <c r="M82" i="19"/>
  <c r="P82" i="19" s="1"/>
  <c r="G82" i="19"/>
  <c r="M81" i="19"/>
  <c r="P81" i="19" s="1"/>
  <c r="G81" i="19"/>
  <c r="M80" i="19"/>
  <c r="P80" i="19" s="1"/>
  <c r="K80" i="19"/>
  <c r="G80" i="19"/>
  <c r="M79" i="19"/>
  <c r="P79" i="19" s="1"/>
  <c r="G79" i="19"/>
  <c r="M78" i="19"/>
  <c r="P78" i="19" s="1"/>
  <c r="G78" i="19"/>
  <c r="M77" i="19"/>
  <c r="P77" i="19" s="1"/>
  <c r="G77" i="19"/>
  <c r="L76" i="19"/>
  <c r="M76" i="19" s="1"/>
  <c r="P76" i="19" s="1"/>
  <c r="G76" i="19"/>
  <c r="I75" i="19"/>
  <c r="M75" i="19" s="1"/>
  <c r="P75" i="19" s="1"/>
  <c r="G75" i="19"/>
  <c r="M74" i="19"/>
  <c r="P74" i="19" s="1"/>
  <c r="G74" i="19"/>
  <c r="M73" i="19"/>
  <c r="P73" i="19" s="1"/>
  <c r="G73" i="19"/>
  <c r="M72" i="19"/>
  <c r="P72" i="19" s="1"/>
  <c r="G72" i="19"/>
  <c r="M71" i="19"/>
  <c r="P71" i="19" s="1"/>
  <c r="G71" i="19"/>
  <c r="M70" i="19"/>
  <c r="P70" i="19" s="1"/>
  <c r="G70" i="19"/>
  <c r="M69" i="19"/>
  <c r="P69" i="19" s="1"/>
  <c r="G69" i="19"/>
  <c r="M68" i="19"/>
  <c r="P68" i="19" s="1"/>
  <c r="G68" i="19"/>
  <c r="M67" i="19"/>
  <c r="P67" i="19" s="1"/>
  <c r="G67" i="19"/>
  <c r="M66" i="19"/>
  <c r="P66" i="19" s="1"/>
  <c r="G66" i="19"/>
  <c r="M65" i="19"/>
  <c r="P65" i="19" s="1"/>
  <c r="K65" i="19"/>
  <c r="G65" i="19"/>
  <c r="M64" i="19"/>
  <c r="P64" i="19" s="1"/>
  <c r="K64" i="19"/>
  <c r="M63" i="19"/>
  <c r="P63" i="19" s="1"/>
  <c r="K63" i="19"/>
  <c r="M62" i="19"/>
  <c r="P62" i="19" s="1"/>
  <c r="K62" i="19"/>
  <c r="M61" i="19"/>
  <c r="P61" i="19" s="1"/>
  <c r="K61" i="19"/>
  <c r="G61" i="19"/>
  <c r="M60" i="19"/>
  <c r="P60" i="19" s="1"/>
  <c r="K60" i="19"/>
  <c r="G60" i="19"/>
  <c r="M59" i="19"/>
  <c r="P59" i="19" s="1"/>
  <c r="K59" i="19"/>
  <c r="G59" i="19"/>
  <c r="M58" i="19"/>
  <c r="P58" i="19" s="1"/>
  <c r="K58" i="19"/>
  <c r="G58" i="19"/>
  <c r="M57" i="19"/>
  <c r="P57" i="19" s="1"/>
  <c r="K57" i="19"/>
  <c r="G57" i="19"/>
  <c r="M56" i="19"/>
  <c r="P56" i="19" s="1"/>
  <c r="K56" i="19"/>
  <c r="G56" i="19"/>
  <c r="L55" i="19"/>
  <c r="M55" i="19" s="1"/>
  <c r="P55" i="19" s="1"/>
  <c r="K55" i="19"/>
  <c r="G55" i="19"/>
  <c r="K54" i="19"/>
  <c r="G54" i="19"/>
  <c r="L53" i="19"/>
  <c r="E53" i="19"/>
  <c r="M52" i="19"/>
  <c r="P52" i="19" s="1"/>
  <c r="G52" i="19"/>
  <c r="M51" i="19"/>
  <c r="P51" i="19" s="1"/>
  <c r="G51" i="19"/>
  <c r="M50" i="19"/>
  <c r="P50" i="19" s="1"/>
  <c r="G50" i="19"/>
  <c r="M49" i="19"/>
  <c r="P49" i="19" s="1"/>
  <c r="G49" i="19"/>
  <c r="M48" i="19"/>
  <c r="P48" i="19" s="1"/>
  <c r="G48" i="19"/>
  <c r="M47" i="19"/>
  <c r="P47" i="19" s="1"/>
  <c r="G47" i="19"/>
  <c r="M46" i="19"/>
  <c r="P46" i="19" s="1"/>
  <c r="G46" i="19"/>
  <c r="M45" i="19"/>
  <c r="P45" i="19" s="1"/>
  <c r="G45" i="19"/>
  <c r="M44" i="19"/>
  <c r="P44" i="19" s="1"/>
  <c r="G44" i="19"/>
  <c r="L43" i="19"/>
  <c r="M43" i="19" s="1"/>
  <c r="P43" i="19" s="1"/>
  <c r="G43" i="19"/>
  <c r="M42" i="19"/>
  <c r="P42" i="19" s="1"/>
  <c r="G42" i="19"/>
  <c r="M41" i="19"/>
  <c r="P41" i="19" s="1"/>
  <c r="K41" i="19"/>
  <c r="G41" i="19"/>
  <c r="M40" i="19"/>
  <c r="P40" i="19" s="1"/>
  <c r="G40" i="19"/>
  <c r="M39" i="19"/>
  <c r="P39" i="19" s="1"/>
  <c r="G39" i="19"/>
  <c r="M38" i="19"/>
  <c r="P38" i="19" s="1"/>
  <c r="G38" i="19"/>
  <c r="M37" i="19"/>
  <c r="P37" i="19" s="1"/>
  <c r="G37" i="19"/>
  <c r="M36" i="19"/>
  <c r="P36" i="19" s="1"/>
  <c r="G36" i="19"/>
  <c r="M35" i="19"/>
  <c r="P35" i="19" s="1"/>
  <c r="G35" i="19"/>
  <c r="E34" i="19"/>
  <c r="M34" i="19" s="1"/>
  <c r="P34" i="19" s="1"/>
  <c r="M33" i="19"/>
  <c r="P33" i="19" s="1"/>
  <c r="G33" i="19"/>
  <c r="M32" i="19"/>
  <c r="P32" i="19" s="1"/>
  <c r="G32" i="19"/>
  <c r="M31" i="19"/>
  <c r="P31" i="19" s="1"/>
  <c r="G31" i="19"/>
  <c r="M30" i="19"/>
  <c r="P30" i="19" s="1"/>
  <c r="G30" i="19"/>
  <c r="M29" i="19"/>
  <c r="P29" i="19" s="1"/>
  <c r="G29" i="19"/>
  <c r="M28" i="19"/>
  <c r="P28" i="19" s="1"/>
  <c r="G28" i="19"/>
  <c r="M26" i="19"/>
  <c r="P26" i="19" s="1"/>
  <c r="G26" i="19"/>
  <c r="M25" i="19"/>
  <c r="P25" i="19" s="1"/>
  <c r="G25" i="19"/>
  <c r="L24" i="19"/>
  <c r="M24" i="19" s="1"/>
  <c r="P24" i="19" s="1"/>
  <c r="G24" i="19"/>
  <c r="M23" i="19"/>
  <c r="P23" i="19" s="1"/>
  <c r="G23" i="19"/>
  <c r="M22" i="19"/>
  <c r="P22" i="19" s="1"/>
  <c r="G22" i="19"/>
  <c r="M21" i="19"/>
  <c r="P21" i="19" s="1"/>
  <c r="G21" i="19"/>
  <c r="E20" i="19"/>
  <c r="M20" i="19" s="1"/>
  <c r="P20" i="19" s="1"/>
  <c r="M19" i="19"/>
  <c r="P19" i="19" s="1"/>
  <c r="G19" i="19"/>
  <c r="M18" i="19"/>
  <c r="P18" i="19" s="1"/>
  <c r="G18" i="19"/>
  <c r="M17" i="19"/>
  <c r="P17" i="19" s="1"/>
  <c r="G17" i="19"/>
  <c r="M16" i="19"/>
  <c r="P16" i="19" s="1"/>
  <c r="G16" i="19"/>
  <c r="M15" i="19"/>
  <c r="P15" i="19" s="1"/>
  <c r="G15" i="19"/>
  <c r="E14" i="19"/>
  <c r="G14" i="19" s="1"/>
  <c r="M13" i="19"/>
  <c r="P13" i="19" s="1"/>
  <c r="G13" i="19"/>
  <c r="M12" i="19"/>
  <c r="P12" i="19" s="1"/>
  <c r="G12" i="19"/>
  <c r="M11" i="19"/>
  <c r="P11" i="19" s="1"/>
  <c r="G11" i="19"/>
  <c r="M10" i="19"/>
  <c r="P10" i="19" s="1"/>
  <c r="G10" i="19"/>
  <c r="L9" i="19"/>
  <c r="M9" i="19" s="1"/>
  <c r="P9" i="19" s="1"/>
  <c r="G9" i="19"/>
  <c r="G8" i="19"/>
  <c r="E8" i="19"/>
  <c r="M8" i="19" s="1"/>
  <c r="L431" i="18"/>
  <c r="L163" i="18"/>
  <c r="L388" i="18"/>
  <c r="L389" i="18"/>
  <c r="L293" i="18"/>
  <c r="M293" i="18" s="1"/>
  <c r="P293" i="18" s="1"/>
  <c r="L303" i="18"/>
  <c r="L54" i="18"/>
  <c r="L9" i="18"/>
  <c r="L426" i="18"/>
  <c r="L180" i="18"/>
  <c r="M180" i="18" s="1"/>
  <c r="P180" i="18" s="1"/>
  <c r="L390" i="18"/>
  <c r="L250" i="18"/>
  <c r="L24" i="18"/>
  <c r="L325" i="18"/>
  <c r="L92" i="18"/>
  <c r="M92" i="18" s="1"/>
  <c r="P92" i="18" s="1"/>
  <c r="L76" i="18"/>
  <c r="L430" i="18"/>
  <c r="M430" i="18" s="1"/>
  <c r="P430" i="18" s="1"/>
  <c r="M244" i="18"/>
  <c r="L196" i="18"/>
  <c r="L233" i="18"/>
  <c r="M161" i="18"/>
  <c r="P161" i="18" s="1"/>
  <c r="M431" i="18"/>
  <c r="P431" i="18" s="1"/>
  <c r="L391" i="18"/>
  <c r="M391" i="18" s="1"/>
  <c r="P391" i="18" s="1"/>
  <c r="M196" i="18"/>
  <c r="P196" i="18" s="1"/>
  <c r="L366" i="18"/>
  <c r="M286" i="18"/>
  <c r="P286" i="18"/>
  <c r="L43" i="18"/>
  <c r="M43" i="18" s="1"/>
  <c r="P43" i="18" s="1"/>
  <c r="L450" i="18"/>
  <c r="M450" i="18" s="1"/>
  <c r="L329" i="18"/>
  <c r="L193" i="18"/>
  <c r="L461" i="18"/>
  <c r="L246" i="18"/>
  <c r="L117" i="18"/>
  <c r="L239" i="18"/>
  <c r="M239" i="18" s="1"/>
  <c r="P239" i="18" s="1"/>
  <c r="P473" i="18"/>
  <c r="M473" i="18"/>
  <c r="K473" i="18"/>
  <c r="P472" i="18"/>
  <c r="M472" i="18"/>
  <c r="K472" i="18"/>
  <c r="P471" i="18"/>
  <c r="M471" i="18"/>
  <c r="K471" i="18"/>
  <c r="P470" i="18"/>
  <c r="M470" i="18"/>
  <c r="K470" i="18"/>
  <c r="P469" i="18"/>
  <c r="M469" i="18"/>
  <c r="K469" i="18"/>
  <c r="P468" i="18"/>
  <c r="M468" i="18"/>
  <c r="K468" i="18"/>
  <c r="P467" i="18"/>
  <c r="M467" i="18"/>
  <c r="K467" i="18"/>
  <c r="P466" i="18"/>
  <c r="M466" i="18"/>
  <c r="K466" i="18"/>
  <c r="P465" i="18"/>
  <c r="M465" i="18"/>
  <c r="K465" i="18"/>
  <c r="P464" i="18"/>
  <c r="M464" i="18"/>
  <c r="K464" i="18"/>
  <c r="P463" i="18"/>
  <c r="M463" i="18"/>
  <c r="K463" i="18"/>
  <c r="P462" i="18"/>
  <c r="M462" i="18"/>
  <c r="K462" i="18"/>
  <c r="P461" i="18"/>
  <c r="M461" i="18"/>
  <c r="K461" i="18"/>
  <c r="P460" i="18"/>
  <c r="M460" i="18"/>
  <c r="K460" i="18"/>
  <c r="P459" i="18"/>
  <c r="M459" i="18"/>
  <c r="K459" i="18"/>
  <c r="M458" i="18"/>
  <c r="P458" i="18" s="1"/>
  <c r="K458" i="18"/>
  <c r="M457" i="18"/>
  <c r="P457" i="18" s="1"/>
  <c r="K457" i="18"/>
  <c r="M456" i="18"/>
  <c r="P456" i="18" s="1"/>
  <c r="K456" i="18"/>
  <c r="P455" i="18"/>
  <c r="M455" i="18"/>
  <c r="K455" i="18"/>
  <c r="P454" i="18"/>
  <c r="M454" i="18"/>
  <c r="K454" i="18"/>
  <c r="P453" i="18"/>
  <c r="M453" i="18"/>
  <c r="K453" i="18"/>
  <c r="P452" i="18"/>
  <c r="M452" i="18"/>
  <c r="P451" i="18"/>
  <c r="M451" i="18"/>
  <c r="K451" i="18"/>
  <c r="E450" i="18"/>
  <c r="M449" i="18"/>
  <c r="M448" i="18"/>
  <c r="K448" i="18"/>
  <c r="M447" i="18"/>
  <c r="M446" i="18"/>
  <c r="M445" i="18"/>
  <c r="M444" i="18"/>
  <c r="M443" i="18"/>
  <c r="L443" i="18"/>
  <c r="M442" i="18"/>
  <c r="M441" i="18"/>
  <c r="M440" i="18"/>
  <c r="P439" i="18"/>
  <c r="M439" i="18"/>
  <c r="K439" i="18"/>
  <c r="P438" i="18"/>
  <c r="M438" i="18"/>
  <c r="K438" i="18"/>
  <c r="P437" i="18"/>
  <c r="M437" i="18"/>
  <c r="K437" i="18"/>
  <c r="P436" i="18"/>
  <c r="M436" i="18"/>
  <c r="K436" i="18"/>
  <c r="P435" i="18"/>
  <c r="M435" i="18"/>
  <c r="K435" i="18"/>
  <c r="P434" i="18"/>
  <c r="M434" i="18"/>
  <c r="K434" i="18"/>
  <c r="P433" i="18"/>
  <c r="M433" i="18"/>
  <c r="K433" i="18"/>
  <c r="P432" i="18"/>
  <c r="M432" i="18"/>
  <c r="K432" i="18"/>
  <c r="G432" i="18"/>
  <c r="K431" i="18"/>
  <c r="K430" i="18"/>
  <c r="P429" i="18"/>
  <c r="M429" i="18"/>
  <c r="K429" i="18"/>
  <c r="P428" i="18"/>
  <c r="M428" i="18"/>
  <c r="K428" i="18"/>
  <c r="M426" i="18"/>
  <c r="P426" i="18" s="1"/>
  <c r="K426" i="18"/>
  <c r="I426" i="18"/>
  <c r="M425" i="18"/>
  <c r="P425" i="18" s="1"/>
  <c r="K425" i="18"/>
  <c r="M424" i="18"/>
  <c r="P424" i="18" s="1"/>
  <c r="K424" i="18"/>
  <c r="P423" i="18"/>
  <c r="M423" i="18"/>
  <c r="K423" i="18"/>
  <c r="P422" i="18"/>
  <c r="M422" i="18"/>
  <c r="K422" i="18"/>
  <c r="P421" i="18"/>
  <c r="M421" i="18"/>
  <c r="K421" i="18"/>
  <c r="P420" i="18"/>
  <c r="M420" i="18"/>
  <c r="K420" i="18"/>
  <c r="P419" i="18"/>
  <c r="M419" i="18"/>
  <c r="K419" i="18"/>
  <c r="P418" i="18"/>
  <c r="M418" i="18"/>
  <c r="K418" i="18"/>
  <c r="P417" i="18"/>
  <c r="M417" i="18"/>
  <c r="K417" i="18"/>
  <c r="P416" i="18"/>
  <c r="M416" i="18"/>
  <c r="K416" i="18"/>
  <c r="P415" i="18"/>
  <c r="M415" i="18"/>
  <c r="K415" i="18"/>
  <c r="P414" i="18"/>
  <c r="M414" i="18"/>
  <c r="K414" i="18"/>
  <c r="P413" i="18"/>
  <c r="M413" i="18"/>
  <c r="K413" i="18"/>
  <c r="P412" i="18"/>
  <c r="M412" i="18"/>
  <c r="K412" i="18"/>
  <c r="P411" i="18"/>
  <c r="M411" i="18"/>
  <c r="K411" i="18"/>
  <c r="P410" i="18"/>
  <c r="M410" i="18"/>
  <c r="K410" i="18"/>
  <c r="P409" i="18"/>
  <c r="M409" i="18"/>
  <c r="K409" i="18"/>
  <c r="P408" i="18"/>
  <c r="M408" i="18"/>
  <c r="K408" i="18"/>
  <c r="P407" i="18"/>
  <c r="M407" i="18"/>
  <c r="K407" i="18"/>
  <c r="P406" i="18"/>
  <c r="M406" i="18"/>
  <c r="K406" i="18"/>
  <c r="P405" i="18"/>
  <c r="M405" i="18"/>
  <c r="K405" i="18"/>
  <c r="P404" i="18"/>
  <c r="M404" i="18"/>
  <c r="K404" i="18"/>
  <c r="P403" i="18"/>
  <c r="M403" i="18"/>
  <c r="K403" i="18"/>
  <c r="P402" i="18"/>
  <c r="M402" i="18"/>
  <c r="K402" i="18"/>
  <c r="P401" i="18"/>
  <c r="M401" i="18"/>
  <c r="K401" i="18"/>
  <c r="P400" i="18"/>
  <c r="M400" i="18"/>
  <c r="K400" i="18"/>
  <c r="P399" i="18"/>
  <c r="M399" i="18"/>
  <c r="K399" i="18"/>
  <c r="P398" i="18"/>
  <c r="M398" i="18"/>
  <c r="K398" i="18"/>
  <c r="P397" i="18"/>
  <c r="M397" i="18"/>
  <c r="K397" i="18"/>
  <c r="P396" i="18"/>
  <c r="M396" i="18"/>
  <c r="K396" i="18"/>
  <c r="P395" i="18"/>
  <c r="M395" i="18"/>
  <c r="K395" i="18"/>
  <c r="P394" i="18"/>
  <c r="M394" i="18"/>
  <c r="K394" i="18"/>
  <c r="I393" i="18"/>
  <c r="M393" i="18" s="1"/>
  <c r="P393" i="18" s="1"/>
  <c r="M392" i="18"/>
  <c r="P392" i="18" s="1"/>
  <c r="K392" i="18"/>
  <c r="I392" i="18"/>
  <c r="I391" i="18"/>
  <c r="K391" i="18" s="1"/>
  <c r="K390" i="18"/>
  <c r="I390" i="18"/>
  <c r="I389" i="18"/>
  <c r="K389" i="18" s="1"/>
  <c r="M388" i="18"/>
  <c r="P388" i="18" s="1"/>
  <c r="K388" i="18"/>
  <c r="M387" i="18"/>
  <c r="P387" i="18" s="1"/>
  <c r="M386" i="18"/>
  <c r="P386" i="18" s="1"/>
  <c r="P385" i="18"/>
  <c r="M385" i="18"/>
  <c r="M384" i="18"/>
  <c r="P384" i="18" s="1"/>
  <c r="K384" i="18"/>
  <c r="M383" i="18"/>
  <c r="P383" i="18" s="1"/>
  <c r="K383" i="18"/>
  <c r="M382" i="18"/>
  <c r="P382" i="18" s="1"/>
  <c r="K382" i="18"/>
  <c r="M381" i="18"/>
  <c r="P381" i="18" s="1"/>
  <c r="K381" i="18"/>
  <c r="M380" i="18"/>
  <c r="P380" i="18" s="1"/>
  <c r="K380" i="18"/>
  <c r="M379" i="18"/>
  <c r="P379" i="18" s="1"/>
  <c r="K379" i="18"/>
  <c r="M378" i="18"/>
  <c r="P378" i="18" s="1"/>
  <c r="K378" i="18"/>
  <c r="M377" i="18"/>
  <c r="P377" i="18" s="1"/>
  <c r="K377" i="18"/>
  <c r="M376" i="18"/>
  <c r="P376" i="18" s="1"/>
  <c r="K376" i="18"/>
  <c r="M375" i="18"/>
  <c r="P375" i="18" s="1"/>
  <c r="K375" i="18"/>
  <c r="M374" i="18"/>
  <c r="P374" i="18" s="1"/>
  <c r="K374" i="18"/>
  <c r="M373" i="18"/>
  <c r="P373" i="18" s="1"/>
  <c r="K373" i="18"/>
  <c r="M372" i="18"/>
  <c r="P372" i="18" s="1"/>
  <c r="K372" i="18"/>
  <c r="M371" i="18"/>
  <c r="P371" i="18" s="1"/>
  <c r="K371" i="18"/>
  <c r="M370" i="18"/>
  <c r="P370" i="18" s="1"/>
  <c r="K370" i="18"/>
  <c r="M369" i="18"/>
  <c r="P369" i="18" s="1"/>
  <c r="K369" i="18"/>
  <c r="M368" i="18"/>
  <c r="P368" i="18" s="1"/>
  <c r="K368" i="18"/>
  <c r="M367" i="18"/>
  <c r="P367" i="18" s="1"/>
  <c r="K367" i="18"/>
  <c r="I366" i="18"/>
  <c r="M366" i="18" s="1"/>
  <c r="P366" i="18" s="1"/>
  <c r="P365" i="18"/>
  <c r="M365" i="18"/>
  <c r="K365" i="18"/>
  <c r="P364" i="18"/>
  <c r="M364" i="18"/>
  <c r="K364" i="18"/>
  <c r="P363" i="18"/>
  <c r="M363" i="18"/>
  <c r="K363" i="18"/>
  <c r="P362" i="18"/>
  <c r="M362" i="18"/>
  <c r="K362" i="18"/>
  <c r="P361" i="18"/>
  <c r="M361" i="18"/>
  <c r="K361" i="18"/>
  <c r="P360" i="18"/>
  <c r="M360" i="18"/>
  <c r="K360" i="18"/>
  <c r="P359" i="18"/>
  <c r="M359" i="18"/>
  <c r="K359" i="18"/>
  <c r="P358" i="18"/>
  <c r="M358" i="18"/>
  <c r="K358" i="18"/>
  <c r="P357" i="18"/>
  <c r="M357" i="18"/>
  <c r="K357" i="18"/>
  <c r="P356" i="18"/>
  <c r="M356" i="18"/>
  <c r="K356" i="18"/>
  <c r="P355" i="18"/>
  <c r="M355" i="18"/>
  <c r="K355" i="18"/>
  <c r="P354" i="18"/>
  <c r="M354" i="18"/>
  <c r="K354" i="18"/>
  <c r="P353" i="18"/>
  <c r="M353" i="18"/>
  <c r="K353" i="18"/>
  <c r="P352" i="18"/>
  <c r="M352" i="18"/>
  <c r="K352" i="18"/>
  <c r="P351" i="18"/>
  <c r="M351" i="18"/>
  <c r="K351" i="18"/>
  <c r="P350" i="18"/>
  <c r="M350" i="18"/>
  <c r="K350" i="18"/>
  <c r="P349" i="18"/>
  <c r="M349" i="18"/>
  <c r="K349" i="18"/>
  <c r="P348" i="18"/>
  <c r="M348" i="18"/>
  <c r="K348" i="18"/>
  <c r="P347" i="18"/>
  <c r="M347" i="18"/>
  <c r="K347" i="18"/>
  <c r="P346" i="18"/>
  <c r="M346" i="18"/>
  <c r="K346" i="18"/>
  <c r="P345" i="18"/>
  <c r="M345" i="18"/>
  <c r="K345" i="18"/>
  <c r="P344" i="18"/>
  <c r="M344" i="18"/>
  <c r="L344" i="18"/>
  <c r="K344" i="18"/>
  <c r="I344" i="18"/>
  <c r="M343" i="18"/>
  <c r="P343" i="18" s="1"/>
  <c r="K343" i="18"/>
  <c r="M342" i="18"/>
  <c r="P342" i="18" s="1"/>
  <c r="K342" i="18"/>
  <c r="M341" i="18"/>
  <c r="K341" i="18"/>
  <c r="J341" i="18"/>
  <c r="F341" i="18"/>
  <c r="P341" i="18" s="1"/>
  <c r="M340" i="18"/>
  <c r="K340" i="18"/>
  <c r="J340" i="18"/>
  <c r="F340" i="18"/>
  <c r="P340" i="18" s="1"/>
  <c r="P339" i="18"/>
  <c r="M339" i="18"/>
  <c r="K339" i="18"/>
  <c r="F339" i="18"/>
  <c r="M338" i="18"/>
  <c r="K338" i="18"/>
  <c r="J338" i="18"/>
  <c r="F338" i="18" s="1"/>
  <c r="P338" i="18" s="1"/>
  <c r="M337" i="18"/>
  <c r="J337" i="18"/>
  <c r="K337" i="18" s="1"/>
  <c r="M336" i="18"/>
  <c r="L336" i="18"/>
  <c r="J336" i="18"/>
  <c r="K336" i="18" s="1"/>
  <c r="M335" i="18"/>
  <c r="J335" i="18"/>
  <c r="K335" i="18" s="1"/>
  <c r="F335" i="18"/>
  <c r="P335" i="18" s="1"/>
  <c r="M334" i="18"/>
  <c r="K334" i="18"/>
  <c r="J334" i="18"/>
  <c r="F334" i="18" s="1"/>
  <c r="P334" i="18" s="1"/>
  <c r="M333" i="18"/>
  <c r="J333" i="18"/>
  <c r="K333" i="18" s="1"/>
  <c r="M332" i="18"/>
  <c r="P332" i="18" s="1"/>
  <c r="K332" i="18"/>
  <c r="F332" i="18"/>
  <c r="P331" i="18"/>
  <c r="M331" i="18"/>
  <c r="K331" i="18"/>
  <c r="P330" i="18"/>
  <c r="M330" i="18"/>
  <c r="M329" i="18"/>
  <c r="P329" i="18" s="1"/>
  <c r="K329" i="18"/>
  <c r="P328" i="18"/>
  <c r="M328" i="18"/>
  <c r="K328" i="18"/>
  <c r="P327" i="18"/>
  <c r="M327" i="18"/>
  <c r="L327" i="18"/>
  <c r="K327" i="18"/>
  <c r="L326" i="18"/>
  <c r="I326" i="18"/>
  <c r="M326" i="18" s="1"/>
  <c r="P326" i="18" s="1"/>
  <c r="M325" i="18"/>
  <c r="P325" i="18" s="1"/>
  <c r="K325" i="18"/>
  <c r="P324" i="18"/>
  <c r="M324" i="18"/>
  <c r="K324" i="18"/>
  <c r="M322" i="18"/>
  <c r="P322" i="18" s="1"/>
  <c r="P321" i="18"/>
  <c r="M321" i="18"/>
  <c r="P320" i="18"/>
  <c r="M320" i="18"/>
  <c r="M319" i="18"/>
  <c r="P319" i="18" s="1"/>
  <c r="G319" i="18"/>
  <c r="M318" i="18"/>
  <c r="P318" i="18" s="1"/>
  <c r="L318" i="18"/>
  <c r="M317" i="18"/>
  <c r="P317" i="18" s="1"/>
  <c r="L317" i="18"/>
  <c r="M316" i="18"/>
  <c r="P316" i="18" s="1"/>
  <c r="L316" i="18"/>
  <c r="K316" i="18"/>
  <c r="P315" i="18"/>
  <c r="M315" i="18"/>
  <c r="M314" i="18"/>
  <c r="P314" i="18" s="1"/>
  <c r="E314" i="18"/>
  <c r="M313" i="18"/>
  <c r="P313" i="18" s="1"/>
  <c r="P312" i="18"/>
  <c r="M312" i="18"/>
  <c r="P311" i="18"/>
  <c r="M311" i="18"/>
  <c r="G311" i="18"/>
  <c r="P310" i="18"/>
  <c r="M310" i="18"/>
  <c r="G310" i="18"/>
  <c r="E309" i="18"/>
  <c r="M309" i="18" s="1"/>
  <c r="P309" i="18" s="1"/>
  <c r="P308" i="18"/>
  <c r="M308" i="18"/>
  <c r="G308" i="18"/>
  <c r="P307" i="18"/>
  <c r="M307" i="18"/>
  <c r="G307" i="18"/>
  <c r="P306" i="18"/>
  <c r="M306" i="18"/>
  <c r="G306" i="18"/>
  <c r="M305" i="18"/>
  <c r="P305" i="18" s="1"/>
  <c r="G305" i="18"/>
  <c r="P304" i="18"/>
  <c r="M304" i="18"/>
  <c r="G304" i="18"/>
  <c r="M303" i="18"/>
  <c r="P303" i="18" s="1"/>
  <c r="K303" i="18"/>
  <c r="G303" i="18"/>
  <c r="M302" i="18"/>
  <c r="P302" i="18" s="1"/>
  <c r="G302" i="18"/>
  <c r="M301" i="18"/>
  <c r="P301" i="18" s="1"/>
  <c r="G301" i="18"/>
  <c r="M300" i="18"/>
  <c r="P300" i="18" s="1"/>
  <c r="G300" i="18"/>
  <c r="M299" i="18"/>
  <c r="P299" i="18" s="1"/>
  <c r="G299" i="18"/>
  <c r="M298" i="18"/>
  <c r="P298" i="18" s="1"/>
  <c r="G298" i="18"/>
  <c r="M297" i="18"/>
  <c r="P297" i="18" s="1"/>
  <c r="G297" i="18"/>
  <c r="M296" i="18"/>
  <c r="P296" i="18" s="1"/>
  <c r="G296" i="18"/>
  <c r="E296" i="18"/>
  <c r="P295" i="18"/>
  <c r="M295" i="18"/>
  <c r="G295" i="18"/>
  <c r="P294" i="18"/>
  <c r="M294" i="18"/>
  <c r="G294" i="18"/>
  <c r="E293" i="18"/>
  <c r="G293" i="18" s="1"/>
  <c r="P292" i="18"/>
  <c r="M292" i="18"/>
  <c r="G292" i="18"/>
  <c r="L291" i="18"/>
  <c r="E291" i="18"/>
  <c r="M291" i="18" s="1"/>
  <c r="P291" i="18" s="1"/>
  <c r="P290" i="18"/>
  <c r="M290" i="18"/>
  <c r="G290" i="18"/>
  <c r="P289" i="18"/>
  <c r="M289" i="18"/>
  <c r="K289" i="18"/>
  <c r="G289" i="18"/>
  <c r="E289" i="18"/>
  <c r="M288" i="18"/>
  <c r="P288" i="18" s="1"/>
  <c r="M287" i="18"/>
  <c r="P287" i="18" s="1"/>
  <c r="G286" i="18"/>
  <c r="P285" i="18"/>
  <c r="M285" i="18"/>
  <c r="G285" i="18"/>
  <c r="P284" i="18"/>
  <c r="M284" i="18"/>
  <c r="G284" i="18"/>
  <c r="P283" i="18"/>
  <c r="M283" i="18"/>
  <c r="G283" i="18"/>
  <c r="P282" i="18"/>
  <c r="M282" i="18"/>
  <c r="G282" i="18"/>
  <c r="P281" i="18"/>
  <c r="M281" i="18"/>
  <c r="G281" i="18"/>
  <c r="P280" i="18"/>
  <c r="M280" i="18"/>
  <c r="G280" i="18"/>
  <c r="P279" i="18"/>
  <c r="M279" i="18"/>
  <c r="G279" i="18"/>
  <c r="P278" i="18"/>
  <c r="M278" i="18"/>
  <c r="G278" i="18"/>
  <c r="P277" i="18"/>
  <c r="M277" i="18"/>
  <c r="G277" i="18"/>
  <c r="P276" i="18"/>
  <c r="M276" i="18"/>
  <c r="G276" i="18"/>
  <c r="P275" i="18"/>
  <c r="M275" i="18"/>
  <c r="K275" i="18"/>
  <c r="G275" i="18"/>
  <c r="P274" i="18"/>
  <c r="M274" i="18"/>
  <c r="G274" i="18"/>
  <c r="P273" i="18"/>
  <c r="M273" i="18"/>
  <c r="P272" i="18"/>
  <c r="M272" i="18"/>
  <c r="G272" i="18"/>
  <c r="P271" i="18"/>
  <c r="M271" i="18"/>
  <c r="G271" i="18"/>
  <c r="P270" i="18"/>
  <c r="M270" i="18"/>
  <c r="L270" i="18"/>
  <c r="K270" i="18"/>
  <c r="I270" i="18"/>
  <c r="G270" i="18"/>
  <c r="P269" i="18"/>
  <c r="M269" i="18"/>
  <c r="K269" i="18"/>
  <c r="G269" i="18"/>
  <c r="M268" i="18"/>
  <c r="P268" i="18" s="1"/>
  <c r="K268" i="18"/>
  <c r="G268" i="18"/>
  <c r="M267" i="18"/>
  <c r="P267" i="18" s="1"/>
  <c r="K267" i="18"/>
  <c r="G267" i="18"/>
  <c r="P266" i="18"/>
  <c r="M266" i="18"/>
  <c r="G266" i="18"/>
  <c r="P265" i="18"/>
  <c r="M265" i="18"/>
  <c r="G265" i="18"/>
  <c r="P264" i="18"/>
  <c r="M264" i="18"/>
  <c r="G264" i="18"/>
  <c r="P263" i="18"/>
  <c r="M263" i="18"/>
  <c r="G263" i="18"/>
  <c r="P262" i="18"/>
  <c r="M262" i="18"/>
  <c r="G262" i="18"/>
  <c r="P261" i="18"/>
  <c r="M261" i="18"/>
  <c r="G261" i="18"/>
  <c r="P260" i="18"/>
  <c r="M260" i="18"/>
  <c r="G260" i="18"/>
  <c r="P259" i="18"/>
  <c r="M259" i="18"/>
  <c r="G259" i="18"/>
  <c r="P258" i="18"/>
  <c r="M258" i="18"/>
  <c r="G258" i="18"/>
  <c r="P257" i="18"/>
  <c r="M257" i="18"/>
  <c r="G257" i="18"/>
  <c r="P256" i="18"/>
  <c r="M256" i="18"/>
  <c r="G256" i="18"/>
  <c r="P255" i="18"/>
  <c r="M255" i="18"/>
  <c r="G255" i="18"/>
  <c r="P254" i="18"/>
  <c r="M254" i="18"/>
  <c r="G254" i="18"/>
  <c r="P253" i="18"/>
  <c r="M253" i="18"/>
  <c r="G253" i="18"/>
  <c r="P252" i="18"/>
  <c r="M252" i="18"/>
  <c r="G252" i="18"/>
  <c r="P251" i="18"/>
  <c r="M251" i="18"/>
  <c r="L251" i="18"/>
  <c r="K251" i="18"/>
  <c r="G251" i="18"/>
  <c r="E251" i="18"/>
  <c r="K250" i="18"/>
  <c r="I250" i="18"/>
  <c r="M250" i="18" s="1"/>
  <c r="P250" i="18" s="1"/>
  <c r="G250" i="18"/>
  <c r="P249" i="18"/>
  <c r="M249" i="18"/>
  <c r="K249" i="18"/>
  <c r="G249" i="18"/>
  <c r="P248" i="18"/>
  <c r="M248" i="18"/>
  <c r="K248" i="18"/>
  <c r="G248" i="18"/>
  <c r="M247" i="18"/>
  <c r="P247" i="18" s="1"/>
  <c r="K247" i="18"/>
  <c r="G247" i="18"/>
  <c r="P246" i="18"/>
  <c r="M246" i="18"/>
  <c r="K246" i="18"/>
  <c r="G246" i="18"/>
  <c r="P245" i="18"/>
  <c r="M245" i="18"/>
  <c r="K245" i="18"/>
  <c r="G245" i="18"/>
  <c r="K244" i="18"/>
  <c r="G244" i="18"/>
  <c r="P243" i="18"/>
  <c r="M243" i="18"/>
  <c r="K243" i="18"/>
  <c r="G243" i="18"/>
  <c r="M242" i="18"/>
  <c r="P242" i="18" s="1"/>
  <c r="K242" i="18"/>
  <c r="G242" i="18"/>
  <c r="P241" i="18"/>
  <c r="M241" i="18"/>
  <c r="I241" i="18"/>
  <c r="K241" i="18" s="1"/>
  <c r="G241" i="18"/>
  <c r="M240" i="18"/>
  <c r="P240" i="18" s="1"/>
  <c r="K240" i="18"/>
  <c r="G240" i="18"/>
  <c r="K239" i="18"/>
  <c r="G239" i="18"/>
  <c r="M238" i="18"/>
  <c r="P238" i="18" s="1"/>
  <c r="G238" i="18"/>
  <c r="M237" i="18"/>
  <c r="P237" i="18" s="1"/>
  <c r="G237" i="18"/>
  <c r="M236" i="18"/>
  <c r="P236" i="18" s="1"/>
  <c r="G236" i="18"/>
  <c r="M235" i="18"/>
  <c r="P235" i="18" s="1"/>
  <c r="G235" i="18"/>
  <c r="M234" i="18"/>
  <c r="P234" i="18" s="1"/>
  <c r="G234" i="18"/>
  <c r="M233" i="18"/>
  <c r="P233" i="18" s="1"/>
  <c r="K233" i="18"/>
  <c r="G233" i="18"/>
  <c r="M232" i="18"/>
  <c r="P232" i="18" s="1"/>
  <c r="G232" i="18"/>
  <c r="P231" i="18"/>
  <c r="M231" i="18"/>
  <c r="G231" i="18"/>
  <c r="P230" i="18"/>
  <c r="M230" i="18"/>
  <c r="G230" i="18"/>
  <c r="P229" i="18"/>
  <c r="M229" i="18"/>
  <c r="G229" i="18"/>
  <c r="M228" i="18"/>
  <c r="P228" i="18" s="1"/>
  <c r="G228" i="18"/>
  <c r="P227" i="18"/>
  <c r="M227" i="18"/>
  <c r="G227" i="18"/>
  <c r="P226" i="18"/>
  <c r="M226" i="18"/>
  <c r="G226" i="18"/>
  <c r="P225" i="18"/>
  <c r="M225" i="18"/>
  <c r="G225" i="18"/>
  <c r="M224" i="18"/>
  <c r="P224" i="18" s="1"/>
  <c r="G224" i="18"/>
  <c r="P223" i="18"/>
  <c r="M223" i="18"/>
  <c r="G223" i="18"/>
  <c r="P222" i="18"/>
  <c r="M222" i="18"/>
  <c r="G222" i="18"/>
  <c r="P221" i="18"/>
  <c r="M221" i="18"/>
  <c r="G221" i="18"/>
  <c r="M220" i="18"/>
  <c r="P220" i="18" s="1"/>
  <c r="G220" i="18"/>
  <c r="G219" i="18"/>
  <c r="E219" i="18"/>
  <c r="M219" i="18" s="1"/>
  <c r="P219" i="18" s="1"/>
  <c r="M218" i="18"/>
  <c r="P218" i="18" s="1"/>
  <c r="G218" i="18"/>
  <c r="E218" i="18"/>
  <c r="P217" i="18"/>
  <c r="M217" i="18"/>
  <c r="G217" i="18"/>
  <c r="P216" i="18"/>
  <c r="M216" i="18"/>
  <c r="G216" i="18"/>
  <c r="P214" i="18"/>
  <c r="M214" i="18"/>
  <c r="G214" i="18"/>
  <c r="P213" i="18"/>
  <c r="M213" i="18"/>
  <c r="G213" i="18"/>
  <c r="P212" i="18"/>
  <c r="M212" i="18"/>
  <c r="G212" i="18"/>
  <c r="P211" i="18"/>
  <c r="M211" i="18"/>
  <c r="G211" i="18"/>
  <c r="P210" i="18"/>
  <c r="M210" i="18"/>
  <c r="G210" i="18"/>
  <c r="P209" i="18"/>
  <c r="M209" i="18"/>
  <c r="G209" i="18"/>
  <c r="P208" i="18"/>
  <c r="M208" i="18"/>
  <c r="G208" i="18"/>
  <c r="P207" i="18"/>
  <c r="M207" i="18"/>
  <c r="G207" i="18"/>
  <c r="P206" i="18"/>
  <c r="M206" i="18"/>
  <c r="G206" i="18"/>
  <c r="P205" i="18"/>
  <c r="M205" i="18"/>
  <c r="G205" i="18"/>
  <c r="P204" i="18"/>
  <c r="M204" i="18"/>
  <c r="G204" i="18"/>
  <c r="P203" i="18"/>
  <c r="M203" i="18"/>
  <c r="G203" i="18"/>
  <c r="P202" i="18"/>
  <c r="M202" i="18"/>
  <c r="G202" i="18"/>
  <c r="P201" i="18"/>
  <c r="M201" i="18"/>
  <c r="M200" i="18"/>
  <c r="P200" i="18" s="1"/>
  <c r="K200" i="18"/>
  <c r="G200" i="18"/>
  <c r="P199" i="18"/>
  <c r="M199" i="18"/>
  <c r="M198" i="18"/>
  <c r="P198" i="18" s="1"/>
  <c r="K198" i="18"/>
  <c r="G198" i="18"/>
  <c r="P197" i="18"/>
  <c r="M197" i="18"/>
  <c r="G197" i="18"/>
  <c r="K196" i="18"/>
  <c r="I196" i="18"/>
  <c r="G196" i="18"/>
  <c r="E195" i="18"/>
  <c r="M195" i="18" s="1"/>
  <c r="P195" i="18" s="1"/>
  <c r="M194" i="18"/>
  <c r="P194" i="18" s="1"/>
  <c r="G194" i="18"/>
  <c r="K193" i="18"/>
  <c r="I193" i="18"/>
  <c r="G193" i="18"/>
  <c r="E193" i="18"/>
  <c r="M193" i="18" s="1"/>
  <c r="P193" i="18" s="1"/>
  <c r="M192" i="18"/>
  <c r="P192" i="18" s="1"/>
  <c r="G192" i="18"/>
  <c r="M191" i="18"/>
  <c r="P191" i="18" s="1"/>
  <c r="G191" i="18"/>
  <c r="M190" i="18"/>
  <c r="P190" i="18" s="1"/>
  <c r="G190" i="18"/>
  <c r="M189" i="18"/>
  <c r="P189" i="18" s="1"/>
  <c r="G189" i="18"/>
  <c r="M188" i="18"/>
  <c r="P188" i="18" s="1"/>
  <c r="G188" i="18"/>
  <c r="M187" i="18"/>
  <c r="P187" i="18" s="1"/>
  <c r="G187" i="18"/>
  <c r="M186" i="18"/>
  <c r="P186" i="18" s="1"/>
  <c r="G186" i="18"/>
  <c r="M185" i="18"/>
  <c r="P185" i="18" s="1"/>
  <c r="G185" i="18"/>
  <c r="M184" i="18"/>
  <c r="P184" i="18" s="1"/>
  <c r="G184" i="18"/>
  <c r="M183" i="18"/>
  <c r="P183" i="18" s="1"/>
  <c r="G183" i="18"/>
  <c r="E183" i="18"/>
  <c r="E182" i="18"/>
  <c r="M182" i="18" s="1"/>
  <c r="P182" i="18" s="1"/>
  <c r="P181" i="18"/>
  <c r="M181" i="18"/>
  <c r="G181" i="18"/>
  <c r="K180" i="18"/>
  <c r="I180" i="18"/>
  <c r="G180" i="18"/>
  <c r="P179" i="18"/>
  <c r="M179" i="18"/>
  <c r="L179" i="18"/>
  <c r="K179" i="18"/>
  <c r="I179" i="18"/>
  <c r="G179" i="18"/>
  <c r="P178" i="18"/>
  <c r="M178" i="18"/>
  <c r="G178" i="18"/>
  <c r="P177" i="18"/>
  <c r="M177" i="18"/>
  <c r="E177" i="18"/>
  <c r="G177" i="18" s="1"/>
  <c r="P176" i="18"/>
  <c r="M176" i="18"/>
  <c r="G176" i="18"/>
  <c r="P175" i="18"/>
  <c r="M175" i="18"/>
  <c r="G175" i="18"/>
  <c r="M174" i="18"/>
  <c r="P174" i="18" s="1"/>
  <c r="G174" i="18"/>
  <c r="P173" i="18"/>
  <c r="M173" i="18"/>
  <c r="K173" i="18"/>
  <c r="G173" i="18"/>
  <c r="K172" i="18"/>
  <c r="E172" i="18"/>
  <c r="M172" i="18" s="1"/>
  <c r="P172" i="18" s="1"/>
  <c r="M171" i="18"/>
  <c r="P171" i="18" s="1"/>
  <c r="K171" i="18"/>
  <c r="G171" i="18"/>
  <c r="M170" i="18"/>
  <c r="P170" i="18" s="1"/>
  <c r="L170" i="18"/>
  <c r="K170" i="18"/>
  <c r="G170" i="18"/>
  <c r="P169" i="18"/>
  <c r="M169" i="18"/>
  <c r="K169" i="18"/>
  <c r="G169" i="18"/>
  <c r="M168" i="18"/>
  <c r="P168" i="18" s="1"/>
  <c r="L168" i="18"/>
  <c r="G168" i="18"/>
  <c r="P167" i="18"/>
  <c r="M167" i="18"/>
  <c r="M166" i="18"/>
  <c r="P166" i="18" s="1"/>
  <c r="K166" i="18"/>
  <c r="K165" i="18"/>
  <c r="E165" i="18"/>
  <c r="M165" i="18" s="1"/>
  <c r="P165" i="18" s="1"/>
  <c r="K163" i="18"/>
  <c r="E163" i="18"/>
  <c r="M163" i="18" s="1"/>
  <c r="P163" i="18" s="1"/>
  <c r="K162" i="18"/>
  <c r="I162" i="18"/>
  <c r="E162" i="18"/>
  <c r="M162" i="18" s="1"/>
  <c r="P162" i="18" s="1"/>
  <c r="J475" i="18"/>
  <c r="G161" i="18"/>
  <c r="G160" i="18"/>
  <c r="E160" i="18"/>
  <c r="M160" i="18" s="1"/>
  <c r="P160" i="18" s="1"/>
  <c r="M159" i="18"/>
  <c r="P159" i="18" s="1"/>
  <c r="G159" i="18"/>
  <c r="M158" i="18"/>
  <c r="P158" i="18" s="1"/>
  <c r="G158" i="18"/>
  <c r="M157" i="18"/>
  <c r="P157" i="18" s="1"/>
  <c r="L157" i="18"/>
  <c r="I157" i="18"/>
  <c r="K157" i="18" s="1"/>
  <c r="G157" i="18"/>
  <c r="M156" i="18"/>
  <c r="P156" i="18" s="1"/>
  <c r="G156" i="18"/>
  <c r="M155" i="18"/>
  <c r="P155" i="18" s="1"/>
  <c r="G155" i="18"/>
  <c r="M154" i="18"/>
  <c r="P154" i="18" s="1"/>
  <c r="G154" i="18"/>
  <c r="M153" i="18"/>
  <c r="P153" i="18" s="1"/>
  <c r="G153" i="18"/>
  <c r="M152" i="18"/>
  <c r="P152" i="18" s="1"/>
  <c r="P151" i="18"/>
  <c r="M151" i="18"/>
  <c r="G151" i="18"/>
  <c r="M150" i="18"/>
  <c r="P150" i="18" s="1"/>
  <c r="G150" i="18"/>
  <c r="P149" i="18"/>
  <c r="M149" i="18"/>
  <c r="P148" i="18"/>
  <c r="M148" i="18"/>
  <c r="E148" i="18"/>
  <c r="P147" i="18"/>
  <c r="M147" i="18"/>
  <c r="G147" i="18"/>
  <c r="P146" i="18"/>
  <c r="M146" i="18"/>
  <c r="G146" i="18"/>
  <c r="P145" i="18"/>
  <c r="M145" i="18"/>
  <c r="M144" i="18"/>
  <c r="P144" i="18" s="1"/>
  <c r="P143" i="18"/>
  <c r="M143" i="18"/>
  <c r="G143" i="18"/>
  <c r="P142" i="18"/>
  <c r="M142" i="18"/>
  <c r="P141" i="18"/>
  <c r="M141" i="18"/>
  <c r="G141" i="18"/>
  <c r="P140" i="18"/>
  <c r="M140" i="18"/>
  <c r="G140" i="18"/>
  <c r="I139" i="18"/>
  <c r="M139" i="18" s="1"/>
  <c r="P139" i="18" s="1"/>
  <c r="G139" i="18"/>
  <c r="E138" i="18"/>
  <c r="M138" i="18" s="1"/>
  <c r="P138" i="18" s="1"/>
  <c r="P137" i="18"/>
  <c r="M137" i="18"/>
  <c r="G137" i="18"/>
  <c r="P136" i="18"/>
  <c r="M136" i="18"/>
  <c r="G136" i="18"/>
  <c r="E135" i="18"/>
  <c r="M135" i="18" s="1"/>
  <c r="P135" i="18" s="1"/>
  <c r="M134" i="18"/>
  <c r="P134" i="18" s="1"/>
  <c r="G134" i="18"/>
  <c r="G133" i="18"/>
  <c r="E133" i="18"/>
  <c r="M133" i="18" s="1"/>
  <c r="P133" i="18" s="1"/>
  <c r="M132" i="18"/>
  <c r="P132" i="18" s="1"/>
  <c r="G132" i="18"/>
  <c r="M131" i="18"/>
  <c r="P131" i="18" s="1"/>
  <c r="G131" i="18"/>
  <c r="M130" i="18"/>
  <c r="P130" i="18" s="1"/>
  <c r="L130" i="18"/>
  <c r="E130" i="18"/>
  <c r="G130" i="18" s="1"/>
  <c r="P129" i="18"/>
  <c r="M129" i="18"/>
  <c r="G129" i="18"/>
  <c r="P128" i="18"/>
  <c r="M128" i="18"/>
  <c r="G128" i="18"/>
  <c r="M127" i="18"/>
  <c r="P127" i="18" s="1"/>
  <c r="G127" i="18"/>
  <c r="P126" i="18"/>
  <c r="M126" i="18"/>
  <c r="G126" i="18"/>
  <c r="P125" i="18"/>
  <c r="M125" i="18"/>
  <c r="G125" i="18"/>
  <c r="L124" i="18"/>
  <c r="M124" i="18" s="1"/>
  <c r="P124" i="18" s="1"/>
  <c r="G124" i="18"/>
  <c r="M123" i="18"/>
  <c r="P123" i="18" s="1"/>
  <c r="G123" i="18"/>
  <c r="M122" i="18"/>
  <c r="P122" i="18" s="1"/>
  <c r="G122" i="18"/>
  <c r="M121" i="18"/>
  <c r="P121" i="18" s="1"/>
  <c r="K121" i="18"/>
  <c r="G121" i="18"/>
  <c r="P120" i="18"/>
  <c r="M120" i="18"/>
  <c r="G120" i="18"/>
  <c r="P119" i="18"/>
  <c r="M119" i="18"/>
  <c r="G119" i="18"/>
  <c r="P118" i="18"/>
  <c r="M118" i="18"/>
  <c r="L118" i="18"/>
  <c r="G118" i="18"/>
  <c r="G117" i="18"/>
  <c r="E117" i="18"/>
  <c r="M117" i="18" s="1"/>
  <c r="P117" i="18" s="1"/>
  <c r="M116" i="18"/>
  <c r="P116" i="18" s="1"/>
  <c r="G116" i="18"/>
  <c r="M115" i="18"/>
  <c r="P115" i="18" s="1"/>
  <c r="G115" i="18"/>
  <c r="M114" i="18"/>
  <c r="P114" i="18" s="1"/>
  <c r="G114" i="18"/>
  <c r="M113" i="18"/>
  <c r="P113" i="18" s="1"/>
  <c r="G113" i="18"/>
  <c r="M112" i="18"/>
  <c r="P112" i="18" s="1"/>
  <c r="G112" i="18"/>
  <c r="M111" i="18"/>
  <c r="P111" i="18" s="1"/>
  <c r="G111" i="18"/>
  <c r="M110" i="18"/>
  <c r="P110" i="18" s="1"/>
  <c r="G110" i="18"/>
  <c r="M109" i="18"/>
  <c r="P109" i="18" s="1"/>
  <c r="G109" i="18"/>
  <c r="M108" i="18"/>
  <c r="P108" i="18" s="1"/>
  <c r="G108" i="18"/>
  <c r="M107" i="18"/>
  <c r="P107" i="18" s="1"/>
  <c r="G107" i="18"/>
  <c r="M106" i="18"/>
  <c r="P106" i="18" s="1"/>
  <c r="G106" i="18"/>
  <c r="E106" i="18"/>
  <c r="P105" i="18"/>
  <c r="M105" i="18"/>
  <c r="G105" i="18"/>
  <c r="P104" i="18"/>
  <c r="M104" i="18"/>
  <c r="G104" i="18"/>
  <c r="E103" i="18"/>
  <c r="M103" i="18" s="1"/>
  <c r="P103" i="18" s="1"/>
  <c r="P102" i="18"/>
  <c r="M102" i="18"/>
  <c r="G102" i="18"/>
  <c r="M101" i="18"/>
  <c r="P101" i="18" s="1"/>
  <c r="G101" i="18"/>
  <c r="P100" i="18"/>
  <c r="M100" i="18"/>
  <c r="G100" i="18"/>
  <c r="P99" i="18"/>
  <c r="M99" i="18"/>
  <c r="G99" i="18"/>
  <c r="P98" i="18"/>
  <c r="M98" i="18"/>
  <c r="G98" i="18"/>
  <c r="M97" i="18"/>
  <c r="P97" i="18" s="1"/>
  <c r="G97" i="18"/>
  <c r="P96" i="18"/>
  <c r="M96" i="18"/>
  <c r="G96" i="18"/>
  <c r="G95" i="18"/>
  <c r="E95" i="18"/>
  <c r="M95" i="18" s="1"/>
  <c r="P95" i="18" s="1"/>
  <c r="E94" i="18"/>
  <c r="M94" i="18" s="1"/>
  <c r="P94" i="18" s="1"/>
  <c r="P93" i="18"/>
  <c r="M93" i="18"/>
  <c r="G93" i="18"/>
  <c r="G92" i="18"/>
  <c r="P91" i="18"/>
  <c r="M91" i="18"/>
  <c r="G91" i="18"/>
  <c r="M90" i="18"/>
  <c r="P90" i="18" s="1"/>
  <c r="G90" i="18"/>
  <c r="K89" i="18"/>
  <c r="I89" i="18"/>
  <c r="M89" i="18" s="1"/>
  <c r="P89" i="18" s="1"/>
  <c r="G89" i="18"/>
  <c r="P88" i="18"/>
  <c r="M88" i="18"/>
  <c r="M87" i="18"/>
  <c r="P87" i="18" s="1"/>
  <c r="K87" i="18"/>
  <c r="G87" i="18"/>
  <c r="P86" i="18"/>
  <c r="M86" i="18"/>
  <c r="K86" i="18"/>
  <c r="G86" i="18"/>
  <c r="P85" i="18"/>
  <c r="M85" i="18"/>
  <c r="G85" i="18"/>
  <c r="P84" i="18"/>
  <c r="M84" i="18"/>
  <c r="G84" i="18"/>
  <c r="M83" i="18"/>
  <c r="P83" i="18" s="1"/>
  <c r="G83" i="18"/>
  <c r="P82" i="18"/>
  <c r="M82" i="18"/>
  <c r="G82" i="18"/>
  <c r="P81" i="18"/>
  <c r="M81" i="18"/>
  <c r="G81" i="18"/>
  <c r="P80" i="18"/>
  <c r="M80" i="18"/>
  <c r="K80" i="18"/>
  <c r="G80" i="18"/>
  <c r="M79" i="18"/>
  <c r="P79" i="18" s="1"/>
  <c r="G79" i="18"/>
  <c r="M78" i="18"/>
  <c r="P78" i="18" s="1"/>
  <c r="G78" i="18"/>
  <c r="M77" i="18"/>
  <c r="P77" i="18" s="1"/>
  <c r="G77" i="18"/>
  <c r="M76" i="18"/>
  <c r="P76" i="18" s="1"/>
  <c r="G76" i="18"/>
  <c r="P75" i="18"/>
  <c r="M75" i="18"/>
  <c r="I75" i="18"/>
  <c r="K75" i="18" s="1"/>
  <c r="G75" i="18"/>
  <c r="M74" i="18"/>
  <c r="P74" i="18" s="1"/>
  <c r="G74" i="18"/>
  <c r="M73" i="18"/>
  <c r="P73" i="18" s="1"/>
  <c r="G73" i="18"/>
  <c r="M72" i="18"/>
  <c r="P72" i="18" s="1"/>
  <c r="G72" i="18"/>
  <c r="M71" i="18"/>
  <c r="P71" i="18" s="1"/>
  <c r="G71" i="18"/>
  <c r="M70" i="18"/>
  <c r="P70" i="18" s="1"/>
  <c r="G70" i="18"/>
  <c r="M69" i="18"/>
  <c r="P69" i="18" s="1"/>
  <c r="G69" i="18"/>
  <c r="M68" i="18"/>
  <c r="P68" i="18" s="1"/>
  <c r="G68" i="18"/>
  <c r="M67" i="18"/>
  <c r="P67" i="18" s="1"/>
  <c r="G67" i="18"/>
  <c r="M66" i="18"/>
  <c r="P66" i="18" s="1"/>
  <c r="G66" i="18"/>
  <c r="M65" i="18"/>
  <c r="P65" i="18" s="1"/>
  <c r="K65" i="18"/>
  <c r="G65" i="18"/>
  <c r="P64" i="18"/>
  <c r="M64" i="18"/>
  <c r="K64" i="18"/>
  <c r="P63" i="18"/>
  <c r="M63" i="18"/>
  <c r="K63" i="18"/>
  <c r="P62" i="18"/>
  <c r="M62" i="18"/>
  <c r="K62" i="18"/>
  <c r="P61" i="18"/>
  <c r="M61" i="18"/>
  <c r="K61" i="18"/>
  <c r="G61" i="18"/>
  <c r="P60" i="18"/>
  <c r="M60" i="18"/>
  <c r="K60" i="18"/>
  <c r="G60" i="18"/>
  <c r="M59" i="18"/>
  <c r="P59" i="18" s="1"/>
  <c r="K59" i="18"/>
  <c r="G59" i="18"/>
  <c r="P58" i="18"/>
  <c r="M58" i="18"/>
  <c r="K58" i="18"/>
  <c r="G58" i="18"/>
  <c r="P57" i="18"/>
  <c r="M57" i="18"/>
  <c r="K57" i="18"/>
  <c r="G57" i="18"/>
  <c r="M56" i="18"/>
  <c r="P56" i="18" s="1"/>
  <c r="K56" i="18"/>
  <c r="G56" i="18"/>
  <c r="L55" i="18"/>
  <c r="M55" i="18" s="1"/>
  <c r="P55" i="18" s="1"/>
  <c r="K55" i="18"/>
  <c r="G55" i="18"/>
  <c r="M54" i="18"/>
  <c r="P54" i="18" s="1"/>
  <c r="K54" i="18"/>
  <c r="G54" i="18"/>
  <c r="L53" i="18"/>
  <c r="E53" i="18"/>
  <c r="M53" i="18" s="1"/>
  <c r="P53" i="18" s="1"/>
  <c r="P52" i="18"/>
  <c r="M52" i="18"/>
  <c r="G52" i="18"/>
  <c r="P51" i="18"/>
  <c r="M51" i="18"/>
  <c r="G51" i="18"/>
  <c r="P50" i="18"/>
  <c r="M50" i="18"/>
  <c r="G50" i="18"/>
  <c r="P49" i="18"/>
  <c r="M49" i="18"/>
  <c r="G49" i="18"/>
  <c r="P48" i="18"/>
  <c r="M48" i="18"/>
  <c r="G48" i="18"/>
  <c r="P47" i="18"/>
  <c r="M47" i="18"/>
  <c r="G47" i="18"/>
  <c r="P46" i="18"/>
  <c r="M46" i="18"/>
  <c r="G46" i="18"/>
  <c r="P45" i="18"/>
  <c r="M45" i="18"/>
  <c r="G45" i="18"/>
  <c r="P44" i="18"/>
  <c r="M44" i="18"/>
  <c r="G44" i="18"/>
  <c r="G43" i="18"/>
  <c r="P42" i="18"/>
  <c r="M42" i="18"/>
  <c r="G42" i="18"/>
  <c r="M41" i="18"/>
  <c r="P41" i="18" s="1"/>
  <c r="K41" i="18"/>
  <c r="G41" i="18"/>
  <c r="M40" i="18"/>
  <c r="P40" i="18" s="1"/>
  <c r="G40" i="18"/>
  <c r="M39" i="18"/>
  <c r="P39" i="18" s="1"/>
  <c r="G39" i="18"/>
  <c r="M38" i="18"/>
  <c r="P38" i="18" s="1"/>
  <c r="G38" i="18"/>
  <c r="M37" i="18"/>
  <c r="P37" i="18" s="1"/>
  <c r="G37" i="18"/>
  <c r="M36" i="18"/>
  <c r="P36" i="18" s="1"/>
  <c r="G36" i="18"/>
  <c r="M35" i="18"/>
  <c r="P35" i="18" s="1"/>
  <c r="G35" i="18"/>
  <c r="E34" i="18"/>
  <c r="M34" i="18" s="1"/>
  <c r="P34" i="18" s="1"/>
  <c r="P33" i="18"/>
  <c r="M33" i="18"/>
  <c r="G33" i="18"/>
  <c r="P32" i="18"/>
  <c r="M32" i="18"/>
  <c r="G32" i="18"/>
  <c r="P31" i="18"/>
  <c r="M31" i="18"/>
  <c r="G31" i="18"/>
  <c r="P30" i="18"/>
  <c r="M30" i="18"/>
  <c r="G30" i="18"/>
  <c r="P29" i="18"/>
  <c r="M29" i="18"/>
  <c r="G29" i="18"/>
  <c r="P28" i="18"/>
  <c r="M28" i="18"/>
  <c r="G28" i="18"/>
  <c r="P26" i="18"/>
  <c r="M26" i="18"/>
  <c r="G26" i="18"/>
  <c r="P25" i="18"/>
  <c r="M25" i="18"/>
  <c r="G25" i="18"/>
  <c r="M24" i="18"/>
  <c r="P24" i="18" s="1"/>
  <c r="G24" i="18"/>
  <c r="M23" i="18"/>
  <c r="P23" i="18" s="1"/>
  <c r="G23" i="18"/>
  <c r="M22" i="18"/>
  <c r="P22" i="18" s="1"/>
  <c r="G22" i="18"/>
  <c r="P21" i="18"/>
  <c r="M21" i="18"/>
  <c r="G21" i="18"/>
  <c r="G20" i="18"/>
  <c r="E20" i="18"/>
  <c r="M20" i="18" s="1"/>
  <c r="P20" i="18" s="1"/>
  <c r="M19" i="18"/>
  <c r="P19" i="18" s="1"/>
  <c r="G19" i="18"/>
  <c r="M18" i="18"/>
  <c r="P18" i="18" s="1"/>
  <c r="G18" i="18"/>
  <c r="M17" i="18"/>
  <c r="P17" i="18" s="1"/>
  <c r="G17" i="18"/>
  <c r="M16" i="18"/>
  <c r="P16" i="18" s="1"/>
  <c r="G16" i="18"/>
  <c r="M15" i="18"/>
  <c r="P15" i="18" s="1"/>
  <c r="G15" i="18"/>
  <c r="M14" i="18"/>
  <c r="P14" i="18" s="1"/>
  <c r="G14" i="18"/>
  <c r="E14" i="18"/>
  <c r="P13" i="18"/>
  <c r="M13" i="18"/>
  <c r="G13" i="18"/>
  <c r="P12" i="18"/>
  <c r="M12" i="18"/>
  <c r="G12" i="18"/>
  <c r="P11" i="18"/>
  <c r="M11" i="18"/>
  <c r="G11" i="18"/>
  <c r="P10" i="18"/>
  <c r="M10" i="18"/>
  <c r="G10" i="18"/>
  <c r="M9" i="18"/>
  <c r="P9" i="18" s="1"/>
  <c r="G9" i="18"/>
  <c r="M8" i="18"/>
  <c r="G8" i="18"/>
  <c r="E8" i="18"/>
  <c r="L388" i="17"/>
  <c r="M389" i="17"/>
  <c r="L316" i="17"/>
  <c r="M316" i="17" s="1"/>
  <c r="P316" i="17" s="1"/>
  <c r="L54" i="17"/>
  <c r="L250" i="17"/>
  <c r="M250" i="17" s="1"/>
  <c r="P250" i="17" s="1"/>
  <c r="L391" i="17"/>
  <c r="M391" i="17" s="1"/>
  <c r="P391" i="17" s="1"/>
  <c r="L163" i="17"/>
  <c r="L426" i="17"/>
  <c r="M426" i="17" s="1"/>
  <c r="P426" i="17" s="1"/>
  <c r="L92" i="17"/>
  <c r="M92" i="17" s="1"/>
  <c r="P92" i="17" s="1"/>
  <c r="L76" i="17"/>
  <c r="M54" i="17"/>
  <c r="P54" i="17" s="1"/>
  <c r="L239" i="17"/>
  <c r="M239" i="17" s="1"/>
  <c r="P239" i="17" s="1"/>
  <c r="L233" i="17"/>
  <c r="K472" i="17"/>
  <c r="K471" i="17"/>
  <c r="F339" i="17"/>
  <c r="J340" i="17"/>
  <c r="J341" i="17"/>
  <c r="K344" i="17"/>
  <c r="K346" i="17"/>
  <c r="M470" i="17"/>
  <c r="M471" i="17"/>
  <c r="P471" i="17" s="1"/>
  <c r="M472" i="17"/>
  <c r="P472" i="17" s="1"/>
  <c r="M473" i="17"/>
  <c r="K470" i="17"/>
  <c r="F333" i="17"/>
  <c r="P333" i="17" s="1"/>
  <c r="F334" i="17"/>
  <c r="F335" i="17"/>
  <c r="F336" i="17"/>
  <c r="P336" i="17" s="1"/>
  <c r="F337" i="17"/>
  <c r="F338" i="17"/>
  <c r="F332" i="17"/>
  <c r="P332" i="17" s="1"/>
  <c r="P473" i="17"/>
  <c r="K473" i="17"/>
  <c r="P470" i="17"/>
  <c r="M469" i="17"/>
  <c r="P469" i="17" s="1"/>
  <c r="K469" i="17"/>
  <c r="M468" i="17"/>
  <c r="P468" i="17" s="1"/>
  <c r="K468" i="17"/>
  <c r="P467" i="17"/>
  <c r="M467" i="17"/>
  <c r="K467" i="17"/>
  <c r="P466" i="17"/>
  <c r="M466" i="17"/>
  <c r="K466" i="17"/>
  <c r="M465" i="17"/>
  <c r="P465" i="17" s="1"/>
  <c r="K465" i="17"/>
  <c r="M464" i="17"/>
  <c r="P464" i="17" s="1"/>
  <c r="K464" i="17"/>
  <c r="P463" i="17"/>
  <c r="M463" i="17"/>
  <c r="K463" i="17"/>
  <c r="P462" i="17"/>
  <c r="M462" i="17"/>
  <c r="K462" i="17"/>
  <c r="M461" i="17"/>
  <c r="P461" i="17" s="1"/>
  <c r="K461" i="17"/>
  <c r="M460" i="17"/>
  <c r="P460" i="17" s="1"/>
  <c r="K460" i="17"/>
  <c r="P459" i="17"/>
  <c r="M459" i="17"/>
  <c r="K459" i="17"/>
  <c r="P458" i="17"/>
  <c r="M458" i="17"/>
  <c r="K458" i="17"/>
  <c r="M457" i="17"/>
  <c r="P457" i="17" s="1"/>
  <c r="K457" i="17"/>
  <c r="M456" i="17"/>
  <c r="P456" i="17" s="1"/>
  <c r="K456" i="17"/>
  <c r="P455" i="17"/>
  <c r="M455" i="17"/>
  <c r="K455" i="17"/>
  <c r="P454" i="17"/>
  <c r="M454" i="17"/>
  <c r="K454" i="17"/>
  <c r="M453" i="17"/>
  <c r="P453" i="17" s="1"/>
  <c r="K453" i="17"/>
  <c r="M452" i="17"/>
  <c r="P452" i="17" s="1"/>
  <c r="M451" i="17"/>
  <c r="P451" i="17" s="1"/>
  <c r="K451" i="17"/>
  <c r="L450" i="17"/>
  <c r="E450" i="17"/>
  <c r="M450" i="17" s="1"/>
  <c r="M449" i="17"/>
  <c r="M448" i="17"/>
  <c r="K448" i="17"/>
  <c r="M447" i="17"/>
  <c r="M446" i="17"/>
  <c r="M445" i="17"/>
  <c r="M444" i="17"/>
  <c r="M443" i="17"/>
  <c r="L443" i="17"/>
  <c r="M442" i="17"/>
  <c r="M441" i="17"/>
  <c r="M440" i="17"/>
  <c r="P439" i="17"/>
  <c r="M439" i="17"/>
  <c r="K439" i="17"/>
  <c r="M438" i="17"/>
  <c r="P438" i="17" s="1"/>
  <c r="K438" i="17"/>
  <c r="M437" i="17"/>
  <c r="P437" i="17" s="1"/>
  <c r="K437" i="17"/>
  <c r="M436" i="17"/>
  <c r="P436" i="17" s="1"/>
  <c r="K436" i="17"/>
  <c r="P435" i="17"/>
  <c r="M435" i="17"/>
  <c r="K435" i="17"/>
  <c r="M434" i="17"/>
  <c r="P434" i="17" s="1"/>
  <c r="K434" i="17"/>
  <c r="M433" i="17"/>
  <c r="P433" i="17" s="1"/>
  <c r="K433" i="17"/>
  <c r="M432" i="17"/>
  <c r="P432" i="17" s="1"/>
  <c r="K432" i="17"/>
  <c r="G432" i="17"/>
  <c r="M431" i="17"/>
  <c r="P431" i="17" s="1"/>
  <c r="K431" i="17"/>
  <c r="M430" i="17"/>
  <c r="P430" i="17" s="1"/>
  <c r="K430" i="17"/>
  <c r="M429" i="17"/>
  <c r="P429" i="17" s="1"/>
  <c r="K429" i="17"/>
  <c r="P428" i="17"/>
  <c r="M428" i="17"/>
  <c r="K428" i="17"/>
  <c r="K427" i="17"/>
  <c r="M427" i="17"/>
  <c r="K426" i="17"/>
  <c r="I426" i="17"/>
  <c r="P425" i="17"/>
  <c r="M425" i="17"/>
  <c r="K425" i="17"/>
  <c r="M424" i="17"/>
  <c r="P424" i="17" s="1"/>
  <c r="K424" i="17"/>
  <c r="M423" i="17"/>
  <c r="P423" i="17" s="1"/>
  <c r="K423" i="17"/>
  <c r="P422" i="17"/>
  <c r="M422" i="17"/>
  <c r="K422" i="17"/>
  <c r="P421" i="17"/>
  <c r="M421" i="17"/>
  <c r="K421" i="17"/>
  <c r="M420" i="17"/>
  <c r="P420" i="17" s="1"/>
  <c r="K420" i="17"/>
  <c r="M419" i="17"/>
  <c r="P419" i="17" s="1"/>
  <c r="K419" i="17"/>
  <c r="P418" i="17"/>
  <c r="M418" i="17"/>
  <c r="K418" i="17"/>
  <c r="P417" i="17"/>
  <c r="M417" i="17"/>
  <c r="K417" i="17"/>
  <c r="M416" i="17"/>
  <c r="P416" i="17" s="1"/>
  <c r="K416" i="17"/>
  <c r="M415" i="17"/>
  <c r="P415" i="17" s="1"/>
  <c r="K415" i="17"/>
  <c r="P414" i="17"/>
  <c r="M414" i="17"/>
  <c r="K414" i="17"/>
  <c r="P413" i="17"/>
  <c r="M413" i="17"/>
  <c r="K413" i="17"/>
  <c r="M412" i="17"/>
  <c r="P412" i="17" s="1"/>
  <c r="K412" i="17"/>
  <c r="M411" i="17"/>
  <c r="P411" i="17" s="1"/>
  <c r="K411" i="17"/>
  <c r="P410" i="17"/>
  <c r="M410" i="17"/>
  <c r="K410" i="17"/>
  <c r="P409" i="17"/>
  <c r="M409" i="17"/>
  <c r="K409" i="17"/>
  <c r="M408" i="17"/>
  <c r="P408" i="17" s="1"/>
  <c r="K408" i="17"/>
  <c r="M407" i="17"/>
  <c r="P407" i="17" s="1"/>
  <c r="K407" i="17"/>
  <c r="P406" i="17"/>
  <c r="M406" i="17"/>
  <c r="K406" i="17"/>
  <c r="P405" i="17"/>
  <c r="M405" i="17"/>
  <c r="K405" i="17"/>
  <c r="M404" i="17"/>
  <c r="P404" i="17" s="1"/>
  <c r="K404" i="17"/>
  <c r="M403" i="17"/>
  <c r="P403" i="17" s="1"/>
  <c r="K403" i="17"/>
  <c r="P402" i="17"/>
  <c r="M402" i="17"/>
  <c r="K402" i="17"/>
  <c r="P401" i="17"/>
  <c r="M401" i="17"/>
  <c r="K401" i="17"/>
  <c r="M400" i="17"/>
  <c r="P400" i="17" s="1"/>
  <c r="K400" i="17"/>
  <c r="M399" i="17"/>
  <c r="P399" i="17" s="1"/>
  <c r="K399" i="17"/>
  <c r="P398" i="17"/>
  <c r="M398" i="17"/>
  <c r="K398" i="17"/>
  <c r="P397" i="17"/>
  <c r="M397" i="17"/>
  <c r="K397" i="17"/>
  <c r="M396" i="17"/>
  <c r="P396" i="17" s="1"/>
  <c r="K396" i="17"/>
  <c r="M395" i="17"/>
  <c r="P395" i="17" s="1"/>
  <c r="K395" i="17"/>
  <c r="P394" i="17"/>
  <c r="M394" i="17"/>
  <c r="K394" i="17"/>
  <c r="P393" i="17"/>
  <c r="M393" i="17"/>
  <c r="K393" i="17"/>
  <c r="I393" i="17"/>
  <c r="I392" i="17"/>
  <c r="K392" i="17" s="1"/>
  <c r="I391" i="17"/>
  <c r="K391" i="17" s="1"/>
  <c r="I390" i="17"/>
  <c r="M390" i="17" s="1"/>
  <c r="P390" i="17" s="1"/>
  <c r="L389" i="17"/>
  <c r="K389" i="17"/>
  <c r="I389" i="17"/>
  <c r="M388" i="17"/>
  <c r="P388" i="17" s="1"/>
  <c r="K388" i="17"/>
  <c r="P387" i="17"/>
  <c r="M387" i="17"/>
  <c r="M386" i="17"/>
  <c r="P386" i="17" s="1"/>
  <c r="M385" i="17"/>
  <c r="P385" i="17" s="1"/>
  <c r="M384" i="17"/>
  <c r="P384" i="17" s="1"/>
  <c r="K384" i="17"/>
  <c r="M383" i="17"/>
  <c r="P383" i="17" s="1"/>
  <c r="K383" i="17"/>
  <c r="P382" i="17"/>
  <c r="M382" i="17"/>
  <c r="K382" i="17"/>
  <c r="M381" i="17"/>
  <c r="P381" i="17" s="1"/>
  <c r="K381" i="17"/>
  <c r="M380" i="17"/>
  <c r="P380" i="17" s="1"/>
  <c r="K380" i="17"/>
  <c r="M379" i="17"/>
  <c r="P379" i="17" s="1"/>
  <c r="K379" i="17"/>
  <c r="P378" i="17"/>
  <c r="M378" i="17"/>
  <c r="K378" i="17"/>
  <c r="M377" i="17"/>
  <c r="P377" i="17" s="1"/>
  <c r="K377" i="17"/>
  <c r="M376" i="17"/>
  <c r="P376" i="17" s="1"/>
  <c r="K376" i="17"/>
  <c r="M375" i="17"/>
  <c r="P375" i="17" s="1"/>
  <c r="K375" i="17"/>
  <c r="P374" i="17"/>
  <c r="M374" i="17"/>
  <c r="K374" i="17"/>
  <c r="M373" i="17"/>
  <c r="P373" i="17" s="1"/>
  <c r="K373" i="17"/>
  <c r="M372" i="17"/>
  <c r="P372" i="17" s="1"/>
  <c r="K372" i="17"/>
  <c r="M371" i="17"/>
  <c r="P371" i="17" s="1"/>
  <c r="K371" i="17"/>
  <c r="P370" i="17"/>
  <c r="M370" i="17"/>
  <c r="K370" i="17"/>
  <c r="M369" i="17"/>
  <c r="P369" i="17" s="1"/>
  <c r="K369" i="17"/>
  <c r="M368" i="17"/>
  <c r="P368" i="17" s="1"/>
  <c r="K368" i="17"/>
  <c r="M367" i="17"/>
  <c r="P367" i="17" s="1"/>
  <c r="K367" i="17"/>
  <c r="I366" i="17"/>
  <c r="M366" i="17" s="1"/>
  <c r="P366" i="17" s="1"/>
  <c r="M365" i="17"/>
  <c r="P365" i="17" s="1"/>
  <c r="K365" i="17"/>
  <c r="P364" i="17"/>
  <c r="M364" i="17"/>
  <c r="K364" i="17"/>
  <c r="P363" i="17"/>
  <c r="M363" i="17"/>
  <c r="K363" i="17"/>
  <c r="M362" i="17"/>
  <c r="P362" i="17" s="1"/>
  <c r="K362" i="17"/>
  <c r="M361" i="17"/>
  <c r="P361" i="17" s="1"/>
  <c r="K361" i="17"/>
  <c r="P360" i="17"/>
  <c r="M360" i="17"/>
  <c r="K360" i="17"/>
  <c r="P359" i="17"/>
  <c r="M359" i="17"/>
  <c r="K359" i="17"/>
  <c r="M358" i="17"/>
  <c r="P358" i="17" s="1"/>
  <c r="K358" i="17"/>
  <c r="M357" i="17"/>
  <c r="P357" i="17" s="1"/>
  <c r="K357" i="17"/>
  <c r="M356" i="17"/>
  <c r="P356" i="17" s="1"/>
  <c r="K356" i="17"/>
  <c r="P355" i="17"/>
  <c r="M355" i="17"/>
  <c r="K355" i="17"/>
  <c r="M354" i="17"/>
  <c r="P354" i="17" s="1"/>
  <c r="K354" i="17"/>
  <c r="M353" i="17"/>
  <c r="P353" i="17" s="1"/>
  <c r="K353" i="17"/>
  <c r="P352" i="17"/>
  <c r="M352" i="17"/>
  <c r="K352" i="17"/>
  <c r="P351" i="17"/>
  <c r="M351" i="17"/>
  <c r="K351" i="17"/>
  <c r="M350" i="17"/>
  <c r="P350" i="17" s="1"/>
  <c r="K350" i="17"/>
  <c r="M349" i="17"/>
  <c r="P349" i="17" s="1"/>
  <c r="K349" i="17"/>
  <c r="P348" i="17"/>
  <c r="M348" i="17"/>
  <c r="K348" i="17"/>
  <c r="M347" i="17"/>
  <c r="P347" i="17" s="1"/>
  <c r="K347" i="17"/>
  <c r="M346" i="17"/>
  <c r="P346" i="17" s="1"/>
  <c r="M345" i="17"/>
  <c r="P345" i="17" s="1"/>
  <c r="K345" i="17"/>
  <c r="P344" i="17"/>
  <c r="M344" i="17"/>
  <c r="L344" i="17"/>
  <c r="I344" i="17"/>
  <c r="P343" i="17"/>
  <c r="M343" i="17"/>
  <c r="K343" i="17"/>
  <c r="M342" i="17"/>
  <c r="P342" i="17" s="1"/>
  <c r="K342" i="17"/>
  <c r="M341" i="17"/>
  <c r="M340" i="17"/>
  <c r="M339" i="17"/>
  <c r="M338" i="17"/>
  <c r="P338" i="17" s="1"/>
  <c r="K338" i="17"/>
  <c r="J338" i="17"/>
  <c r="M337" i="17"/>
  <c r="J337" i="17"/>
  <c r="K337" i="17" s="1"/>
  <c r="M336" i="17"/>
  <c r="L336" i="17"/>
  <c r="J336" i="17"/>
  <c r="K336" i="17" s="1"/>
  <c r="P335" i="17"/>
  <c r="M335" i="17"/>
  <c r="J335" i="17"/>
  <c r="K335" i="17" s="1"/>
  <c r="M334" i="17"/>
  <c r="J334" i="17"/>
  <c r="K334" i="17" s="1"/>
  <c r="M333" i="17"/>
  <c r="J333" i="17"/>
  <c r="K333" i="17" s="1"/>
  <c r="M332" i="17"/>
  <c r="K332" i="17"/>
  <c r="M331" i="17"/>
  <c r="P331" i="17" s="1"/>
  <c r="K331" i="17"/>
  <c r="M330" i="17"/>
  <c r="P330" i="17" s="1"/>
  <c r="L329" i="17"/>
  <c r="M329" i="17" s="1"/>
  <c r="P329" i="17" s="1"/>
  <c r="K329" i="17"/>
  <c r="P328" i="17"/>
  <c r="M328" i="17"/>
  <c r="K328" i="17"/>
  <c r="L327" i="17"/>
  <c r="M327" i="17" s="1"/>
  <c r="P327" i="17" s="1"/>
  <c r="K327" i="17"/>
  <c r="P326" i="17"/>
  <c r="M326" i="17"/>
  <c r="L326" i="17"/>
  <c r="K326" i="17"/>
  <c r="I326" i="17"/>
  <c r="M325" i="17"/>
  <c r="P325" i="17" s="1"/>
  <c r="K325" i="17"/>
  <c r="M324" i="17"/>
  <c r="P324" i="17" s="1"/>
  <c r="K324" i="17"/>
  <c r="M323" i="17"/>
  <c r="P323" i="17" s="1"/>
  <c r="K323" i="17"/>
  <c r="P322" i="17"/>
  <c r="M322" i="17"/>
  <c r="M321" i="17"/>
  <c r="P321" i="17" s="1"/>
  <c r="M320" i="17"/>
  <c r="P320" i="17" s="1"/>
  <c r="P319" i="17"/>
  <c r="M319" i="17"/>
  <c r="G319" i="17"/>
  <c r="L318" i="17"/>
  <c r="M318" i="17" s="1"/>
  <c r="P318" i="17" s="1"/>
  <c r="P317" i="17"/>
  <c r="M317" i="17"/>
  <c r="L317" i="17"/>
  <c r="K316" i="17"/>
  <c r="M315" i="17"/>
  <c r="P315" i="17" s="1"/>
  <c r="E314" i="17"/>
  <c r="M314" i="17" s="1"/>
  <c r="P314" i="17" s="1"/>
  <c r="P313" i="17"/>
  <c r="M313" i="17"/>
  <c r="M312" i="17"/>
  <c r="P312" i="17" s="1"/>
  <c r="M311" i="17"/>
  <c r="P311" i="17" s="1"/>
  <c r="G311" i="17"/>
  <c r="P310" i="17"/>
  <c r="M310" i="17"/>
  <c r="G310" i="17"/>
  <c r="M309" i="17"/>
  <c r="P309" i="17" s="1"/>
  <c r="G309" i="17"/>
  <c r="E309" i="17"/>
  <c r="M308" i="17"/>
  <c r="P308" i="17" s="1"/>
  <c r="G308" i="17"/>
  <c r="M307" i="17"/>
  <c r="P307" i="17" s="1"/>
  <c r="G307" i="17"/>
  <c r="P306" i="17"/>
  <c r="M306" i="17"/>
  <c r="G306" i="17"/>
  <c r="P305" i="17"/>
  <c r="M305" i="17"/>
  <c r="G305" i="17"/>
  <c r="M304" i="17"/>
  <c r="P304" i="17" s="1"/>
  <c r="G304" i="17"/>
  <c r="M303" i="17"/>
  <c r="P303" i="17" s="1"/>
  <c r="K303" i="17"/>
  <c r="G303" i="17"/>
  <c r="P302" i="17"/>
  <c r="M302" i="17"/>
  <c r="G302" i="17"/>
  <c r="P301" i="17"/>
  <c r="M301" i="17"/>
  <c r="G301" i="17"/>
  <c r="M300" i="17"/>
  <c r="P300" i="17" s="1"/>
  <c r="G300" i="17"/>
  <c r="P299" i="17"/>
  <c r="M299" i="17"/>
  <c r="G299" i="17"/>
  <c r="P298" i="17"/>
  <c r="M298" i="17"/>
  <c r="G298" i="17"/>
  <c r="P297" i="17"/>
  <c r="M297" i="17"/>
  <c r="G297" i="17"/>
  <c r="E296" i="17"/>
  <c r="P295" i="17"/>
  <c r="M295" i="17"/>
  <c r="G295" i="17"/>
  <c r="M294" i="17"/>
  <c r="P294" i="17" s="1"/>
  <c r="G294" i="17"/>
  <c r="E293" i="17"/>
  <c r="M293" i="17" s="1"/>
  <c r="P293" i="17" s="1"/>
  <c r="M292" i="17"/>
  <c r="P292" i="17" s="1"/>
  <c r="G292" i="17"/>
  <c r="P291" i="17"/>
  <c r="M291" i="17"/>
  <c r="L291" i="17"/>
  <c r="G291" i="17"/>
  <c r="E291" i="17"/>
  <c r="P290" i="17"/>
  <c r="M290" i="17"/>
  <c r="G290" i="17"/>
  <c r="K289" i="17"/>
  <c r="E289" i="17"/>
  <c r="M289" i="17" s="1"/>
  <c r="P289" i="17" s="1"/>
  <c r="P288" i="17"/>
  <c r="M288" i="17"/>
  <c r="P287" i="17"/>
  <c r="M287" i="17"/>
  <c r="P286" i="17"/>
  <c r="M286" i="17"/>
  <c r="G286" i="17"/>
  <c r="M285" i="17"/>
  <c r="P285" i="17" s="1"/>
  <c r="G285" i="17"/>
  <c r="M284" i="17"/>
  <c r="P284" i="17" s="1"/>
  <c r="G284" i="17"/>
  <c r="M283" i="17"/>
  <c r="P283" i="17" s="1"/>
  <c r="G283" i="17"/>
  <c r="P282" i="17"/>
  <c r="M282" i="17"/>
  <c r="G282" i="17"/>
  <c r="M281" i="17"/>
  <c r="P281" i="17" s="1"/>
  <c r="G281" i="17"/>
  <c r="P280" i="17"/>
  <c r="M280" i="17"/>
  <c r="G280" i="17"/>
  <c r="M279" i="17"/>
  <c r="P279" i="17" s="1"/>
  <c r="G279" i="17"/>
  <c r="P278" i="17"/>
  <c r="M278" i="17"/>
  <c r="G278" i="17"/>
  <c r="M277" i="17"/>
  <c r="P277" i="17" s="1"/>
  <c r="G277" i="17"/>
  <c r="P276" i="17"/>
  <c r="M276" i="17"/>
  <c r="G276" i="17"/>
  <c r="M275" i="17"/>
  <c r="P275" i="17" s="1"/>
  <c r="K275" i="17"/>
  <c r="G275" i="17"/>
  <c r="M274" i="17"/>
  <c r="P274" i="17" s="1"/>
  <c r="G274" i="17"/>
  <c r="M273" i="17"/>
  <c r="P273" i="17" s="1"/>
  <c r="P272" i="17"/>
  <c r="M272" i="17"/>
  <c r="G272" i="17"/>
  <c r="M271" i="17"/>
  <c r="P271" i="17" s="1"/>
  <c r="G271" i="17"/>
  <c r="L270" i="17"/>
  <c r="I270" i="17"/>
  <c r="K270" i="17" s="1"/>
  <c r="G270" i="17"/>
  <c r="M269" i="17"/>
  <c r="P269" i="17" s="1"/>
  <c r="K269" i="17"/>
  <c r="G269" i="17"/>
  <c r="M268" i="17"/>
  <c r="P268" i="17" s="1"/>
  <c r="K268" i="17"/>
  <c r="G268" i="17"/>
  <c r="M267" i="17"/>
  <c r="P267" i="17" s="1"/>
  <c r="K267" i="17"/>
  <c r="G267" i="17"/>
  <c r="P266" i="17"/>
  <c r="M266" i="17"/>
  <c r="G266" i="17"/>
  <c r="M265" i="17"/>
  <c r="P265" i="17" s="1"/>
  <c r="G265" i="17"/>
  <c r="P264" i="17"/>
  <c r="M264" i="17"/>
  <c r="G264" i="17"/>
  <c r="M263" i="17"/>
  <c r="P263" i="17" s="1"/>
  <c r="G263" i="17"/>
  <c r="P262" i="17"/>
  <c r="M262" i="17"/>
  <c r="G262" i="17"/>
  <c r="M261" i="17"/>
  <c r="P261" i="17" s="1"/>
  <c r="G261" i="17"/>
  <c r="P260" i="17"/>
  <c r="M260" i="17"/>
  <c r="G260" i="17"/>
  <c r="M259" i="17"/>
  <c r="P259" i="17" s="1"/>
  <c r="G259" i="17"/>
  <c r="P258" i="17"/>
  <c r="M258" i="17"/>
  <c r="G258" i="17"/>
  <c r="M257" i="17"/>
  <c r="P257" i="17" s="1"/>
  <c r="G257" i="17"/>
  <c r="P256" i="17"/>
  <c r="M256" i="17"/>
  <c r="G256" i="17"/>
  <c r="M255" i="17"/>
  <c r="P255" i="17" s="1"/>
  <c r="G255" i="17"/>
  <c r="M254" i="17"/>
  <c r="P254" i="17" s="1"/>
  <c r="G254" i="17"/>
  <c r="M253" i="17"/>
  <c r="P253" i="17" s="1"/>
  <c r="G253" i="17"/>
  <c r="P252" i="17"/>
  <c r="M252" i="17"/>
  <c r="G252" i="17"/>
  <c r="L251" i="17"/>
  <c r="M251" i="17" s="1"/>
  <c r="P251" i="17" s="1"/>
  <c r="K251" i="17"/>
  <c r="G251" i="17"/>
  <c r="E251" i="17"/>
  <c r="K250" i="17"/>
  <c r="I250" i="17"/>
  <c r="G250" i="17"/>
  <c r="M249" i="17"/>
  <c r="P249" i="17" s="1"/>
  <c r="K249" i="17"/>
  <c r="G249" i="17"/>
  <c r="P248" i="17"/>
  <c r="M248" i="17"/>
  <c r="K248" i="17"/>
  <c r="G248" i="17"/>
  <c r="M247" i="17"/>
  <c r="P247" i="17" s="1"/>
  <c r="K247" i="17"/>
  <c r="G247" i="17"/>
  <c r="M246" i="17"/>
  <c r="P246" i="17" s="1"/>
  <c r="K246" i="17"/>
  <c r="G246" i="17"/>
  <c r="P245" i="17"/>
  <c r="M245" i="17"/>
  <c r="K245" i="17"/>
  <c r="G245" i="17"/>
  <c r="M244" i="17"/>
  <c r="P244" i="17" s="1"/>
  <c r="K244" i="17"/>
  <c r="G244" i="17"/>
  <c r="M243" i="17"/>
  <c r="P243" i="17" s="1"/>
  <c r="K243" i="17"/>
  <c r="G243" i="17"/>
  <c r="P242" i="17"/>
  <c r="M242" i="17"/>
  <c r="K242" i="17"/>
  <c r="G242" i="17"/>
  <c r="I241" i="17"/>
  <c r="K241" i="17" s="1"/>
  <c r="G241" i="17"/>
  <c r="M240" i="17"/>
  <c r="P240" i="17" s="1"/>
  <c r="K240" i="17"/>
  <c r="G240" i="17"/>
  <c r="K239" i="17"/>
  <c r="G239" i="17"/>
  <c r="M238" i="17"/>
  <c r="P238" i="17" s="1"/>
  <c r="G238" i="17"/>
  <c r="P237" i="17"/>
  <c r="M237" i="17"/>
  <c r="G237" i="17"/>
  <c r="P236" i="17"/>
  <c r="M236" i="17"/>
  <c r="G236" i="17"/>
  <c r="P235" i="17"/>
  <c r="M235" i="17"/>
  <c r="G235" i="17"/>
  <c r="M234" i="17"/>
  <c r="P234" i="17" s="1"/>
  <c r="G234" i="17"/>
  <c r="M233" i="17"/>
  <c r="P233" i="17" s="1"/>
  <c r="K233" i="17"/>
  <c r="G233" i="17"/>
  <c r="P232" i="17"/>
  <c r="M232" i="17"/>
  <c r="G232" i="17"/>
  <c r="M231" i="17"/>
  <c r="P231" i="17" s="1"/>
  <c r="G231" i="17"/>
  <c r="M230" i="17"/>
  <c r="P230" i="17" s="1"/>
  <c r="G230" i="17"/>
  <c r="P229" i="17"/>
  <c r="M229" i="17"/>
  <c r="G229" i="17"/>
  <c r="P228" i="17"/>
  <c r="M228" i="17"/>
  <c r="G228" i="17"/>
  <c r="M227" i="17"/>
  <c r="P227" i="17" s="1"/>
  <c r="G227" i="17"/>
  <c r="M226" i="17"/>
  <c r="P226" i="17" s="1"/>
  <c r="G226" i="17"/>
  <c r="P225" i="17"/>
  <c r="M225" i="17"/>
  <c r="G225" i="17"/>
  <c r="P224" i="17"/>
  <c r="M224" i="17"/>
  <c r="G224" i="17"/>
  <c r="M223" i="17"/>
  <c r="P223" i="17" s="1"/>
  <c r="G223" i="17"/>
  <c r="M222" i="17"/>
  <c r="P222" i="17" s="1"/>
  <c r="G222" i="17"/>
  <c r="P221" i="17"/>
  <c r="M221" i="17"/>
  <c r="G221" i="17"/>
  <c r="P220" i="17"/>
  <c r="M220" i="17"/>
  <c r="G220" i="17"/>
  <c r="E219" i="17"/>
  <c r="G219" i="17" s="1"/>
  <c r="M218" i="17"/>
  <c r="P218" i="17" s="1"/>
  <c r="G218" i="17"/>
  <c r="E218" i="17"/>
  <c r="M217" i="17"/>
  <c r="P217" i="17" s="1"/>
  <c r="G217" i="17"/>
  <c r="P216" i="17"/>
  <c r="M216" i="17"/>
  <c r="G216" i="17"/>
  <c r="M215" i="17"/>
  <c r="G215" i="17"/>
  <c r="M214" i="17"/>
  <c r="P214" i="17" s="1"/>
  <c r="G214" i="17"/>
  <c r="M213" i="17"/>
  <c r="P213" i="17" s="1"/>
  <c r="G213" i="17"/>
  <c r="P212" i="17"/>
  <c r="M212" i="17"/>
  <c r="G212" i="17"/>
  <c r="M211" i="17"/>
  <c r="P211" i="17" s="1"/>
  <c r="G211" i="17"/>
  <c r="M210" i="17"/>
  <c r="P210" i="17" s="1"/>
  <c r="G210" i="17"/>
  <c r="M209" i="17"/>
  <c r="P209" i="17" s="1"/>
  <c r="G209" i="17"/>
  <c r="P208" i="17"/>
  <c r="M208" i="17"/>
  <c r="G208" i="17"/>
  <c r="M207" i="17"/>
  <c r="P207" i="17" s="1"/>
  <c r="G207" i="17"/>
  <c r="M206" i="17"/>
  <c r="P206" i="17" s="1"/>
  <c r="G206" i="17"/>
  <c r="M205" i="17"/>
  <c r="P205" i="17" s="1"/>
  <c r="G205" i="17"/>
  <c r="P204" i="17"/>
  <c r="M204" i="17"/>
  <c r="G204" i="17"/>
  <c r="M203" i="17"/>
  <c r="P203" i="17" s="1"/>
  <c r="G203" i="17"/>
  <c r="P202" i="17"/>
  <c r="M202" i="17"/>
  <c r="G202" i="17"/>
  <c r="M201" i="17"/>
  <c r="P201" i="17" s="1"/>
  <c r="P200" i="17"/>
  <c r="M200" i="17"/>
  <c r="K200" i="17"/>
  <c r="G200" i="17"/>
  <c r="M199" i="17"/>
  <c r="P199" i="17" s="1"/>
  <c r="M198" i="17"/>
  <c r="P198" i="17" s="1"/>
  <c r="K198" i="17"/>
  <c r="G198" i="17"/>
  <c r="M197" i="17"/>
  <c r="P197" i="17" s="1"/>
  <c r="G197" i="17"/>
  <c r="L196" i="17"/>
  <c r="I196" i="17"/>
  <c r="K196" i="17" s="1"/>
  <c r="G196" i="17"/>
  <c r="M195" i="17"/>
  <c r="P195" i="17" s="1"/>
  <c r="G195" i="17"/>
  <c r="E195" i="17"/>
  <c r="P194" i="17"/>
  <c r="M194" i="17"/>
  <c r="G194" i="17"/>
  <c r="L193" i="17"/>
  <c r="I193" i="17"/>
  <c r="K193" i="17" s="1"/>
  <c r="G193" i="17"/>
  <c r="E193" i="17"/>
  <c r="M193" i="17" s="1"/>
  <c r="P193" i="17" s="1"/>
  <c r="P192" i="17"/>
  <c r="M192" i="17"/>
  <c r="G192" i="17"/>
  <c r="P191" i="17"/>
  <c r="M191" i="17"/>
  <c r="G191" i="17"/>
  <c r="M190" i="17"/>
  <c r="P190" i="17" s="1"/>
  <c r="G190" i="17"/>
  <c r="M189" i="17"/>
  <c r="P189" i="17" s="1"/>
  <c r="G189" i="17"/>
  <c r="P188" i="17"/>
  <c r="M188" i="17"/>
  <c r="G188" i="17"/>
  <c r="P187" i="17"/>
  <c r="M187" i="17"/>
  <c r="G187" i="17"/>
  <c r="M186" i="17"/>
  <c r="P186" i="17" s="1"/>
  <c r="G186" i="17"/>
  <c r="P185" i="17"/>
  <c r="M185" i="17"/>
  <c r="G185" i="17"/>
  <c r="P184" i="17"/>
  <c r="M184" i="17"/>
  <c r="G184" i="17"/>
  <c r="E183" i="17"/>
  <c r="M183" i="17" s="1"/>
  <c r="P183" i="17" s="1"/>
  <c r="E182" i="17"/>
  <c r="M182" i="17" s="1"/>
  <c r="P182" i="17" s="1"/>
  <c r="P181" i="17"/>
  <c r="M181" i="17"/>
  <c r="G181" i="17"/>
  <c r="I180" i="17"/>
  <c r="G180" i="17"/>
  <c r="M179" i="17"/>
  <c r="P179" i="17" s="1"/>
  <c r="L179" i="17"/>
  <c r="K179" i="17"/>
  <c r="I179" i="17"/>
  <c r="G179" i="17"/>
  <c r="P178" i="17"/>
  <c r="M178" i="17"/>
  <c r="G178" i="17"/>
  <c r="E177" i="17"/>
  <c r="G177" i="17" s="1"/>
  <c r="P176" i="17"/>
  <c r="M176" i="17"/>
  <c r="G176" i="17"/>
  <c r="P175" i="17"/>
  <c r="M175" i="17"/>
  <c r="G175" i="17"/>
  <c r="P174" i="17"/>
  <c r="M174" i="17"/>
  <c r="G174" i="17"/>
  <c r="M173" i="17"/>
  <c r="P173" i="17" s="1"/>
  <c r="K173" i="17"/>
  <c r="G173" i="17"/>
  <c r="P172" i="17"/>
  <c r="M172" i="17"/>
  <c r="K172" i="17"/>
  <c r="E172" i="17"/>
  <c r="G172" i="17" s="1"/>
  <c r="P171" i="17"/>
  <c r="M171" i="17"/>
  <c r="K171" i="17"/>
  <c r="G171" i="17"/>
  <c r="L170" i="17"/>
  <c r="M170" i="17" s="1"/>
  <c r="P170" i="17" s="1"/>
  <c r="K170" i="17"/>
  <c r="G170" i="17"/>
  <c r="P169" i="17"/>
  <c r="M169" i="17"/>
  <c r="K169" i="17"/>
  <c r="G169" i="17"/>
  <c r="L168" i="17"/>
  <c r="M168" i="17" s="1"/>
  <c r="P168" i="17" s="1"/>
  <c r="G168" i="17"/>
  <c r="M167" i="17"/>
  <c r="P167" i="17" s="1"/>
  <c r="M166" i="17"/>
  <c r="P166" i="17" s="1"/>
  <c r="K166" i="17"/>
  <c r="M165" i="17"/>
  <c r="P165" i="17" s="1"/>
  <c r="K165" i="17"/>
  <c r="G165" i="17"/>
  <c r="E165" i="17"/>
  <c r="K164" i="17"/>
  <c r="M163" i="17"/>
  <c r="P163" i="17" s="1"/>
  <c r="K163" i="17"/>
  <c r="G163" i="17"/>
  <c r="E163" i="17"/>
  <c r="I162" i="17"/>
  <c r="K162" i="17" s="1"/>
  <c r="E162" i="17"/>
  <c r="M162" i="17" s="1"/>
  <c r="P162" i="17" s="1"/>
  <c r="M161" i="17"/>
  <c r="P161" i="17" s="1"/>
  <c r="K161" i="17"/>
  <c r="G161" i="17"/>
  <c r="E160" i="17"/>
  <c r="M159" i="17"/>
  <c r="P159" i="17" s="1"/>
  <c r="G159" i="17"/>
  <c r="M158" i="17"/>
  <c r="P158" i="17" s="1"/>
  <c r="G158" i="17"/>
  <c r="L157" i="17"/>
  <c r="I157" i="17"/>
  <c r="K157" i="17" s="1"/>
  <c r="G157" i="17"/>
  <c r="M156" i="17"/>
  <c r="P156" i="17" s="1"/>
  <c r="G156" i="17"/>
  <c r="M155" i="17"/>
  <c r="P155" i="17" s="1"/>
  <c r="G155" i="17"/>
  <c r="P154" i="17"/>
  <c r="M154" i="17"/>
  <c r="G154" i="17"/>
  <c r="M153" i="17"/>
  <c r="P153" i="17" s="1"/>
  <c r="G153" i="17"/>
  <c r="P152" i="17"/>
  <c r="M152" i="17"/>
  <c r="P151" i="17"/>
  <c r="M151" i="17"/>
  <c r="G151" i="17"/>
  <c r="P150" i="17"/>
  <c r="M150" i="17"/>
  <c r="G150" i="17"/>
  <c r="M149" i="17"/>
  <c r="P149" i="17" s="1"/>
  <c r="E148" i="17"/>
  <c r="M148" i="17" s="1"/>
  <c r="P148" i="17" s="1"/>
  <c r="M147" i="17"/>
  <c r="P147" i="17" s="1"/>
  <c r="G147" i="17"/>
  <c r="P146" i="17"/>
  <c r="M146" i="17"/>
  <c r="G146" i="17"/>
  <c r="M145" i="17"/>
  <c r="P145" i="17" s="1"/>
  <c r="M144" i="17"/>
  <c r="P144" i="17" s="1"/>
  <c r="P143" i="17"/>
  <c r="M143" i="17"/>
  <c r="G143" i="17"/>
  <c r="P142" i="17"/>
  <c r="M142" i="17"/>
  <c r="P141" i="17"/>
  <c r="M141" i="17"/>
  <c r="G141" i="17"/>
  <c r="M140" i="17"/>
  <c r="P140" i="17" s="1"/>
  <c r="G140" i="17"/>
  <c r="M139" i="17"/>
  <c r="P139" i="17" s="1"/>
  <c r="I139" i="17"/>
  <c r="K139" i="17" s="1"/>
  <c r="G139" i="17"/>
  <c r="M138" i="17"/>
  <c r="P138" i="17" s="1"/>
  <c r="G138" i="17"/>
  <c r="E138" i="17"/>
  <c r="M137" i="17"/>
  <c r="P137" i="17" s="1"/>
  <c r="G137" i="17"/>
  <c r="M136" i="17"/>
  <c r="P136" i="17" s="1"/>
  <c r="G136" i="17"/>
  <c r="P135" i="17"/>
  <c r="M135" i="17"/>
  <c r="E135" i="17"/>
  <c r="G135" i="17" s="1"/>
  <c r="P134" i="17"/>
  <c r="M134" i="17"/>
  <c r="G134" i="17"/>
  <c r="E133" i="17"/>
  <c r="M132" i="17"/>
  <c r="P132" i="17" s="1"/>
  <c r="G132" i="17"/>
  <c r="M131" i="17"/>
  <c r="P131" i="17" s="1"/>
  <c r="G131" i="17"/>
  <c r="L130" i="17"/>
  <c r="E130" i="17"/>
  <c r="G130" i="17" s="1"/>
  <c r="M129" i="17"/>
  <c r="P129" i="17" s="1"/>
  <c r="G129" i="17"/>
  <c r="P128" i="17"/>
  <c r="M128" i="17"/>
  <c r="G128" i="17"/>
  <c r="P127" i="17"/>
  <c r="M127" i="17"/>
  <c r="G127" i="17"/>
  <c r="M126" i="17"/>
  <c r="P126" i="17" s="1"/>
  <c r="G126" i="17"/>
  <c r="P125" i="17"/>
  <c r="M125" i="17"/>
  <c r="G125" i="17"/>
  <c r="L124" i="17"/>
  <c r="M124" i="17" s="1"/>
  <c r="P124" i="17" s="1"/>
  <c r="G124" i="17"/>
  <c r="P123" i="17"/>
  <c r="M123" i="17"/>
  <c r="G123" i="17"/>
  <c r="M122" i="17"/>
  <c r="P122" i="17" s="1"/>
  <c r="G122" i="17"/>
  <c r="P121" i="17"/>
  <c r="M121" i="17"/>
  <c r="K121" i="17"/>
  <c r="G121" i="17"/>
  <c r="P120" i="17"/>
  <c r="M120" i="17"/>
  <c r="G120" i="17"/>
  <c r="M119" i="17"/>
  <c r="P119" i="17" s="1"/>
  <c r="G119" i="17"/>
  <c r="M118" i="17"/>
  <c r="P118" i="17" s="1"/>
  <c r="L118" i="17"/>
  <c r="G118" i="17"/>
  <c r="G117" i="17"/>
  <c r="E117" i="17"/>
  <c r="M117" i="17" s="1"/>
  <c r="P117" i="17" s="1"/>
  <c r="P116" i="17"/>
  <c r="M116" i="17"/>
  <c r="G116" i="17"/>
  <c r="M115" i="17"/>
  <c r="P115" i="17" s="1"/>
  <c r="G115" i="17"/>
  <c r="P114" i="17"/>
  <c r="M114" i="17"/>
  <c r="G114" i="17"/>
  <c r="M113" i="17"/>
  <c r="P113" i="17" s="1"/>
  <c r="G113" i="17"/>
  <c r="P112" i="17"/>
  <c r="M112" i="17"/>
  <c r="G112" i="17"/>
  <c r="M111" i="17"/>
  <c r="P111" i="17" s="1"/>
  <c r="G111" i="17"/>
  <c r="M110" i="17"/>
  <c r="P110" i="17" s="1"/>
  <c r="G110" i="17"/>
  <c r="M109" i="17"/>
  <c r="P109" i="17" s="1"/>
  <c r="G109" i="17"/>
  <c r="P108" i="17"/>
  <c r="M108" i="17"/>
  <c r="G108" i="17"/>
  <c r="M107" i="17"/>
  <c r="P107" i="17" s="1"/>
  <c r="G107" i="17"/>
  <c r="M106" i="17"/>
  <c r="P106" i="17" s="1"/>
  <c r="G106" i="17"/>
  <c r="E106" i="17"/>
  <c r="P105" i="17"/>
  <c r="M105" i="17"/>
  <c r="G105" i="17"/>
  <c r="M104" i="17"/>
  <c r="P104" i="17" s="1"/>
  <c r="G104" i="17"/>
  <c r="E103" i="17"/>
  <c r="M103" i="17" s="1"/>
  <c r="P103" i="17" s="1"/>
  <c r="P102" i="17"/>
  <c r="M102" i="17"/>
  <c r="G102" i="17"/>
  <c r="P101" i="17"/>
  <c r="M101" i="17"/>
  <c r="G101" i="17"/>
  <c r="M100" i="17"/>
  <c r="P100" i="17" s="1"/>
  <c r="G100" i="17"/>
  <c r="M99" i="17"/>
  <c r="P99" i="17" s="1"/>
  <c r="G99" i="17"/>
  <c r="P98" i="17"/>
  <c r="M98" i="17"/>
  <c r="G98" i="17"/>
  <c r="P97" i="17"/>
  <c r="M97" i="17"/>
  <c r="G97" i="17"/>
  <c r="M96" i="17"/>
  <c r="P96" i="17" s="1"/>
  <c r="G96" i="17"/>
  <c r="M95" i="17"/>
  <c r="P95" i="17" s="1"/>
  <c r="G95" i="17"/>
  <c r="E95" i="17"/>
  <c r="M94" i="17"/>
  <c r="P94" i="17" s="1"/>
  <c r="G94" i="17"/>
  <c r="E94" i="17"/>
  <c r="M93" i="17"/>
  <c r="P93" i="17" s="1"/>
  <c r="G93" i="17"/>
  <c r="G92" i="17"/>
  <c r="P91" i="17"/>
  <c r="M91" i="17"/>
  <c r="G91" i="17"/>
  <c r="P90" i="17"/>
  <c r="M90" i="17"/>
  <c r="G90" i="17"/>
  <c r="I89" i="17"/>
  <c r="G89" i="17"/>
  <c r="P88" i="17"/>
  <c r="M88" i="17"/>
  <c r="M87" i="17"/>
  <c r="P87" i="17" s="1"/>
  <c r="K87" i="17"/>
  <c r="G87" i="17"/>
  <c r="M86" i="17"/>
  <c r="P86" i="17" s="1"/>
  <c r="K86" i="17"/>
  <c r="G86" i="17"/>
  <c r="P85" i="17"/>
  <c r="M85" i="17"/>
  <c r="G85" i="17"/>
  <c r="P84" i="17"/>
  <c r="M84" i="17"/>
  <c r="G84" i="17"/>
  <c r="P83" i="17"/>
  <c r="M83" i="17"/>
  <c r="G83" i="17"/>
  <c r="M82" i="17"/>
  <c r="P82" i="17" s="1"/>
  <c r="G82" i="17"/>
  <c r="M81" i="17"/>
  <c r="P81" i="17" s="1"/>
  <c r="G81" i="17"/>
  <c r="P80" i="17"/>
  <c r="M80" i="17"/>
  <c r="K80" i="17"/>
  <c r="G80" i="17"/>
  <c r="P79" i="17"/>
  <c r="M79" i="17"/>
  <c r="G79" i="17"/>
  <c r="M78" i="17"/>
  <c r="P78" i="17" s="1"/>
  <c r="G78" i="17"/>
  <c r="M77" i="17"/>
  <c r="P77" i="17" s="1"/>
  <c r="G77" i="17"/>
  <c r="M76" i="17"/>
  <c r="P76" i="17" s="1"/>
  <c r="G76" i="17"/>
  <c r="I75" i="17"/>
  <c r="M75" i="17" s="1"/>
  <c r="P75" i="17" s="1"/>
  <c r="G75" i="17"/>
  <c r="P74" i="17"/>
  <c r="M74" i="17"/>
  <c r="G74" i="17"/>
  <c r="M73" i="17"/>
  <c r="P73" i="17" s="1"/>
  <c r="G73" i="17"/>
  <c r="P72" i="17"/>
  <c r="M72" i="17"/>
  <c r="G72" i="17"/>
  <c r="M71" i="17"/>
  <c r="P71" i="17" s="1"/>
  <c r="G71" i="17"/>
  <c r="P70" i="17"/>
  <c r="M70" i="17"/>
  <c r="G70" i="17"/>
  <c r="M69" i="17"/>
  <c r="P69" i="17" s="1"/>
  <c r="G69" i="17"/>
  <c r="P68" i="17"/>
  <c r="M68" i="17"/>
  <c r="G68" i="17"/>
  <c r="M67" i="17"/>
  <c r="P67" i="17" s="1"/>
  <c r="G67" i="17"/>
  <c r="M66" i="17"/>
  <c r="P66" i="17" s="1"/>
  <c r="G66" i="17"/>
  <c r="M65" i="17"/>
  <c r="P65" i="17" s="1"/>
  <c r="K65" i="17"/>
  <c r="G65" i="17"/>
  <c r="M64" i="17"/>
  <c r="P64" i="17" s="1"/>
  <c r="K64" i="17"/>
  <c r="M63" i="17"/>
  <c r="P63" i="17" s="1"/>
  <c r="K63" i="17"/>
  <c r="P62" i="17"/>
  <c r="M62" i="17"/>
  <c r="K62" i="17"/>
  <c r="P61" i="17"/>
  <c r="M61" i="17"/>
  <c r="K61" i="17"/>
  <c r="G61" i="17"/>
  <c r="M60" i="17"/>
  <c r="P60" i="17" s="1"/>
  <c r="K60" i="17"/>
  <c r="G60" i="17"/>
  <c r="M59" i="17"/>
  <c r="P59" i="17" s="1"/>
  <c r="K59" i="17"/>
  <c r="G59" i="17"/>
  <c r="P58" i="17"/>
  <c r="M58" i="17"/>
  <c r="K58" i="17"/>
  <c r="G58" i="17"/>
  <c r="M57" i="17"/>
  <c r="P57" i="17" s="1"/>
  <c r="K57" i="17"/>
  <c r="G57" i="17"/>
  <c r="P56" i="17"/>
  <c r="M56" i="17"/>
  <c r="K56" i="17"/>
  <c r="G56" i="17"/>
  <c r="P55" i="17"/>
  <c r="M55" i="17"/>
  <c r="L55" i="17"/>
  <c r="K55" i="17"/>
  <c r="G55" i="17"/>
  <c r="K54" i="17"/>
  <c r="G54" i="17"/>
  <c r="L53" i="17"/>
  <c r="M53" i="17" s="1"/>
  <c r="P53" i="17" s="1"/>
  <c r="G53" i="17"/>
  <c r="E53" i="17"/>
  <c r="M52" i="17"/>
  <c r="P52" i="17" s="1"/>
  <c r="G52" i="17"/>
  <c r="M51" i="17"/>
  <c r="P51" i="17" s="1"/>
  <c r="G51" i="17"/>
  <c r="P50" i="17"/>
  <c r="M50" i="17"/>
  <c r="G50" i="17"/>
  <c r="P49" i="17"/>
  <c r="M49" i="17"/>
  <c r="G49" i="17"/>
  <c r="M48" i="17"/>
  <c r="P48" i="17" s="1"/>
  <c r="G48" i="17"/>
  <c r="M47" i="17"/>
  <c r="P47" i="17" s="1"/>
  <c r="G47" i="17"/>
  <c r="P46" i="17"/>
  <c r="M46" i="17"/>
  <c r="G46" i="17"/>
  <c r="P45" i="17"/>
  <c r="M45" i="17"/>
  <c r="G45" i="17"/>
  <c r="M44" i="17"/>
  <c r="P44" i="17" s="1"/>
  <c r="G44" i="17"/>
  <c r="L43" i="17"/>
  <c r="M43" i="17" s="1"/>
  <c r="P43" i="17" s="1"/>
  <c r="G43" i="17"/>
  <c r="P42" i="17"/>
  <c r="M42" i="17"/>
  <c r="G42" i="17"/>
  <c r="P41" i="17"/>
  <c r="M41" i="17"/>
  <c r="K41" i="17"/>
  <c r="G41" i="17"/>
  <c r="M40" i="17"/>
  <c r="P40" i="17" s="1"/>
  <c r="G40" i="17"/>
  <c r="M39" i="17"/>
  <c r="P39" i="17" s="1"/>
  <c r="G39" i="17"/>
  <c r="M38" i="17"/>
  <c r="P38" i="17" s="1"/>
  <c r="G38" i="17"/>
  <c r="P37" i="17"/>
  <c r="M37" i="17"/>
  <c r="G37" i="17"/>
  <c r="M36" i="17"/>
  <c r="P36" i="17" s="1"/>
  <c r="G36" i="17"/>
  <c r="M35" i="17"/>
  <c r="P35" i="17" s="1"/>
  <c r="G35" i="17"/>
  <c r="M34" i="17"/>
  <c r="P34" i="17" s="1"/>
  <c r="G34" i="17"/>
  <c r="E34" i="17"/>
  <c r="M33" i="17"/>
  <c r="P33" i="17" s="1"/>
  <c r="G33" i="17"/>
  <c r="M32" i="17"/>
  <c r="P32" i="17" s="1"/>
  <c r="G32" i="17"/>
  <c r="P31" i="17"/>
  <c r="M31" i="17"/>
  <c r="G31" i="17"/>
  <c r="P30" i="17"/>
  <c r="M30" i="17"/>
  <c r="G30" i="17"/>
  <c r="M29" i="17"/>
  <c r="P29" i="17" s="1"/>
  <c r="G29" i="17"/>
  <c r="M28" i="17"/>
  <c r="P28" i="17" s="1"/>
  <c r="G28" i="17"/>
  <c r="M27" i="17"/>
  <c r="P27" i="17" s="1"/>
  <c r="G27" i="17"/>
  <c r="P26" i="17"/>
  <c r="M26" i="17"/>
  <c r="G26" i="17"/>
  <c r="M25" i="17"/>
  <c r="P25" i="17" s="1"/>
  <c r="G25" i="17"/>
  <c r="M24" i="17"/>
  <c r="P24" i="17" s="1"/>
  <c r="L24" i="17"/>
  <c r="G24" i="17"/>
  <c r="P23" i="17"/>
  <c r="M23" i="17"/>
  <c r="G23" i="17"/>
  <c r="P22" i="17"/>
  <c r="M22" i="17"/>
  <c r="G22" i="17"/>
  <c r="M21" i="17"/>
  <c r="P21" i="17" s="1"/>
  <c r="G21" i="17"/>
  <c r="M20" i="17"/>
  <c r="P20" i="17" s="1"/>
  <c r="G20" i="17"/>
  <c r="E20" i="17"/>
  <c r="M19" i="17"/>
  <c r="P19" i="17" s="1"/>
  <c r="G19" i="17"/>
  <c r="P18" i="17"/>
  <c r="M18" i="17"/>
  <c r="G18" i="17"/>
  <c r="M17" i="17"/>
  <c r="P17" i="17" s="1"/>
  <c r="G17" i="17"/>
  <c r="P16" i="17"/>
  <c r="M16" i="17"/>
  <c r="G16" i="17"/>
  <c r="M15" i="17"/>
  <c r="P15" i="17" s="1"/>
  <c r="G15" i="17"/>
  <c r="E14" i="17"/>
  <c r="G14" i="17" s="1"/>
  <c r="M13" i="17"/>
  <c r="P13" i="17" s="1"/>
  <c r="G13" i="17"/>
  <c r="P12" i="17"/>
  <c r="M12" i="17"/>
  <c r="G12" i="17"/>
  <c r="P11" i="17"/>
  <c r="M11" i="17"/>
  <c r="G11" i="17"/>
  <c r="M10" i="17"/>
  <c r="P10" i="17" s="1"/>
  <c r="G10" i="17"/>
  <c r="L9" i="17"/>
  <c r="G9" i="17"/>
  <c r="G8" i="17"/>
  <c r="E8" i="17"/>
  <c r="M8" i="17" s="1"/>
  <c r="L391" i="16"/>
  <c r="L250" i="16"/>
  <c r="L196" i="16"/>
  <c r="L329" i="16"/>
  <c r="L316" i="16"/>
  <c r="L54" i="16"/>
  <c r="L323" i="16"/>
  <c r="L244" i="16"/>
  <c r="L390" i="16"/>
  <c r="L336" i="16"/>
  <c r="L193" i="16"/>
  <c r="L170" i="16"/>
  <c r="K323" i="19" l="1"/>
  <c r="K335" i="19"/>
  <c r="K337" i="19"/>
  <c r="M218" i="19"/>
  <c r="P218" i="19" s="1"/>
  <c r="M103" i="19"/>
  <c r="P103" i="19" s="1"/>
  <c r="M344" i="19"/>
  <c r="P344" i="19" s="1"/>
  <c r="M89" i="19"/>
  <c r="P89" i="19" s="1"/>
  <c r="F333" i="19"/>
  <c r="P333" i="19" s="1"/>
  <c r="P339" i="19"/>
  <c r="K180" i="19"/>
  <c r="P332" i="19"/>
  <c r="M161" i="19"/>
  <c r="P161" i="19" s="1"/>
  <c r="M291" i="19"/>
  <c r="P291" i="19" s="1"/>
  <c r="M391" i="19"/>
  <c r="P391" i="19" s="1"/>
  <c r="M426" i="19"/>
  <c r="P426" i="19" s="1"/>
  <c r="M450" i="19"/>
  <c r="G133" i="19"/>
  <c r="M53" i="19"/>
  <c r="P53" i="19" s="1"/>
  <c r="K75" i="19"/>
  <c r="M117" i="19"/>
  <c r="P117" i="19" s="1"/>
  <c r="K139" i="19"/>
  <c r="M270" i="19"/>
  <c r="P270" i="19" s="1"/>
  <c r="P337" i="19"/>
  <c r="J477" i="19"/>
  <c r="M162" i="19"/>
  <c r="P162" i="19" s="1"/>
  <c r="G183" i="19"/>
  <c r="M130" i="19"/>
  <c r="P130" i="19" s="1"/>
  <c r="F338" i="19"/>
  <c r="P338" i="19" s="1"/>
  <c r="M366" i="19"/>
  <c r="P366" i="19" s="1"/>
  <c r="M389" i="19"/>
  <c r="P389" i="19" s="1"/>
  <c r="M326" i="19"/>
  <c r="P326" i="19" s="1"/>
  <c r="G106" i="19"/>
  <c r="M157" i="19"/>
  <c r="P157" i="19" s="1"/>
  <c r="K389" i="19"/>
  <c r="M196" i="19"/>
  <c r="P196" i="19" s="1"/>
  <c r="M193" i="19"/>
  <c r="P193" i="19" s="1"/>
  <c r="M289" i="19"/>
  <c r="P289" i="19" s="1"/>
  <c r="G135" i="19"/>
  <c r="G193" i="19"/>
  <c r="M251" i="19"/>
  <c r="P251" i="19" s="1"/>
  <c r="M163" i="19"/>
  <c r="P163" i="19" s="1"/>
  <c r="G172" i="19"/>
  <c r="M182" i="19"/>
  <c r="P182" i="19" s="1"/>
  <c r="M390" i="19"/>
  <c r="P390" i="19" s="1"/>
  <c r="K392" i="19"/>
  <c r="G160" i="19"/>
  <c r="M293" i="19"/>
  <c r="P293" i="19" s="1"/>
  <c r="P335" i="19"/>
  <c r="M250" i="19"/>
  <c r="P250" i="19" s="1"/>
  <c r="K161" i="19"/>
  <c r="L477" i="19"/>
  <c r="P336" i="19"/>
  <c r="M14" i="19"/>
  <c r="P14" i="19" s="1"/>
  <c r="M177" i="19"/>
  <c r="P177" i="19" s="1"/>
  <c r="M219" i="19"/>
  <c r="P219" i="19" s="1"/>
  <c r="K241" i="19"/>
  <c r="K270" i="19"/>
  <c r="G296" i="19"/>
  <c r="F341" i="19"/>
  <c r="P341" i="19" s="1"/>
  <c r="K344" i="19"/>
  <c r="K393" i="19"/>
  <c r="G130" i="19"/>
  <c r="K157" i="19"/>
  <c r="K196" i="19"/>
  <c r="F334" i="19"/>
  <c r="P334" i="19" s="1"/>
  <c r="G34" i="19"/>
  <c r="G53" i="19"/>
  <c r="G94" i="19"/>
  <c r="G163" i="19"/>
  <c r="G165" i="19"/>
  <c r="G138" i="19"/>
  <c r="K426" i="19"/>
  <c r="P8" i="19"/>
  <c r="G20" i="19"/>
  <c r="G95" i="19"/>
  <c r="G195" i="19"/>
  <c r="G309" i="19"/>
  <c r="K179" i="19"/>
  <c r="F340" i="19"/>
  <c r="P340" i="19" s="1"/>
  <c r="M323" i="18"/>
  <c r="P323" i="18" s="1"/>
  <c r="M390" i="18"/>
  <c r="P390" i="18" s="1"/>
  <c r="P244" i="18"/>
  <c r="L475" i="18"/>
  <c r="F337" i="18"/>
  <c r="P337" i="18" s="1"/>
  <c r="M389" i="18"/>
  <c r="P389" i="18" s="1"/>
  <c r="G163" i="18"/>
  <c r="G165" i="18"/>
  <c r="G309" i="18"/>
  <c r="G34" i="18"/>
  <c r="G475" i="18" s="1"/>
  <c r="G53" i="18"/>
  <c r="G94" i="18"/>
  <c r="G138" i="18"/>
  <c r="G291" i="18"/>
  <c r="K326" i="18"/>
  <c r="K475" i="18" s="1"/>
  <c r="F333" i="18"/>
  <c r="P333" i="18" s="1"/>
  <c r="K366" i="18"/>
  <c r="G135" i="18"/>
  <c r="G172" i="18"/>
  <c r="G195" i="18"/>
  <c r="K393" i="18"/>
  <c r="P8" i="18"/>
  <c r="F336" i="18"/>
  <c r="P336" i="18" s="1"/>
  <c r="G103" i="18"/>
  <c r="K139" i="18"/>
  <c r="G162" i="18"/>
  <c r="G182" i="18"/>
  <c r="P389" i="17"/>
  <c r="M180" i="17"/>
  <c r="P180" i="17" s="1"/>
  <c r="L475" i="17"/>
  <c r="P337" i="17"/>
  <c r="P334" i="17"/>
  <c r="G182" i="17"/>
  <c r="M296" i="17"/>
  <c r="P296" i="17" s="1"/>
  <c r="G296" i="17"/>
  <c r="G133" i="17"/>
  <c r="M133" i="17"/>
  <c r="P133" i="17" s="1"/>
  <c r="K89" i="17"/>
  <c r="M89" i="17"/>
  <c r="P89" i="17" s="1"/>
  <c r="G103" i="17"/>
  <c r="G164" i="17"/>
  <c r="M160" i="17"/>
  <c r="P160" i="17" s="1"/>
  <c r="G160" i="17"/>
  <c r="G289" i="17"/>
  <c r="P8" i="17"/>
  <c r="M9" i="17"/>
  <c r="P9" i="17" s="1"/>
  <c r="G162" i="17"/>
  <c r="G293" i="17"/>
  <c r="K366" i="17"/>
  <c r="K390" i="17"/>
  <c r="M14" i="17"/>
  <c r="P14" i="17" s="1"/>
  <c r="M130" i="17"/>
  <c r="P130" i="17" s="1"/>
  <c r="M157" i="17"/>
  <c r="P157" i="17" s="1"/>
  <c r="K180" i="17"/>
  <c r="G183" i="17"/>
  <c r="M196" i="17"/>
  <c r="P196" i="17" s="1"/>
  <c r="M241" i="17"/>
  <c r="P241" i="17" s="1"/>
  <c r="M270" i="17"/>
  <c r="P270" i="17" s="1"/>
  <c r="M177" i="17"/>
  <c r="P177" i="17" s="1"/>
  <c r="K75" i="17"/>
  <c r="M392" i="17"/>
  <c r="P392" i="17" s="1"/>
  <c r="M219" i="17"/>
  <c r="P219" i="17" s="1"/>
  <c r="L163" i="16"/>
  <c r="L291" i="16"/>
  <c r="M291" i="16" s="1"/>
  <c r="P291" i="16" s="1"/>
  <c r="L161" i="16"/>
  <c r="M161" i="16" s="1"/>
  <c r="P161" i="16" s="1"/>
  <c r="L426" i="16"/>
  <c r="L92" i="16"/>
  <c r="L233" i="16"/>
  <c r="M233" i="16"/>
  <c r="P233" i="16" s="1"/>
  <c r="M323" i="16"/>
  <c r="P323" i="16" s="1"/>
  <c r="L389" i="16"/>
  <c r="M389" i="16" s="1"/>
  <c r="P389" i="16" s="1"/>
  <c r="L239" i="16"/>
  <c r="K41" i="16"/>
  <c r="P470" i="16"/>
  <c r="P471" i="16"/>
  <c r="P472" i="16"/>
  <c r="P473" i="16"/>
  <c r="K473" i="16"/>
  <c r="M469" i="16"/>
  <c r="P469" i="16" s="1"/>
  <c r="K469" i="16"/>
  <c r="M468" i="16"/>
  <c r="P468" i="16" s="1"/>
  <c r="K468" i="16"/>
  <c r="M467" i="16"/>
  <c r="P467" i="16" s="1"/>
  <c r="K467" i="16"/>
  <c r="M466" i="16"/>
  <c r="P466" i="16" s="1"/>
  <c r="K466" i="16"/>
  <c r="M465" i="16"/>
  <c r="P465" i="16" s="1"/>
  <c r="K465" i="16"/>
  <c r="M464" i="16"/>
  <c r="P464" i="16" s="1"/>
  <c r="K464" i="16"/>
  <c r="M463" i="16"/>
  <c r="P463" i="16" s="1"/>
  <c r="K463" i="16"/>
  <c r="M462" i="16"/>
  <c r="P462" i="16" s="1"/>
  <c r="K462" i="16"/>
  <c r="M461" i="16"/>
  <c r="P461" i="16" s="1"/>
  <c r="K461" i="16"/>
  <c r="M460" i="16"/>
  <c r="P460" i="16" s="1"/>
  <c r="K460" i="16"/>
  <c r="M459" i="16"/>
  <c r="P459" i="16" s="1"/>
  <c r="K459" i="16"/>
  <c r="M458" i="16"/>
  <c r="P458" i="16" s="1"/>
  <c r="K458" i="16"/>
  <c r="M457" i="16"/>
  <c r="P457" i="16" s="1"/>
  <c r="K457" i="16"/>
  <c r="M456" i="16"/>
  <c r="P456" i="16" s="1"/>
  <c r="K456" i="16"/>
  <c r="M455" i="16"/>
  <c r="P455" i="16" s="1"/>
  <c r="K455" i="16"/>
  <c r="M454" i="16"/>
  <c r="P454" i="16" s="1"/>
  <c r="K454" i="16"/>
  <c r="M453" i="16"/>
  <c r="P453" i="16" s="1"/>
  <c r="K453" i="16"/>
  <c r="M452" i="16"/>
  <c r="P452" i="16" s="1"/>
  <c r="M451" i="16"/>
  <c r="P451" i="16" s="1"/>
  <c r="K451" i="16"/>
  <c r="M450" i="16"/>
  <c r="L450" i="16"/>
  <c r="E450" i="16"/>
  <c r="M449" i="16"/>
  <c r="M448" i="16"/>
  <c r="K448" i="16"/>
  <c r="M447" i="16"/>
  <c r="M446" i="16"/>
  <c r="M445" i="16"/>
  <c r="M444" i="16"/>
  <c r="L443" i="16"/>
  <c r="M443" i="16" s="1"/>
  <c r="M442" i="16"/>
  <c r="M441" i="16"/>
  <c r="M440" i="16"/>
  <c r="M439" i="16"/>
  <c r="P439" i="16" s="1"/>
  <c r="K439" i="16"/>
  <c r="M438" i="16"/>
  <c r="P438" i="16" s="1"/>
  <c r="K438" i="16"/>
  <c r="M437" i="16"/>
  <c r="P437" i="16" s="1"/>
  <c r="K437" i="16"/>
  <c r="M436" i="16"/>
  <c r="P436" i="16" s="1"/>
  <c r="K436" i="16"/>
  <c r="M435" i="16"/>
  <c r="P435" i="16" s="1"/>
  <c r="K435" i="16"/>
  <c r="M434" i="16"/>
  <c r="P434" i="16" s="1"/>
  <c r="K434" i="16"/>
  <c r="P433" i="16"/>
  <c r="M433" i="16"/>
  <c r="K433" i="16"/>
  <c r="M432" i="16"/>
  <c r="P432" i="16" s="1"/>
  <c r="K432" i="16"/>
  <c r="G432" i="16"/>
  <c r="M431" i="16"/>
  <c r="P431" i="16" s="1"/>
  <c r="K431" i="16"/>
  <c r="M430" i="16"/>
  <c r="P430" i="16" s="1"/>
  <c r="K430" i="16"/>
  <c r="M429" i="16"/>
  <c r="P429" i="16" s="1"/>
  <c r="K429" i="16"/>
  <c r="M428" i="16"/>
  <c r="P428" i="16" s="1"/>
  <c r="K428" i="16"/>
  <c r="K427" i="16"/>
  <c r="E427" i="16"/>
  <c r="M427" i="16" s="1"/>
  <c r="P427" i="16" s="1"/>
  <c r="I426" i="16"/>
  <c r="M426" i="16" s="1"/>
  <c r="P426" i="16" s="1"/>
  <c r="M425" i="16"/>
  <c r="P425" i="16" s="1"/>
  <c r="K425" i="16"/>
  <c r="M424" i="16"/>
  <c r="P424" i="16" s="1"/>
  <c r="K424" i="16"/>
  <c r="M423" i="16"/>
  <c r="P423" i="16" s="1"/>
  <c r="K423" i="16"/>
  <c r="M422" i="16"/>
  <c r="P422" i="16" s="1"/>
  <c r="K422" i="16"/>
  <c r="M421" i="16"/>
  <c r="P421" i="16" s="1"/>
  <c r="K421" i="16"/>
  <c r="M420" i="16"/>
  <c r="P420" i="16" s="1"/>
  <c r="K420" i="16"/>
  <c r="M419" i="16"/>
  <c r="P419" i="16" s="1"/>
  <c r="K419" i="16"/>
  <c r="M418" i="16"/>
  <c r="P418" i="16" s="1"/>
  <c r="K418" i="16"/>
  <c r="M417" i="16"/>
  <c r="P417" i="16" s="1"/>
  <c r="K417" i="16"/>
  <c r="M416" i="16"/>
  <c r="P416" i="16" s="1"/>
  <c r="K416" i="16"/>
  <c r="M415" i="16"/>
  <c r="P415" i="16" s="1"/>
  <c r="K415" i="16"/>
  <c r="M414" i="16"/>
  <c r="P414" i="16" s="1"/>
  <c r="K414" i="16"/>
  <c r="P413" i="16"/>
  <c r="M413" i="16"/>
  <c r="K413" i="16"/>
  <c r="M412" i="16"/>
  <c r="P412" i="16" s="1"/>
  <c r="K412" i="16"/>
  <c r="M411" i="16"/>
  <c r="P411" i="16" s="1"/>
  <c r="K411" i="16"/>
  <c r="M410" i="16"/>
  <c r="P410" i="16" s="1"/>
  <c r="K410" i="16"/>
  <c r="M409" i="16"/>
  <c r="P409" i="16" s="1"/>
  <c r="K409" i="16"/>
  <c r="M408" i="16"/>
  <c r="P408" i="16" s="1"/>
  <c r="K408" i="16"/>
  <c r="M407" i="16"/>
  <c r="P407" i="16" s="1"/>
  <c r="K407" i="16"/>
  <c r="P406" i="16"/>
  <c r="M406" i="16"/>
  <c r="K406" i="16"/>
  <c r="M405" i="16"/>
  <c r="P405" i="16" s="1"/>
  <c r="K405" i="16"/>
  <c r="M404" i="16"/>
  <c r="P404" i="16" s="1"/>
  <c r="K404" i="16"/>
  <c r="M403" i="16"/>
  <c r="P403" i="16" s="1"/>
  <c r="K403" i="16"/>
  <c r="M402" i="16"/>
  <c r="P402" i="16" s="1"/>
  <c r="K402" i="16"/>
  <c r="M401" i="16"/>
  <c r="P401" i="16" s="1"/>
  <c r="K401" i="16"/>
  <c r="M400" i="16"/>
  <c r="P400" i="16" s="1"/>
  <c r="K400" i="16"/>
  <c r="M399" i="16"/>
  <c r="P399" i="16" s="1"/>
  <c r="K399" i="16"/>
  <c r="M398" i="16"/>
  <c r="P398" i="16" s="1"/>
  <c r="K398" i="16"/>
  <c r="M397" i="16"/>
  <c r="P397" i="16" s="1"/>
  <c r="K397" i="16"/>
  <c r="M396" i="16"/>
  <c r="P396" i="16" s="1"/>
  <c r="K396" i="16"/>
  <c r="M395" i="16"/>
  <c r="P395" i="16" s="1"/>
  <c r="K395" i="16"/>
  <c r="M394" i="16"/>
  <c r="P394" i="16" s="1"/>
  <c r="K394" i="16"/>
  <c r="I393" i="16"/>
  <c r="M393" i="16" s="1"/>
  <c r="P393" i="16" s="1"/>
  <c r="I392" i="16"/>
  <c r="M392" i="16" s="1"/>
  <c r="P392" i="16" s="1"/>
  <c r="I391" i="16"/>
  <c r="M391" i="16" s="1"/>
  <c r="P391" i="16" s="1"/>
  <c r="M390" i="16"/>
  <c r="P390" i="16" s="1"/>
  <c r="K390" i="16"/>
  <c r="I390" i="16"/>
  <c r="K389" i="16"/>
  <c r="I389" i="16"/>
  <c r="M388" i="16"/>
  <c r="P388" i="16" s="1"/>
  <c r="K388" i="16"/>
  <c r="M387" i="16"/>
  <c r="P387" i="16" s="1"/>
  <c r="M386" i="16"/>
  <c r="P386" i="16" s="1"/>
  <c r="M385" i="16"/>
  <c r="P385" i="16" s="1"/>
  <c r="M384" i="16"/>
  <c r="P384" i="16" s="1"/>
  <c r="K384" i="16"/>
  <c r="M383" i="16"/>
  <c r="P383" i="16" s="1"/>
  <c r="K383" i="16"/>
  <c r="M382" i="16"/>
  <c r="P382" i="16" s="1"/>
  <c r="K382" i="16"/>
  <c r="M381" i="16"/>
  <c r="P381" i="16" s="1"/>
  <c r="K381" i="16"/>
  <c r="M380" i="16"/>
  <c r="P380" i="16" s="1"/>
  <c r="K380" i="16"/>
  <c r="M379" i="16"/>
  <c r="P379" i="16" s="1"/>
  <c r="K379" i="16"/>
  <c r="M378" i="16"/>
  <c r="P378" i="16" s="1"/>
  <c r="K378" i="16"/>
  <c r="M377" i="16"/>
  <c r="P377" i="16" s="1"/>
  <c r="K377" i="16"/>
  <c r="M376" i="16"/>
  <c r="P376" i="16" s="1"/>
  <c r="K376" i="16"/>
  <c r="M375" i="16"/>
  <c r="P375" i="16" s="1"/>
  <c r="K375" i="16"/>
  <c r="M374" i="16"/>
  <c r="P374" i="16" s="1"/>
  <c r="K374" i="16"/>
  <c r="M373" i="16"/>
  <c r="P373" i="16" s="1"/>
  <c r="K373" i="16"/>
  <c r="P372" i="16"/>
  <c r="M372" i="16"/>
  <c r="K372" i="16"/>
  <c r="M371" i="16"/>
  <c r="P371" i="16" s="1"/>
  <c r="K371" i="16"/>
  <c r="M370" i="16"/>
  <c r="P370" i="16" s="1"/>
  <c r="K370" i="16"/>
  <c r="M369" i="16"/>
  <c r="P369" i="16" s="1"/>
  <c r="K369" i="16"/>
  <c r="M368" i="16"/>
  <c r="P368" i="16" s="1"/>
  <c r="K368" i="16"/>
  <c r="M367" i="16"/>
  <c r="P367" i="16" s="1"/>
  <c r="K367" i="16"/>
  <c r="M366" i="16"/>
  <c r="P366" i="16" s="1"/>
  <c r="K366" i="16"/>
  <c r="I366" i="16"/>
  <c r="M365" i="16"/>
  <c r="P365" i="16" s="1"/>
  <c r="K365" i="16"/>
  <c r="M364" i="16"/>
  <c r="P364" i="16" s="1"/>
  <c r="K364" i="16"/>
  <c r="M363" i="16"/>
  <c r="P363" i="16" s="1"/>
  <c r="K363" i="16"/>
  <c r="M362" i="16"/>
  <c r="P362" i="16" s="1"/>
  <c r="K362" i="16"/>
  <c r="M361" i="16"/>
  <c r="P361" i="16" s="1"/>
  <c r="K361" i="16"/>
  <c r="M360" i="16"/>
  <c r="P360" i="16" s="1"/>
  <c r="K360" i="16"/>
  <c r="M359" i="16"/>
  <c r="P359" i="16" s="1"/>
  <c r="K359" i="16"/>
  <c r="M358" i="16"/>
  <c r="P358" i="16" s="1"/>
  <c r="K358" i="16"/>
  <c r="M357" i="16"/>
  <c r="P357" i="16" s="1"/>
  <c r="K357" i="16"/>
  <c r="M356" i="16"/>
  <c r="P356" i="16" s="1"/>
  <c r="K356" i="16"/>
  <c r="M355" i="16"/>
  <c r="P355" i="16" s="1"/>
  <c r="K355" i="16"/>
  <c r="M354" i="16"/>
  <c r="P354" i="16" s="1"/>
  <c r="K354" i="16"/>
  <c r="M353" i="16"/>
  <c r="P353" i="16" s="1"/>
  <c r="K353" i="16"/>
  <c r="M352" i="16"/>
  <c r="P352" i="16" s="1"/>
  <c r="K352" i="16"/>
  <c r="M351" i="16"/>
  <c r="P351" i="16" s="1"/>
  <c r="K351" i="16"/>
  <c r="M350" i="16"/>
  <c r="P350" i="16" s="1"/>
  <c r="K350" i="16"/>
  <c r="M349" i="16"/>
  <c r="P349" i="16" s="1"/>
  <c r="K349" i="16"/>
  <c r="M348" i="16"/>
  <c r="P348" i="16" s="1"/>
  <c r="K348" i="16"/>
  <c r="P347" i="16"/>
  <c r="M347" i="16"/>
  <c r="K347" i="16"/>
  <c r="M346" i="16"/>
  <c r="P346" i="16" s="1"/>
  <c r="K346" i="16"/>
  <c r="M345" i="16"/>
  <c r="P345" i="16" s="1"/>
  <c r="K345" i="16"/>
  <c r="L344" i="16"/>
  <c r="K344" i="16"/>
  <c r="I344" i="16"/>
  <c r="M344" i="16" s="1"/>
  <c r="P344" i="16" s="1"/>
  <c r="M343" i="16"/>
  <c r="P343" i="16" s="1"/>
  <c r="K343" i="16"/>
  <c r="M342" i="16"/>
  <c r="P342" i="16" s="1"/>
  <c r="K342" i="16"/>
  <c r="M341" i="16"/>
  <c r="K341" i="16"/>
  <c r="J341" i="16"/>
  <c r="F341" i="16"/>
  <c r="M340" i="16"/>
  <c r="P340" i="16" s="1"/>
  <c r="J340" i="16"/>
  <c r="K340" i="16" s="1"/>
  <c r="F340" i="16"/>
  <c r="M339" i="16"/>
  <c r="K339" i="16"/>
  <c r="J339" i="16"/>
  <c r="F339" i="16"/>
  <c r="M338" i="16"/>
  <c r="K338" i="16"/>
  <c r="J338" i="16"/>
  <c r="F338" i="16"/>
  <c r="M337" i="16"/>
  <c r="P337" i="16" s="1"/>
  <c r="J337" i="16"/>
  <c r="K337" i="16" s="1"/>
  <c r="M336" i="16"/>
  <c r="P336" i="16" s="1"/>
  <c r="K336" i="16"/>
  <c r="J336" i="16"/>
  <c r="M335" i="16"/>
  <c r="P335" i="16" s="1"/>
  <c r="J335" i="16"/>
  <c r="K335" i="16" s="1"/>
  <c r="M334" i="16"/>
  <c r="P334" i="16" s="1"/>
  <c r="J334" i="16"/>
  <c r="K334" i="16" s="1"/>
  <c r="M333" i="16"/>
  <c r="P333" i="16" s="1"/>
  <c r="K333" i="16"/>
  <c r="J333" i="16"/>
  <c r="P332" i="16"/>
  <c r="M332" i="16"/>
  <c r="J332" i="16"/>
  <c r="K332" i="16" s="1"/>
  <c r="M331" i="16"/>
  <c r="P331" i="16" s="1"/>
  <c r="K331" i="16"/>
  <c r="M330" i="16"/>
  <c r="P330" i="16" s="1"/>
  <c r="M329" i="16"/>
  <c r="P329" i="16" s="1"/>
  <c r="K329" i="16"/>
  <c r="M328" i="16"/>
  <c r="P328" i="16" s="1"/>
  <c r="K328" i="16"/>
  <c r="M327" i="16"/>
  <c r="P327" i="16" s="1"/>
  <c r="L327" i="16"/>
  <c r="K327" i="16"/>
  <c r="M326" i="16"/>
  <c r="P326" i="16" s="1"/>
  <c r="L326" i="16"/>
  <c r="K326" i="16"/>
  <c r="I326" i="16"/>
  <c r="M325" i="16"/>
  <c r="P325" i="16" s="1"/>
  <c r="K325" i="16"/>
  <c r="M324" i="16"/>
  <c r="P324" i="16" s="1"/>
  <c r="K324" i="16"/>
  <c r="I323" i="16"/>
  <c r="K323" i="16" s="1"/>
  <c r="M322" i="16"/>
  <c r="P322" i="16" s="1"/>
  <c r="M321" i="16"/>
  <c r="P321" i="16" s="1"/>
  <c r="M320" i="16"/>
  <c r="P320" i="16" s="1"/>
  <c r="M319" i="16"/>
  <c r="P319" i="16" s="1"/>
  <c r="G319" i="16"/>
  <c r="L318" i="16"/>
  <c r="M318" i="16" s="1"/>
  <c r="P318" i="16" s="1"/>
  <c r="M317" i="16"/>
  <c r="P317" i="16" s="1"/>
  <c r="L317" i="16"/>
  <c r="M316" i="16"/>
  <c r="P316" i="16" s="1"/>
  <c r="K316" i="16"/>
  <c r="M315" i="16"/>
  <c r="P315" i="16" s="1"/>
  <c r="E314" i="16"/>
  <c r="M314" i="16" s="1"/>
  <c r="P314" i="16" s="1"/>
  <c r="M313" i="16"/>
  <c r="P313" i="16" s="1"/>
  <c r="M312" i="16"/>
  <c r="P312" i="16" s="1"/>
  <c r="M311" i="16"/>
  <c r="P311" i="16" s="1"/>
  <c r="G311" i="16"/>
  <c r="M310" i="16"/>
  <c r="P310" i="16" s="1"/>
  <c r="G310" i="16"/>
  <c r="E309" i="16"/>
  <c r="M309" i="16" s="1"/>
  <c r="P309" i="16" s="1"/>
  <c r="P308" i="16"/>
  <c r="M308" i="16"/>
  <c r="G308" i="16"/>
  <c r="M307" i="16"/>
  <c r="P307" i="16" s="1"/>
  <c r="G307" i="16"/>
  <c r="M306" i="16"/>
  <c r="P306" i="16" s="1"/>
  <c r="G306" i="16"/>
  <c r="M305" i="16"/>
  <c r="P305" i="16" s="1"/>
  <c r="G305" i="16"/>
  <c r="M304" i="16"/>
  <c r="P304" i="16" s="1"/>
  <c r="G304" i="16"/>
  <c r="M303" i="16"/>
  <c r="P303" i="16" s="1"/>
  <c r="K303" i="16"/>
  <c r="G303" i="16"/>
  <c r="M302" i="16"/>
  <c r="P302" i="16" s="1"/>
  <c r="G302" i="16"/>
  <c r="M301" i="16"/>
  <c r="P301" i="16" s="1"/>
  <c r="G301" i="16"/>
  <c r="M300" i="16"/>
  <c r="P300" i="16" s="1"/>
  <c r="G300" i="16"/>
  <c r="M299" i="16"/>
  <c r="P299" i="16" s="1"/>
  <c r="G299" i="16"/>
  <c r="M298" i="16"/>
  <c r="P298" i="16" s="1"/>
  <c r="G298" i="16"/>
  <c r="M297" i="16"/>
  <c r="P297" i="16" s="1"/>
  <c r="G297" i="16"/>
  <c r="M296" i="16"/>
  <c r="P296" i="16" s="1"/>
  <c r="G296" i="16"/>
  <c r="E296" i="16"/>
  <c r="M295" i="16"/>
  <c r="P295" i="16" s="1"/>
  <c r="G295" i="16"/>
  <c r="M294" i="16"/>
  <c r="P294" i="16" s="1"/>
  <c r="G294" i="16"/>
  <c r="E293" i="16"/>
  <c r="M293" i="16" s="1"/>
  <c r="P293" i="16" s="1"/>
  <c r="M292" i="16"/>
  <c r="P292" i="16" s="1"/>
  <c r="G292" i="16"/>
  <c r="E291" i="16"/>
  <c r="G291" i="16" s="1"/>
  <c r="M290" i="16"/>
  <c r="P290" i="16" s="1"/>
  <c r="G290" i="16"/>
  <c r="M289" i="16"/>
  <c r="P289" i="16" s="1"/>
  <c r="K289" i="16"/>
  <c r="G289" i="16"/>
  <c r="E289" i="16"/>
  <c r="M288" i="16"/>
  <c r="P288" i="16" s="1"/>
  <c r="M287" i="16"/>
  <c r="P287" i="16" s="1"/>
  <c r="M286" i="16"/>
  <c r="P286" i="16" s="1"/>
  <c r="G286" i="16"/>
  <c r="M285" i="16"/>
  <c r="P285" i="16" s="1"/>
  <c r="G285" i="16"/>
  <c r="M284" i="16"/>
  <c r="P284" i="16" s="1"/>
  <c r="G284" i="16"/>
  <c r="P283" i="16"/>
  <c r="M283" i="16"/>
  <c r="G283" i="16"/>
  <c r="M282" i="16"/>
  <c r="P282" i="16" s="1"/>
  <c r="G282" i="16"/>
  <c r="M281" i="16"/>
  <c r="P281" i="16" s="1"/>
  <c r="G281" i="16"/>
  <c r="M280" i="16"/>
  <c r="P280" i="16" s="1"/>
  <c r="G280" i="16"/>
  <c r="M279" i="16"/>
  <c r="P279" i="16" s="1"/>
  <c r="G279" i="16"/>
  <c r="M278" i="16"/>
  <c r="P278" i="16" s="1"/>
  <c r="G278" i="16"/>
  <c r="M277" i="16"/>
  <c r="P277" i="16" s="1"/>
  <c r="G277" i="16"/>
  <c r="M276" i="16"/>
  <c r="P276" i="16" s="1"/>
  <c r="G276" i="16"/>
  <c r="M275" i="16"/>
  <c r="P275" i="16" s="1"/>
  <c r="K275" i="16"/>
  <c r="G275" i="16"/>
  <c r="M274" i="16"/>
  <c r="P274" i="16" s="1"/>
  <c r="G274" i="16"/>
  <c r="M273" i="16"/>
  <c r="P273" i="16" s="1"/>
  <c r="M272" i="16"/>
  <c r="P272" i="16" s="1"/>
  <c r="G272" i="16"/>
  <c r="M271" i="16"/>
  <c r="P271" i="16" s="1"/>
  <c r="G271" i="16"/>
  <c r="M270" i="16"/>
  <c r="P270" i="16" s="1"/>
  <c r="L270" i="16"/>
  <c r="I270" i="16"/>
  <c r="K270" i="16" s="1"/>
  <c r="G270" i="16"/>
  <c r="M269" i="16"/>
  <c r="P269" i="16" s="1"/>
  <c r="K269" i="16"/>
  <c r="G269" i="16"/>
  <c r="M268" i="16"/>
  <c r="P268" i="16" s="1"/>
  <c r="K268" i="16"/>
  <c r="G268" i="16"/>
  <c r="M267" i="16"/>
  <c r="P267" i="16" s="1"/>
  <c r="K267" i="16"/>
  <c r="G267" i="16"/>
  <c r="M266" i="16"/>
  <c r="P266" i="16" s="1"/>
  <c r="G266" i="16"/>
  <c r="M265" i="16"/>
  <c r="P265" i="16" s="1"/>
  <c r="G265" i="16"/>
  <c r="M264" i="16"/>
  <c r="P264" i="16" s="1"/>
  <c r="G264" i="16"/>
  <c r="M263" i="16"/>
  <c r="P263" i="16" s="1"/>
  <c r="G263" i="16"/>
  <c r="M262" i="16"/>
  <c r="P262" i="16" s="1"/>
  <c r="G262" i="16"/>
  <c r="M261" i="16"/>
  <c r="P261" i="16" s="1"/>
  <c r="G261" i="16"/>
  <c r="M260" i="16"/>
  <c r="P260" i="16" s="1"/>
  <c r="G260" i="16"/>
  <c r="M259" i="16"/>
  <c r="P259" i="16" s="1"/>
  <c r="G259" i="16"/>
  <c r="M258" i="16"/>
  <c r="P258" i="16" s="1"/>
  <c r="G258" i="16"/>
  <c r="M257" i="16"/>
  <c r="P257" i="16" s="1"/>
  <c r="G257" i="16"/>
  <c r="M256" i="16"/>
  <c r="P256" i="16" s="1"/>
  <c r="G256" i="16"/>
  <c r="M255" i="16"/>
  <c r="P255" i="16" s="1"/>
  <c r="G255" i="16"/>
  <c r="M254" i="16"/>
  <c r="P254" i="16" s="1"/>
  <c r="G254" i="16"/>
  <c r="M253" i="16"/>
  <c r="P253" i="16" s="1"/>
  <c r="G253" i="16"/>
  <c r="M252" i="16"/>
  <c r="P252" i="16" s="1"/>
  <c r="G252" i="16"/>
  <c r="L251" i="16"/>
  <c r="M251" i="16" s="1"/>
  <c r="P251" i="16" s="1"/>
  <c r="K251" i="16"/>
  <c r="G251" i="16"/>
  <c r="E251" i="16"/>
  <c r="I250" i="16"/>
  <c r="G250" i="16"/>
  <c r="M249" i="16"/>
  <c r="P249" i="16" s="1"/>
  <c r="K249" i="16"/>
  <c r="G249" i="16"/>
  <c r="M248" i="16"/>
  <c r="P248" i="16" s="1"/>
  <c r="K248" i="16"/>
  <c r="G248" i="16"/>
  <c r="M247" i="16"/>
  <c r="P247" i="16" s="1"/>
  <c r="K247" i="16"/>
  <c r="G247" i="16"/>
  <c r="M246" i="16"/>
  <c r="P246" i="16" s="1"/>
  <c r="K246" i="16"/>
  <c r="G246" i="16"/>
  <c r="M245" i="16"/>
  <c r="P245" i="16" s="1"/>
  <c r="K245" i="16"/>
  <c r="G245" i="16"/>
  <c r="M244" i="16"/>
  <c r="P244" i="16" s="1"/>
  <c r="K244" i="16"/>
  <c r="G244" i="16"/>
  <c r="M243" i="16"/>
  <c r="P243" i="16" s="1"/>
  <c r="K243" i="16"/>
  <c r="G243" i="16"/>
  <c r="M242" i="16"/>
  <c r="P242" i="16" s="1"/>
  <c r="K242" i="16"/>
  <c r="G242" i="16"/>
  <c r="M241" i="16"/>
  <c r="P241" i="16" s="1"/>
  <c r="I241" i="16"/>
  <c r="K241" i="16" s="1"/>
  <c r="G241" i="16"/>
  <c r="P240" i="16"/>
  <c r="M240" i="16"/>
  <c r="K240" i="16"/>
  <c r="G240" i="16"/>
  <c r="M239" i="16"/>
  <c r="P239" i="16" s="1"/>
  <c r="K239" i="16"/>
  <c r="G239" i="16"/>
  <c r="M238" i="16"/>
  <c r="P238" i="16" s="1"/>
  <c r="G238" i="16"/>
  <c r="M237" i="16"/>
  <c r="P237" i="16" s="1"/>
  <c r="G237" i="16"/>
  <c r="M236" i="16"/>
  <c r="P236" i="16" s="1"/>
  <c r="G236" i="16"/>
  <c r="M235" i="16"/>
  <c r="P235" i="16" s="1"/>
  <c r="G235" i="16"/>
  <c r="M234" i="16"/>
  <c r="P234" i="16" s="1"/>
  <c r="G234" i="16"/>
  <c r="K233" i="16"/>
  <c r="G233" i="16"/>
  <c r="M232" i="16"/>
  <c r="P232" i="16" s="1"/>
  <c r="G232" i="16"/>
  <c r="M231" i="16"/>
  <c r="P231" i="16" s="1"/>
  <c r="G231" i="16"/>
  <c r="M230" i="16"/>
  <c r="P230" i="16" s="1"/>
  <c r="G230" i="16"/>
  <c r="M229" i="16"/>
  <c r="P229" i="16" s="1"/>
  <c r="G229" i="16"/>
  <c r="M228" i="16"/>
  <c r="P228" i="16" s="1"/>
  <c r="G228" i="16"/>
  <c r="M227" i="16"/>
  <c r="P227" i="16" s="1"/>
  <c r="G227" i="16"/>
  <c r="M226" i="16"/>
  <c r="P226" i="16" s="1"/>
  <c r="G226" i="16"/>
  <c r="M225" i="16"/>
  <c r="P225" i="16" s="1"/>
  <c r="G225" i="16"/>
  <c r="M224" i="16"/>
  <c r="P224" i="16" s="1"/>
  <c r="G224" i="16"/>
  <c r="M223" i="16"/>
  <c r="P223" i="16" s="1"/>
  <c r="G223" i="16"/>
  <c r="M222" i="16"/>
  <c r="P222" i="16" s="1"/>
  <c r="G222" i="16"/>
  <c r="M221" i="16"/>
  <c r="P221" i="16" s="1"/>
  <c r="G221" i="16"/>
  <c r="M220" i="16"/>
  <c r="P220" i="16" s="1"/>
  <c r="G220" i="16"/>
  <c r="M219" i="16"/>
  <c r="P219" i="16" s="1"/>
  <c r="E219" i="16"/>
  <c r="G219" i="16" s="1"/>
  <c r="M218" i="16"/>
  <c r="P218" i="16" s="1"/>
  <c r="E218" i="16"/>
  <c r="G218" i="16" s="1"/>
  <c r="M217" i="16"/>
  <c r="P217" i="16" s="1"/>
  <c r="G217" i="16"/>
  <c r="M216" i="16"/>
  <c r="P216" i="16" s="1"/>
  <c r="G216" i="16"/>
  <c r="M215" i="16"/>
  <c r="P215" i="16" s="1"/>
  <c r="G215" i="16"/>
  <c r="M214" i="16"/>
  <c r="P214" i="16" s="1"/>
  <c r="G214" i="16"/>
  <c r="M213" i="16"/>
  <c r="P213" i="16" s="1"/>
  <c r="G213" i="16"/>
  <c r="M212" i="16"/>
  <c r="P212" i="16" s="1"/>
  <c r="G212" i="16"/>
  <c r="M211" i="16"/>
  <c r="P211" i="16" s="1"/>
  <c r="G211" i="16"/>
  <c r="P210" i="16"/>
  <c r="M210" i="16"/>
  <c r="G210" i="16"/>
  <c r="M209" i="16"/>
  <c r="P209" i="16" s="1"/>
  <c r="G209" i="16"/>
  <c r="M208" i="16"/>
  <c r="P208" i="16" s="1"/>
  <c r="G208" i="16"/>
  <c r="M207" i="16"/>
  <c r="P207" i="16" s="1"/>
  <c r="G207" i="16"/>
  <c r="M206" i="16"/>
  <c r="P206" i="16" s="1"/>
  <c r="G206" i="16"/>
  <c r="M205" i="16"/>
  <c r="P205" i="16" s="1"/>
  <c r="G205" i="16"/>
  <c r="M204" i="16"/>
  <c r="P204" i="16" s="1"/>
  <c r="G204" i="16"/>
  <c r="M203" i="16"/>
  <c r="P203" i="16" s="1"/>
  <c r="G203" i="16"/>
  <c r="M202" i="16"/>
  <c r="P202" i="16" s="1"/>
  <c r="G202" i="16"/>
  <c r="M201" i="16"/>
  <c r="P201" i="16" s="1"/>
  <c r="M200" i="16"/>
  <c r="P200" i="16" s="1"/>
  <c r="K200" i="16"/>
  <c r="G200" i="16"/>
  <c r="M199" i="16"/>
  <c r="P199" i="16" s="1"/>
  <c r="M198" i="16"/>
  <c r="P198" i="16" s="1"/>
  <c r="K198" i="16"/>
  <c r="G198" i="16"/>
  <c r="M197" i="16"/>
  <c r="P197" i="16" s="1"/>
  <c r="G197" i="16"/>
  <c r="M196" i="16"/>
  <c r="P196" i="16" s="1"/>
  <c r="I196" i="16"/>
  <c r="K196" i="16" s="1"/>
  <c r="G196" i="16"/>
  <c r="P195" i="16"/>
  <c r="M195" i="16"/>
  <c r="G195" i="16"/>
  <c r="E195" i="16"/>
  <c r="M194" i="16"/>
  <c r="P194" i="16" s="1"/>
  <c r="G194" i="16"/>
  <c r="M193" i="16"/>
  <c r="P193" i="16" s="1"/>
  <c r="I193" i="16"/>
  <c r="K193" i="16" s="1"/>
  <c r="G193" i="16"/>
  <c r="E193" i="16"/>
  <c r="M192" i="16"/>
  <c r="P192" i="16" s="1"/>
  <c r="G192" i="16"/>
  <c r="M191" i="16"/>
  <c r="P191" i="16" s="1"/>
  <c r="G191" i="16"/>
  <c r="M190" i="16"/>
  <c r="P190" i="16" s="1"/>
  <c r="G190" i="16"/>
  <c r="M189" i="16"/>
  <c r="P189" i="16" s="1"/>
  <c r="G189" i="16"/>
  <c r="M188" i="16"/>
  <c r="P188" i="16" s="1"/>
  <c r="G188" i="16"/>
  <c r="P187" i="16"/>
  <c r="M187" i="16"/>
  <c r="G187" i="16"/>
  <c r="M186" i="16"/>
  <c r="P186" i="16" s="1"/>
  <c r="G186" i="16"/>
  <c r="M185" i="16"/>
  <c r="P185" i="16" s="1"/>
  <c r="G185" i="16"/>
  <c r="M184" i="16"/>
  <c r="P184" i="16" s="1"/>
  <c r="G184" i="16"/>
  <c r="E183" i="16"/>
  <c r="M183" i="16" s="1"/>
  <c r="P183" i="16" s="1"/>
  <c r="E182" i="16"/>
  <c r="M182" i="16" s="1"/>
  <c r="P182" i="16" s="1"/>
  <c r="M181" i="16"/>
  <c r="P181" i="16" s="1"/>
  <c r="G181" i="16"/>
  <c r="L180" i="16"/>
  <c r="I180" i="16"/>
  <c r="M180" i="16" s="1"/>
  <c r="P180" i="16" s="1"/>
  <c r="G180" i="16"/>
  <c r="L179" i="16"/>
  <c r="M179" i="16" s="1"/>
  <c r="P179" i="16" s="1"/>
  <c r="I179" i="16"/>
  <c r="K179" i="16" s="1"/>
  <c r="G179" i="16"/>
  <c r="M178" i="16"/>
  <c r="P178" i="16" s="1"/>
  <c r="G178" i="16"/>
  <c r="M177" i="16"/>
  <c r="P177" i="16" s="1"/>
  <c r="E177" i="16"/>
  <c r="G177" i="16" s="1"/>
  <c r="M176" i="16"/>
  <c r="P176" i="16" s="1"/>
  <c r="G176" i="16"/>
  <c r="M175" i="16"/>
  <c r="P175" i="16" s="1"/>
  <c r="G175" i="16"/>
  <c r="M174" i="16"/>
  <c r="P174" i="16" s="1"/>
  <c r="G174" i="16"/>
  <c r="M173" i="16"/>
  <c r="P173" i="16" s="1"/>
  <c r="K173" i="16"/>
  <c r="G173" i="16"/>
  <c r="M172" i="16"/>
  <c r="P172" i="16" s="1"/>
  <c r="K172" i="16"/>
  <c r="E172" i="16"/>
  <c r="G172" i="16" s="1"/>
  <c r="P171" i="16"/>
  <c r="M171" i="16"/>
  <c r="K171" i="16"/>
  <c r="G171" i="16"/>
  <c r="M170" i="16"/>
  <c r="P170" i="16" s="1"/>
  <c r="K170" i="16"/>
  <c r="G170" i="16"/>
  <c r="M169" i="16"/>
  <c r="P169" i="16" s="1"/>
  <c r="K169" i="16"/>
  <c r="G169" i="16"/>
  <c r="L168" i="16"/>
  <c r="M168" i="16" s="1"/>
  <c r="P168" i="16" s="1"/>
  <c r="G168" i="16"/>
  <c r="M167" i="16"/>
  <c r="P167" i="16" s="1"/>
  <c r="M166" i="16"/>
  <c r="P166" i="16" s="1"/>
  <c r="K166" i="16"/>
  <c r="K165" i="16"/>
  <c r="E165" i="16"/>
  <c r="M165" i="16" s="1"/>
  <c r="P165" i="16" s="1"/>
  <c r="I164" i="16"/>
  <c r="K164" i="16" s="1"/>
  <c r="G164" i="16"/>
  <c r="E164" i="16"/>
  <c r="M164" i="16" s="1"/>
  <c r="P164" i="16" s="1"/>
  <c r="K163" i="16"/>
  <c r="E163" i="16"/>
  <c r="I162" i="16"/>
  <c r="K162" i="16" s="1"/>
  <c r="G162" i="16"/>
  <c r="E162" i="16"/>
  <c r="M162" i="16" s="1"/>
  <c r="P162" i="16" s="1"/>
  <c r="K161" i="16"/>
  <c r="J161" i="16"/>
  <c r="J475" i="16" s="1"/>
  <c r="G161" i="16"/>
  <c r="E160" i="16"/>
  <c r="M160" i="16" s="1"/>
  <c r="P160" i="16" s="1"/>
  <c r="M159" i="16"/>
  <c r="P159" i="16" s="1"/>
  <c r="G159" i="16"/>
  <c r="M158" i="16"/>
  <c r="P158" i="16" s="1"/>
  <c r="G158" i="16"/>
  <c r="L157" i="16"/>
  <c r="M157" i="16" s="1"/>
  <c r="P157" i="16" s="1"/>
  <c r="I157" i="16"/>
  <c r="K157" i="16" s="1"/>
  <c r="G157" i="16"/>
  <c r="M156" i="16"/>
  <c r="P156" i="16" s="1"/>
  <c r="G156" i="16"/>
  <c r="M155" i="16"/>
  <c r="P155" i="16" s="1"/>
  <c r="G155" i="16"/>
  <c r="M154" i="16"/>
  <c r="P154" i="16" s="1"/>
  <c r="G154" i="16"/>
  <c r="M153" i="16"/>
  <c r="P153" i="16" s="1"/>
  <c r="G153" i="16"/>
  <c r="M152" i="16"/>
  <c r="P152" i="16" s="1"/>
  <c r="M151" i="16"/>
  <c r="P151" i="16" s="1"/>
  <c r="G151" i="16"/>
  <c r="M150" i="16"/>
  <c r="P150" i="16" s="1"/>
  <c r="G150" i="16"/>
  <c r="M149" i="16"/>
  <c r="P149" i="16" s="1"/>
  <c r="E148" i="16"/>
  <c r="M148" i="16" s="1"/>
  <c r="P148" i="16" s="1"/>
  <c r="M147" i="16"/>
  <c r="P147" i="16" s="1"/>
  <c r="G147" i="16"/>
  <c r="M146" i="16"/>
  <c r="P146" i="16" s="1"/>
  <c r="G146" i="16"/>
  <c r="M145" i="16"/>
  <c r="P145" i="16" s="1"/>
  <c r="M144" i="16"/>
  <c r="P144" i="16" s="1"/>
  <c r="M143" i="16"/>
  <c r="P143" i="16" s="1"/>
  <c r="G143" i="16"/>
  <c r="M142" i="16"/>
  <c r="P142" i="16" s="1"/>
  <c r="M141" i="16"/>
  <c r="P141" i="16" s="1"/>
  <c r="G141" i="16"/>
  <c r="M140" i="16"/>
  <c r="P140" i="16" s="1"/>
  <c r="G140" i="16"/>
  <c r="K139" i="16"/>
  <c r="I139" i="16"/>
  <c r="M139" i="16" s="1"/>
  <c r="P139" i="16" s="1"/>
  <c r="G139" i="16"/>
  <c r="M138" i="16"/>
  <c r="P138" i="16" s="1"/>
  <c r="G138" i="16"/>
  <c r="E138" i="16"/>
  <c r="M137" i="16"/>
  <c r="P137" i="16" s="1"/>
  <c r="G137" i="16"/>
  <c r="M136" i="16"/>
  <c r="P136" i="16" s="1"/>
  <c r="G136" i="16"/>
  <c r="M135" i="16"/>
  <c r="P135" i="16" s="1"/>
  <c r="E135" i="16"/>
  <c r="G135" i="16" s="1"/>
  <c r="M134" i="16"/>
  <c r="P134" i="16" s="1"/>
  <c r="G134" i="16"/>
  <c r="E133" i="16"/>
  <c r="M133" i="16" s="1"/>
  <c r="P133" i="16" s="1"/>
  <c r="M132" i="16"/>
  <c r="P132" i="16" s="1"/>
  <c r="G132" i="16"/>
  <c r="M131" i="16"/>
  <c r="P131" i="16" s="1"/>
  <c r="G131" i="16"/>
  <c r="L130" i="16"/>
  <c r="M130" i="16" s="1"/>
  <c r="P130" i="16" s="1"/>
  <c r="E130" i="16"/>
  <c r="G130" i="16" s="1"/>
  <c r="M129" i="16"/>
  <c r="P129" i="16" s="1"/>
  <c r="G129" i="16"/>
  <c r="M128" i="16"/>
  <c r="P128" i="16" s="1"/>
  <c r="G128" i="16"/>
  <c r="M127" i="16"/>
  <c r="P127" i="16" s="1"/>
  <c r="G127" i="16"/>
  <c r="M126" i="16"/>
  <c r="P126" i="16" s="1"/>
  <c r="G126" i="16"/>
  <c r="M125" i="16"/>
  <c r="P125" i="16" s="1"/>
  <c r="G125" i="16"/>
  <c r="L124" i="16"/>
  <c r="M124" i="16" s="1"/>
  <c r="P124" i="16" s="1"/>
  <c r="G124" i="16"/>
  <c r="M123" i="16"/>
  <c r="P123" i="16" s="1"/>
  <c r="G123" i="16"/>
  <c r="M122" i="16"/>
  <c r="P122" i="16" s="1"/>
  <c r="G122" i="16"/>
  <c r="M121" i="16"/>
  <c r="P121" i="16" s="1"/>
  <c r="K121" i="16"/>
  <c r="G121" i="16"/>
  <c r="M120" i="16"/>
  <c r="P120" i="16" s="1"/>
  <c r="G120" i="16"/>
  <c r="M119" i="16"/>
  <c r="P119" i="16" s="1"/>
  <c r="G119" i="16"/>
  <c r="L118" i="16"/>
  <c r="M118" i="16" s="1"/>
  <c r="P118" i="16" s="1"/>
  <c r="G118" i="16"/>
  <c r="E117" i="16"/>
  <c r="M117" i="16" s="1"/>
  <c r="P117" i="16" s="1"/>
  <c r="M116" i="16"/>
  <c r="P116" i="16" s="1"/>
  <c r="G116" i="16"/>
  <c r="M115" i="16"/>
  <c r="P115" i="16" s="1"/>
  <c r="G115" i="16"/>
  <c r="M114" i="16"/>
  <c r="P114" i="16" s="1"/>
  <c r="G114" i="16"/>
  <c r="M113" i="16"/>
  <c r="P113" i="16" s="1"/>
  <c r="G113" i="16"/>
  <c r="M112" i="16"/>
  <c r="P112" i="16" s="1"/>
  <c r="G112" i="16"/>
  <c r="M111" i="16"/>
  <c r="P111" i="16" s="1"/>
  <c r="G111" i="16"/>
  <c r="M110" i="16"/>
  <c r="P110" i="16" s="1"/>
  <c r="G110" i="16"/>
  <c r="M109" i="16"/>
  <c r="P109" i="16" s="1"/>
  <c r="G109" i="16"/>
  <c r="M108" i="16"/>
  <c r="P108" i="16" s="1"/>
  <c r="G108" i="16"/>
  <c r="M107" i="16"/>
  <c r="P107" i="16" s="1"/>
  <c r="G107" i="16"/>
  <c r="P106" i="16"/>
  <c r="M106" i="16"/>
  <c r="G106" i="16"/>
  <c r="E106" i="16"/>
  <c r="M105" i="16"/>
  <c r="P105" i="16" s="1"/>
  <c r="G105" i="16"/>
  <c r="M104" i="16"/>
  <c r="P104" i="16" s="1"/>
  <c r="G104" i="16"/>
  <c r="G103" i="16"/>
  <c r="E103" i="16"/>
  <c r="M103" i="16" s="1"/>
  <c r="P103" i="16" s="1"/>
  <c r="M102" i="16"/>
  <c r="P102" i="16" s="1"/>
  <c r="G102" i="16"/>
  <c r="M101" i="16"/>
  <c r="P101" i="16" s="1"/>
  <c r="G101" i="16"/>
  <c r="M100" i="16"/>
  <c r="P100" i="16" s="1"/>
  <c r="G100" i="16"/>
  <c r="M99" i="16"/>
  <c r="P99" i="16" s="1"/>
  <c r="G99" i="16"/>
  <c r="M98" i="16"/>
  <c r="P98" i="16" s="1"/>
  <c r="G98" i="16"/>
  <c r="M97" i="16"/>
  <c r="P97" i="16" s="1"/>
  <c r="G97" i="16"/>
  <c r="M96" i="16"/>
  <c r="P96" i="16" s="1"/>
  <c r="G96" i="16"/>
  <c r="M95" i="16"/>
  <c r="P95" i="16" s="1"/>
  <c r="E95" i="16"/>
  <c r="G95" i="16" s="1"/>
  <c r="M94" i="16"/>
  <c r="P94" i="16" s="1"/>
  <c r="G94" i="16"/>
  <c r="E94" i="16"/>
  <c r="M93" i="16"/>
  <c r="P93" i="16" s="1"/>
  <c r="G93" i="16"/>
  <c r="M92" i="16"/>
  <c r="P92" i="16" s="1"/>
  <c r="G92" i="16"/>
  <c r="M91" i="16"/>
  <c r="P91" i="16" s="1"/>
  <c r="G91" i="16"/>
  <c r="M90" i="16"/>
  <c r="P90" i="16" s="1"/>
  <c r="G90" i="16"/>
  <c r="I89" i="16"/>
  <c r="M89" i="16" s="1"/>
  <c r="P89" i="16" s="1"/>
  <c r="G89" i="16"/>
  <c r="M88" i="16"/>
  <c r="P88" i="16" s="1"/>
  <c r="M87" i="16"/>
  <c r="P87" i="16" s="1"/>
  <c r="K87" i="16"/>
  <c r="G87" i="16"/>
  <c r="M86" i="16"/>
  <c r="P86" i="16" s="1"/>
  <c r="K86" i="16"/>
  <c r="G86" i="16"/>
  <c r="M85" i="16"/>
  <c r="P85" i="16" s="1"/>
  <c r="G85" i="16"/>
  <c r="M84" i="16"/>
  <c r="P84" i="16" s="1"/>
  <c r="G84" i="16"/>
  <c r="M83" i="16"/>
  <c r="P83" i="16" s="1"/>
  <c r="G83" i="16"/>
  <c r="M82" i="16"/>
  <c r="P82" i="16" s="1"/>
  <c r="G82" i="16"/>
  <c r="M81" i="16"/>
  <c r="P81" i="16" s="1"/>
  <c r="G81" i="16"/>
  <c r="M80" i="16"/>
  <c r="P80" i="16" s="1"/>
  <c r="K80" i="16"/>
  <c r="G80" i="16"/>
  <c r="M79" i="16"/>
  <c r="P79" i="16" s="1"/>
  <c r="G79" i="16"/>
  <c r="M78" i="16"/>
  <c r="P78" i="16" s="1"/>
  <c r="G78" i="16"/>
  <c r="M77" i="16"/>
  <c r="P77" i="16" s="1"/>
  <c r="G77" i="16"/>
  <c r="L76" i="16"/>
  <c r="M76" i="16" s="1"/>
  <c r="P76" i="16" s="1"/>
  <c r="G76" i="16"/>
  <c r="M75" i="16"/>
  <c r="P75" i="16" s="1"/>
  <c r="I75" i="16"/>
  <c r="K75" i="16" s="1"/>
  <c r="G75" i="16"/>
  <c r="M74" i="16"/>
  <c r="P74" i="16" s="1"/>
  <c r="G74" i="16"/>
  <c r="M73" i="16"/>
  <c r="P73" i="16" s="1"/>
  <c r="G73" i="16"/>
  <c r="M72" i="16"/>
  <c r="P72" i="16" s="1"/>
  <c r="G72" i="16"/>
  <c r="M71" i="16"/>
  <c r="P71" i="16" s="1"/>
  <c r="G71" i="16"/>
  <c r="M70" i="16"/>
  <c r="P70" i="16" s="1"/>
  <c r="G70" i="16"/>
  <c r="M69" i="16"/>
  <c r="P69" i="16" s="1"/>
  <c r="G69" i="16"/>
  <c r="M68" i="16"/>
  <c r="P68" i="16" s="1"/>
  <c r="G68" i="16"/>
  <c r="M67" i="16"/>
  <c r="P67" i="16" s="1"/>
  <c r="G67" i="16"/>
  <c r="M66" i="16"/>
  <c r="P66" i="16" s="1"/>
  <c r="G66" i="16"/>
  <c r="M65" i="16"/>
  <c r="P65" i="16" s="1"/>
  <c r="K65" i="16"/>
  <c r="G65" i="16"/>
  <c r="M64" i="16"/>
  <c r="P64" i="16" s="1"/>
  <c r="K64" i="16"/>
  <c r="M63" i="16"/>
  <c r="P63" i="16" s="1"/>
  <c r="K63" i="16"/>
  <c r="M62" i="16"/>
  <c r="P62" i="16" s="1"/>
  <c r="K62" i="16"/>
  <c r="M61" i="16"/>
  <c r="P61" i="16" s="1"/>
  <c r="K61" i="16"/>
  <c r="G61" i="16"/>
  <c r="M60" i="16"/>
  <c r="P60" i="16" s="1"/>
  <c r="K60" i="16"/>
  <c r="G60" i="16"/>
  <c r="M59" i="16"/>
  <c r="P59" i="16" s="1"/>
  <c r="K59" i="16"/>
  <c r="G59" i="16"/>
  <c r="M58" i="16"/>
  <c r="P58" i="16" s="1"/>
  <c r="K58" i="16"/>
  <c r="G58" i="16"/>
  <c r="M57" i="16"/>
  <c r="P57" i="16" s="1"/>
  <c r="K57" i="16"/>
  <c r="G57" i="16"/>
  <c r="M56" i="16"/>
  <c r="P56" i="16" s="1"/>
  <c r="K56" i="16"/>
  <c r="G56" i="16"/>
  <c r="M55" i="16"/>
  <c r="P55" i="16" s="1"/>
  <c r="L55" i="16"/>
  <c r="K55" i="16"/>
  <c r="G55" i="16"/>
  <c r="M54" i="16"/>
  <c r="P54" i="16" s="1"/>
  <c r="K54" i="16"/>
  <c r="G54" i="16"/>
  <c r="L53" i="16"/>
  <c r="G53" i="16"/>
  <c r="E53" i="16"/>
  <c r="M53" i="16" s="1"/>
  <c r="P53" i="16" s="1"/>
  <c r="M52" i="16"/>
  <c r="P52" i="16" s="1"/>
  <c r="G52" i="16"/>
  <c r="M51" i="16"/>
  <c r="P51" i="16" s="1"/>
  <c r="G51" i="16"/>
  <c r="M50" i="16"/>
  <c r="P50" i="16" s="1"/>
  <c r="G50" i="16"/>
  <c r="M49" i="16"/>
  <c r="P49" i="16" s="1"/>
  <c r="G49" i="16"/>
  <c r="M48" i="16"/>
  <c r="P48" i="16" s="1"/>
  <c r="G48" i="16"/>
  <c r="M47" i="16"/>
  <c r="P47" i="16" s="1"/>
  <c r="G47" i="16"/>
  <c r="M46" i="16"/>
  <c r="P46" i="16" s="1"/>
  <c r="G46" i="16"/>
  <c r="M45" i="16"/>
  <c r="P45" i="16" s="1"/>
  <c r="G45" i="16"/>
  <c r="M44" i="16"/>
  <c r="P44" i="16" s="1"/>
  <c r="G44" i="16"/>
  <c r="L43" i="16"/>
  <c r="M43" i="16" s="1"/>
  <c r="P43" i="16" s="1"/>
  <c r="G43" i="16"/>
  <c r="M42" i="16"/>
  <c r="P42" i="16" s="1"/>
  <c r="G42" i="16"/>
  <c r="M41" i="16"/>
  <c r="P41" i="16" s="1"/>
  <c r="G41" i="16"/>
  <c r="M40" i="16"/>
  <c r="P40" i="16" s="1"/>
  <c r="G40" i="16"/>
  <c r="M39" i="16"/>
  <c r="P39" i="16" s="1"/>
  <c r="G39" i="16"/>
  <c r="M38" i="16"/>
  <c r="P38" i="16" s="1"/>
  <c r="G38" i="16"/>
  <c r="M37" i="16"/>
  <c r="P37" i="16" s="1"/>
  <c r="G37" i="16"/>
  <c r="M36" i="16"/>
  <c r="P36" i="16" s="1"/>
  <c r="G36" i="16"/>
  <c r="M35" i="16"/>
  <c r="P35" i="16" s="1"/>
  <c r="G35" i="16"/>
  <c r="M34" i="16"/>
  <c r="P34" i="16" s="1"/>
  <c r="G34" i="16"/>
  <c r="E34" i="16"/>
  <c r="M33" i="16"/>
  <c r="P33" i="16" s="1"/>
  <c r="G33" i="16"/>
  <c r="M32" i="16"/>
  <c r="P32" i="16" s="1"/>
  <c r="G32" i="16"/>
  <c r="M31" i="16"/>
  <c r="P31" i="16" s="1"/>
  <c r="G31" i="16"/>
  <c r="M30" i="16"/>
  <c r="P30" i="16" s="1"/>
  <c r="G30" i="16"/>
  <c r="M29" i="16"/>
  <c r="P29" i="16" s="1"/>
  <c r="G29" i="16"/>
  <c r="M28" i="16"/>
  <c r="P28" i="16" s="1"/>
  <c r="G28" i="16"/>
  <c r="M27" i="16"/>
  <c r="P27" i="16" s="1"/>
  <c r="G27" i="16"/>
  <c r="M26" i="16"/>
  <c r="P26" i="16" s="1"/>
  <c r="G26" i="16"/>
  <c r="M25" i="16"/>
  <c r="P25" i="16" s="1"/>
  <c r="G25" i="16"/>
  <c r="L24" i="16"/>
  <c r="M24" i="16" s="1"/>
  <c r="P24" i="16" s="1"/>
  <c r="G24" i="16"/>
  <c r="M23" i="16"/>
  <c r="P23" i="16" s="1"/>
  <c r="G23" i="16"/>
  <c r="M22" i="16"/>
  <c r="P22" i="16" s="1"/>
  <c r="G22" i="16"/>
  <c r="M21" i="16"/>
  <c r="P21" i="16" s="1"/>
  <c r="G21" i="16"/>
  <c r="M20" i="16"/>
  <c r="P20" i="16" s="1"/>
  <c r="G20" i="16"/>
  <c r="E20" i="16"/>
  <c r="M19" i="16"/>
  <c r="P19" i="16" s="1"/>
  <c r="G19" i="16"/>
  <c r="P18" i="16"/>
  <c r="M18" i="16"/>
  <c r="G18" i="16"/>
  <c r="M17" i="16"/>
  <c r="P17" i="16" s="1"/>
  <c r="G17" i="16"/>
  <c r="M16" i="16"/>
  <c r="P16" i="16" s="1"/>
  <c r="G16" i="16"/>
  <c r="M15" i="16"/>
  <c r="P15" i="16" s="1"/>
  <c r="G15" i="16"/>
  <c r="M14" i="16"/>
  <c r="P14" i="16" s="1"/>
  <c r="G14" i="16"/>
  <c r="E14" i="16"/>
  <c r="M13" i="16"/>
  <c r="P13" i="16" s="1"/>
  <c r="G13" i="16"/>
  <c r="P12" i="16"/>
  <c r="M12" i="16"/>
  <c r="G12" i="16"/>
  <c r="M11" i="16"/>
  <c r="P11" i="16" s="1"/>
  <c r="G11" i="16"/>
  <c r="M10" i="16"/>
  <c r="P10" i="16" s="1"/>
  <c r="G10" i="16"/>
  <c r="L9" i="16"/>
  <c r="G9" i="16"/>
  <c r="G8" i="16"/>
  <c r="E8" i="16"/>
  <c r="M8" i="16" s="1"/>
  <c r="L270" i="15"/>
  <c r="L53" i="15"/>
  <c r="L54" i="15"/>
  <c r="M54" i="15" s="1"/>
  <c r="P54" i="15" s="1"/>
  <c r="L180" i="15"/>
  <c r="L391" i="15"/>
  <c r="L390" i="15"/>
  <c r="L323" i="15"/>
  <c r="M323" i="15" s="1"/>
  <c r="P323" i="15" s="1"/>
  <c r="L244" i="15"/>
  <c r="M244" i="15" s="1"/>
  <c r="P244" i="15" s="1"/>
  <c r="L193" i="15"/>
  <c r="L239" i="15"/>
  <c r="L161" i="15"/>
  <c r="M161" i="15" s="1"/>
  <c r="L250" i="15"/>
  <c r="L316" i="15"/>
  <c r="L389" i="15"/>
  <c r="L92" i="15"/>
  <c r="M92" i="15" s="1"/>
  <c r="P92" i="15" s="1"/>
  <c r="L196" i="15"/>
  <c r="L170" i="15"/>
  <c r="L443" i="15"/>
  <c r="L251" i="15"/>
  <c r="M251" i="15" s="1"/>
  <c r="P251" i="15" s="1"/>
  <c r="K469" i="15"/>
  <c r="M469" i="15"/>
  <c r="K193" i="15"/>
  <c r="I193" i="15"/>
  <c r="M463" i="15"/>
  <c r="M464" i="15"/>
  <c r="M465" i="15"/>
  <c r="P465" i="15" s="1"/>
  <c r="M466" i="15"/>
  <c r="M467" i="15"/>
  <c r="M468" i="15"/>
  <c r="P461" i="15"/>
  <c r="P462" i="15"/>
  <c r="P463" i="15"/>
  <c r="P464" i="15"/>
  <c r="K462" i="15"/>
  <c r="K463" i="15"/>
  <c r="K464" i="15"/>
  <c r="K465" i="15"/>
  <c r="K466" i="15"/>
  <c r="K467" i="15"/>
  <c r="K468" i="15"/>
  <c r="M462" i="15"/>
  <c r="K454" i="15"/>
  <c r="K455" i="15"/>
  <c r="K456" i="15"/>
  <c r="K457" i="15"/>
  <c r="K458" i="15"/>
  <c r="K459" i="15"/>
  <c r="K460" i="15"/>
  <c r="K461" i="15"/>
  <c r="K473" i="15"/>
  <c r="K453" i="15"/>
  <c r="P473" i="15"/>
  <c r="K451" i="15"/>
  <c r="I270" i="15"/>
  <c r="K269" i="15"/>
  <c r="K270" i="15"/>
  <c r="K172" i="15"/>
  <c r="K170" i="15"/>
  <c r="K171" i="15"/>
  <c r="K173" i="15"/>
  <c r="M169" i="15"/>
  <c r="K448" i="15"/>
  <c r="E130" i="15"/>
  <c r="M130" i="15" s="1"/>
  <c r="I426" i="15"/>
  <c r="M426" i="15" s="1"/>
  <c r="P426" i="15" s="1"/>
  <c r="I323" i="15"/>
  <c r="I389" i="15"/>
  <c r="K389" i="15" s="1"/>
  <c r="M86" i="15"/>
  <c r="P86" i="15" s="1"/>
  <c r="M87" i="15"/>
  <c r="P87" i="15" s="1"/>
  <c r="K86" i="15"/>
  <c r="I196" i="15"/>
  <c r="K196" i="15" s="1"/>
  <c r="E117" i="15"/>
  <c r="L450" i="15"/>
  <c r="E450" i="15"/>
  <c r="L163" i="15"/>
  <c r="K3" i="15"/>
  <c r="L3" i="15" s="1"/>
  <c r="J3" i="15"/>
  <c r="M458" i="15"/>
  <c r="P458" i="15" s="1"/>
  <c r="M459" i="15"/>
  <c r="P459" i="15" s="1"/>
  <c r="M460" i="15"/>
  <c r="P460" i="15" s="1"/>
  <c r="M461" i="15"/>
  <c r="M457" i="15"/>
  <c r="P457" i="15" s="1"/>
  <c r="M456" i="15"/>
  <c r="P456" i="15" s="1"/>
  <c r="M455" i="15"/>
  <c r="P455" i="15" s="1"/>
  <c r="E289" i="15"/>
  <c r="M454" i="15"/>
  <c r="P454" i="15" s="1"/>
  <c r="M453" i="15"/>
  <c r="P453" i="15" s="1"/>
  <c r="M452" i="15"/>
  <c r="P452" i="15" s="1"/>
  <c r="L157" i="15"/>
  <c r="M448" i="15"/>
  <c r="M449" i="15"/>
  <c r="M451" i="15"/>
  <c r="P451" i="15" s="1"/>
  <c r="M444" i="15"/>
  <c r="E251" i="15"/>
  <c r="M364" i="15"/>
  <c r="P364" i="15" s="1"/>
  <c r="L327" i="15"/>
  <c r="E195" i="15"/>
  <c r="I326" i="15"/>
  <c r="K326" i="15" s="1"/>
  <c r="M447" i="15"/>
  <c r="M446" i="15"/>
  <c r="M445" i="15"/>
  <c r="M443" i="15"/>
  <c r="M442" i="15"/>
  <c r="M441" i="15"/>
  <c r="M440" i="15"/>
  <c r="M439" i="15"/>
  <c r="P439" i="15" s="1"/>
  <c r="K439" i="15"/>
  <c r="M438" i="15"/>
  <c r="P438" i="15" s="1"/>
  <c r="K438" i="15"/>
  <c r="M437" i="15"/>
  <c r="P437" i="15" s="1"/>
  <c r="K437" i="15"/>
  <c r="M436" i="15"/>
  <c r="P436" i="15" s="1"/>
  <c r="K436" i="15"/>
  <c r="M435" i="15"/>
  <c r="P435" i="15" s="1"/>
  <c r="K435" i="15"/>
  <c r="M434" i="15"/>
  <c r="P434" i="15" s="1"/>
  <c r="K434" i="15"/>
  <c r="M433" i="15"/>
  <c r="P433" i="15" s="1"/>
  <c r="K433" i="15"/>
  <c r="M432" i="15"/>
  <c r="P432" i="15" s="1"/>
  <c r="K432" i="15"/>
  <c r="G432" i="15"/>
  <c r="M431" i="15"/>
  <c r="P431" i="15" s="1"/>
  <c r="K431" i="15"/>
  <c r="M430" i="15"/>
  <c r="P430" i="15" s="1"/>
  <c r="K430" i="15"/>
  <c r="M429" i="15"/>
  <c r="P429" i="15" s="1"/>
  <c r="K429" i="15"/>
  <c r="M428" i="15"/>
  <c r="P428" i="15" s="1"/>
  <c r="K428" i="15"/>
  <c r="K427" i="15"/>
  <c r="E427" i="15"/>
  <c r="M427" i="15" s="1"/>
  <c r="P427" i="15" s="1"/>
  <c r="M425" i="15"/>
  <c r="P425" i="15" s="1"/>
  <c r="K425" i="15"/>
  <c r="M424" i="15"/>
  <c r="P424" i="15" s="1"/>
  <c r="K424" i="15"/>
  <c r="M423" i="15"/>
  <c r="P423" i="15" s="1"/>
  <c r="K423" i="15"/>
  <c r="M422" i="15"/>
  <c r="P422" i="15" s="1"/>
  <c r="K422" i="15"/>
  <c r="M421" i="15"/>
  <c r="P421" i="15" s="1"/>
  <c r="K421" i="15"/>
  <c r="M420" i="15"/>
  <c r="P420" i="15" s="1"/>
  <c r="K420" i="15"/>
  <c r="M419" i="15"/>
  <c r="P419" i="15" s="1"/>
  <c r="K419" i="15"/>
  <c r="M418" i="15"/>
  <c r="P418" i="15" s="1"/>
  <c r="K418" i="15"/>
  <c r="M417" i="15"/>
  <c r="P417" i="15" s="1"/>
  <c r="K417" i="15"/>
  <c r="M416" i="15"/>
  <c r="P416" i="15" s="1"/>
  <c r="K416" i="15"/>
  <c r="M415" i="15"/>
  <c r="P415" i="15" s="1"/>
  <c r="K415" i="15"/>
  <c r="M414" i="15"/>
  <c r="P414" i="15" s="1"/>
  <c r="K414" i="15"/>
  <c r="M413" i="15"/>
  <c r="P413" i="15" s="1"/>
  <c r="K413" i="15"/>
  <c r="M412" i="15"/>
  <c r="P412" i="15" s="1"/>
  <c r="K412" i="15"/>
  <c r="M411" i="15"/>
  <c r="P411" i="15" s="1"/>
  <c r="K411" i="15"/>
  <c r="M410" i="15"/>
  <c r="P410" i="15" s="1"/>
  <c r="K410" i="15"/>
  <c r="M409" i="15"/>
  <c r="P409" i="15" s="1"/>
  <c r="K409" i="15"/>
  <c r="M408" i="15"/>
  <c r="P408" i="15" s="1"/>
  <c r="K408" i="15"/>
  <c r="M407" i="15"/>
  <c r="P407" i="15" s="1"/>
  <c r="K407" i="15"/>
  <c r="M406" i="15"/>
  <c r="P406" i="15" s="1"/>
  <c r="K406" i="15"/>
  <c r="M405" i="15"/>
  <c r="P405" i="15" s="1"/>
  <c r="K405" i="15"/>
  <c r="M404" i="15"/>
  <c r="P404" i="15" s="1"/>
  <c r="K404" i="15"/>
  <c r="M403" i="15"/>
  <c r="P403" i="15" s="1"/>
  <c r="K403" i="15"/>
  <c r="M402" i="15"/>
  <c r="P402" i="15" s="1"/>
  <c r="K402" i="15"/>
  <c r="M401" i="15"/>
  <c r="P401" i="15" s="1"/>
  <c r="K401" i="15"/>
  <c r="M400" i="15"/>
  <c r="P400" i="15" s="1"/>
  <c r="K400" i="15"/>
  <c r="M399" i="15"/>
  <c r="P399" i="15" s="1"/>
  <c r="K399" i="15"/>
  <c r="M398" i="15"/>
  <c r="P398" i="15" s="1"/>
  <c r="K398" i="15"/>
  <c r="M397" i="15"/>
  <c r="P397" i="15" s="1"/>
  <c r="K397" i="15"/>
  <c r="M396" i="15"/>
  <c r="P396" i="15" s="1"/>
  <c r="K396" i="15"/>
  <c r="M395" i="15"/>
  <c r="P395" i="15" s="1"/>
  <c r="K395" i="15"/>
  <c r="M394" i="15"/>
  <c r="P394" i="15" s="1"/>
  <c r="K394" i="15"/>
  <c r="I393" i="15"/>
  <c r="M393" i="15" s="1"/>
  <c r="P393" i="15" s="1"/>
  <c r="I392" i="15"/>
  <c r="M392" i="15" s="1"/>
  <c r="P392" i="15" s="1"/>
  <c r="I391" i="15"/>
  <c r="K391" i="15" s="1"/>
  <c r="I390" i="15"/>
  <c r="K390" i="15" s="1"/>
  <c r="K388" i="15"/>
  <c r="M387" i="15"/>
  <c r="P387" i="15" s="1"/>
  <c r="M386" i="15"/>
  <c r="P386" i="15" s="1"/>
  <c r="M385" i="15"/>
  <c r="P385" i="15" s="1"/>
  <c r="M384" i="15"/>
  <c r="P384" i="15" s="1"/>
  <c r="K384" i="15"/>
  <c r="M383" i="15"/>
  <c r="P383" i="15" s="1"/>
  <c r="K383" i="15"/>
  <c r="M382" i="15"/>
  <c r="P382" i="15" s="1"/>
  <c r="K382" i="15"/>
  <c r="M381" i="15"/>
  <c r="P381" i="15" s="1"/>
  <c r="K381" i="15"/>
  <c r="M380" i="15"/>
  <c r="P380" i="15" s="1"/>
  <c r="K380" i="15"/>
  <c r="M379" i="15"/>
  <c r="P379" i="15" s="1"/>
  <c r="K379" i="15"/>
  <c r="M378" i="15"/>
  <c r="P378" i="15" s="1"/>
  <c r="K378" i="15"/>
  <c r="M377" i="15"/>
  <c r="P377" i="15" s="1"/>
  <c r="K377" i="15"/>
  <c r="M376" i="15"/>
  <c r="P376" i="15" s="1"/>
  <c r="K376" i="15"/>
  <c r="M375" i="15"/>
  <c r="P375" i="15" s="1"/>
  <c r="K375" i="15"/>
  <c r="M374" i="15"/>
  <c r="P374" i="15" s="1"/>
  <c r="K374" i="15"/>
  <c r="M373" i="15"/>
  <c r="P373" i="15" s="1"/>
  <c r="K373" i="15"/>
  <c r="M372" i="15"/>
  <c r="P372" i="15" s="1"/>
  <c r="K372" i="15"/>
  <c r="M371" i="15"/>
  <c r="P371" i="15" s="1"/>
  <c r="K371" i="15"/>
  <c r="M370" i="15"/>
  <c r="P370" i="15" s="1"/>
  <c r="K370" i="15"/>
  <c r="M369" i="15"/>
  <c r="P369" i="15" s="1"/>
  <c r="K369" i="15"/>
  <c r="M368" i="15"/>
  <c r="P368" i="15" s="1"/>
  <c r="K368" i="15"/>
  <c r="M367" i="15"/>
  <c r="P367" i="15" s="1"/>
  <c r="K367" i="15"/>
  <c r="I366" i="15"/>
  <c r="M366" i="15" s="1"/>
  <c r="P366" i="15" s="1"/>
  <c r="M365" i="15"/>
  <c r="P365" i="15" s="1"/>
  <c r="K365" i="15"/>
  <c r="K364" i="15"/>
  <c r="M363" i="15"/>
  <c r="P363" i="15" s="1"/>
  <c r="K363" i="15"/>
  <c r="M362" i="15"/>
  <c r="P362" i="15" s="1"/>
  <c r="K362" i="15"/>
  <c r="M361" i="15"/>
  <c r="P361" i="15" s="1"/>
  <c r="K361" i="15"/>
  <c r="M360" i="15"/>
  <c r="P360" i="15" s="1"/>
  <c r="K360" i="15"/>
  <c r="M359" i="15"/>
  <c r="P359" i="15" s="1"/>
  <c r="K359" i="15"/>
  <c r="M358" i="15"/>
  <c r="P358" i="15" s="1"/>
  <c r="K358" i="15"/>
  <c r="M357" i="15"/>
  <c r="P357" i="15" s="1"/>
  <c r="K357" i="15"/>
  <c r="M356" i="15"/>
  <c r="P356" i="15" s="1"/>
  <c r="K356" i="15"/>
  <c r="M355" i="15"/>
  <c r="P355" i="15" s="1"/>
  <c r="K355" i="15"/>
  <c r="M354" i="15"/>
  <c r="P354" i="15" s="1"/>
  <c r="K354" i="15"/>
  <c r="M353" i="15"/>
  <c r="P353" i="15" s="1"/>
  <c r="K353" i="15"/>
  <c r="M352" i="15"/>
  <c r="P352" i="15" s="1"/>
  <c r="K352" i="15"/>
  <c r="M351" i="15"/>
  <c r="P351" i="15" s="1"/>
  <c r="K351" i="15"/>
  <c r="M350" i="15"/>
  <c r="P350" i="15" s="1"/>
  <c r="K350" i="15"/>
  <c r="M349" i="15"/>
  <c r="P349" i="15" s="1"/>
  <c r="K349" i="15"/>
  <c r="M348" i="15"/>
  <c r="P348" i="15" s="1"/>
  <c r="K348" i="15"/>
  <c r="M347" i="15"/>
  <c r="P347" i="15" s="1"/>
  <c r="K347" i="15"/>
  <c r="M346" i="15"/>
  <c r="P346" i="15" s="1"/>
  <c r="K346" i="15"/>
  <c r="M345" i="15"/>
  <c r="P345" i="15" s="1"/>
  <c r="K345" i="15"/>
  <c r="L344" i="15"/>
  <c r="I344" i="15"/>
  <c r="K344" i="15" s="1"/>
  <c r="M343" i="15"/>
  <c r="P343" i="15" s="1"/>
  <c r="K343" i="15"/>
  <c r="M342" i="15"/>
  <c r="P342" i="15" s="1"/>
  <c r="K342" i="15"/>
  <c r="M341" i="15"/>
  <c r="J341" i="15"/>
  <c r="K341" i="15" s="1"/>
  <c r="F341" i="15"/>
  <c r="M340" i="15"/>
  <c r="J340" i="15"/>
  <c r="K340" i="15" s="1"/>
  <c r="F340" i="15"/>
  <c r="M339" i="15"/>
  <c r="J339" i="15"/>
  <c r="K339" i="15" s="1"/>
  <c r="F339" i="15"/>
  <c r="M338" i="15"/>
  <c r="J338" i="15"/>
  <c r="K338" i="15" s="1"/>
  <c r="F338" i="15"/>
  <c r="M337" i="15"/>
  <c r="P337" i="15" s="1"/>
  <c r="J337" i="15"/>
  <c r="K337" i="15" s="1"/>
  <c r="M336" i="15"/>
  <c r="P336" i="15" s="1"/>
  <c r="J336" i="15"/>
  <c r="K336" i="15" s="1"/>
  <c r="M335" i="15"/>
  <c r="P335" i="15" s="1"/>
  <c r="J335" i="15"/>
  <c r="K335" i="15" s="1"/>
  <c r="M334" i="15"/>
  <c r="P334" i="15" s="1"/>
  <c r="J334" i="15"/>
  <c r="K334" i="15" s="1"/>
  <c r="M333" i="15"/>
  <c r="P333" i="15" s="1"/>
  <c r="J333" i="15"/>
  <c r="K333" i="15" s="1"/>
  <c r="M332" i="15"/>
  <c r="P332" i="15" s="1"/>
  <c r="J332" i="15"/>
  <c r="K332" i="15" s="1"/>
  <c r="M331" i="15"/>
  <c r="P331" i="15" s="1"/>
  <c r="K331" i="15"/>
  <c r="M330" i="15"/>
  <c r="P330" i="15" s="1"/>
  <c r="M329" i="15"/>
  <c r="P329" i="15" s="1"/>
  <c r="K329" i="15"/>
  <c r="M328" i="15"/>
  <c r="P328" i="15" s="1"/>
  <c r="K328" i="15"/>
  <c r="M327" i="15"/>
  <c r="P327" i="15" s="1"/>
  <c r="K327" i="15"/>
  <c r="L326" i="15"/>
  <c r="M325" i="15"/>
  <c r="P325" i="15" s="1"/>
  <c r="K325" i="15"/>
  <c r="M324" i="15"/>
  <c r="P324" i="15" s="1"/>
  <c r="K324" i="15"/>
  <c r="K323" i="15"/>
  <c r="M322" i="15"/>
  <c r="P322" i="15" s="1"/>
  <c r="M321" i="15"/>
  <c r="P321" i="15" s="1"/>
  <c r="M320" i="15"/>
  <c r="P320" i="15" s="1"/>
  <c r="M319" i="15"/>
  <c r="P319" i="15" s="1"/>
  <c r="G319" i="15"/>
  <c r="L318" i="15"/>
  <c r="M318" i="15" s="1"/>
  <c r="P318" i="15" s="1"/>
  <c r="L317" i="15"/>
  <c r="M317" i="15" s="1"/>
  <c r="P317" i="15" s="1"/>
  <c r="M316" i="15"/>
  <c r="P316" i="15" s="1"/>
  <c r="K316" i="15"/>
  <c r="M315" i="15"/>
  <c r="P315" i="15" s="1"/>
  <c r="E314" i="15"/>
  <c r="M314" i="15" s="1"/>
  <c r="P314" i="15" s="1"/>
  <c r="M313" i="15"/>
  <c r="P313" i="15" s="1"/>
  <c r="M312" i="15"/>
  <c r="P312" i="15" s="1"/>
  <c r="M311" i="15"/>
  <c r="P311" i="15" s="1"/>
  <c r="G311" i="15"/>
  <c r="M310" i="15"/>
  <c r="P310" i="15" s="1"/>
  <c r="G310" i="15"/>
  <c r="E309" i="15"/>
  <c r="M309" i="15" s="1"/>
  <c r="P309" i="15" s="1"/>
  <c r="M308" i="15"/>
  <c r="P308" i="15" s="1"/>
  <c r="G308" i="15"/>
  <c r="M307" i="15"/>
  <c r="P307" i="15" s="1"/>
  <c r="G307" i="15"/>
  <c r="M306" i="15"/>
  <c r="P306" i="15" s="1"/>
  <c r="G306" i="15"/>
  <c r="M305" i="15"/>
  <c r="P305" i="15" s="1"/>
  <c r="G305" i="15"/>
  <c r="M304" i="15"/>
  <c r="P304" i="15" s="1"/>
  <c r="G304" i="15"/>
  <c r="M303" i="15"/>
  <c r="P303" i="15" s="1"/>
  <c r="K303" i="15"/>
  <c r="G303" i="15"/>
  <c r="M302" i="15"/>
  <c r="P302" i="15" s="1"/>
  <c r="G302" i="15"/>
  <c r="M301" i="15"/>
  <c r="P301" i="15" s="1"/>
  <c r="G301" i="15"/>
  <c r="M300" i="15"/>
  <c r="P300" i="15" s="1"/>
  <c r="G300" i="15"/>
  <c r="M299" i="15"/>
  <c r="P299" i="15" s="1"/>
  <c r="G299" i="15"/>
  <c r="M298" i="15"/>
  <c r="P298" i="15" s="1"/>
  <c r="G298" i="15"/>
  <c r="M297" i="15"/>
  <c r="P297" i="15" s="1"/>
  <c r="G297" i="15"/>
  <c r="E296" i="15"/>
  <c r="M296" i="15" s="1"/>
  <c r="P296" i="15" s="1"/>
  <c r="M295" i="15"/>
  <c r="P295" i="15" s="1"/>
  <c r="G295" i="15"/>
  <c r="M294" i="15"/>
  <c r="P294" i="15" s="1"/>
  <c r="G294" i="15"/>
  <c r="E293" i="15"/>
  <c r="M293" i="15" s="1"/>
  <c r="P293" i="15" s="1"/>
  <c r="M292" i="15"/>
  <c r="P292" i="15" s="1"/>
  <c r="G292" i="15"/>
  <c r="E291" i="15"/>
  <c r="M291" i="15" s="1"/>
  <c r="P291" i="15" s="1"/>
  <c r="M290" i="15"/>
  <c r="P290" i="15" s="1"/>
  <c r="G290" i="15"/>
  <c r="M289" i="15"/>
  <c r="P289" i="15" s="1"/>
  <c r="K289" i="15"/>
  <c r="G289" i="15"/>
  <c r="M288" i="15"/>
  <c r="P288" i="15" s="1"/>
  <c r="M287" i="15"/>
  <c r="P287" i="15" s="1"/>
  <c r="M286" i="15"/>
  <c r="P286" i="15" s="1"/>
  <c r="G286" i="15"/>
  <c r="M285" i="15"/>
  <c r="P285" i="15" s="1"/>
  <c r="G285" i="15"/>
  <c r="M284" i="15"/>
  <c r="P284" i="15" s="1"/>
  <c r="G284" i="15"/>
  <c r="M283" i="15"/>
  <c r="P283" i="15" s="1"/>
  <c r="G283" i="15"/>
  <c r="M282" i="15"/>
  <c r="P282" i="15" s="1"/>
  <c r="G282" i="15"/>
  <c r="M281" i="15"/>
  <c r="P281" i="15" s="1"/>
  <c r="G281" i="15"/>
  <c r="M280" i="15"/>
  <c r="P280" i="15" s="1"/>
  <c r="G280" i="15"/>
  <c r="M279" i="15"/>
  <c r="P279" i="15" s="1"/>
  <c r="G279" i="15"/>
  <c r="M278" i="15"/>
  <c r="P278" i="15" s="1"/>
  <c r="G278" i="15"/>
  <c r="M277" i="15"/>
  <c r="P277" i="15" s="1"/>
  <c r="G277" i="15"/>
  <c r="M276" i="15"/>
  <c r="P276" i="15" s="1"/>
  <c r="G276" i="15"/>
  <c r="M275" i="15"/>
  <c r="P275" i="15" s="1"/>
  <c r="K275" i="15"/>
  <c r="G275" i="15"/>
  <c r="M274" i="15"/>
  <c r="P274" i="15" s="1"/>
  <c r="G274" i="15"/>
  <c r="M273" i="15"/>
  <c r="P273" i="15" s="1"/>
  <c r="M272" i="15"/>
  <c r="P272" i="15" s="1"/>
  <c r="G272" i="15"/>
  <c r="M271" i="15"/>
  <c r="P271" i="15" s="1"/>
  <c r="G271" i="15"/>
  <c r="M270" i="15"/>
  <c r="P270" i="15" s="1"/>
  <c r="G270" i="15"/>
  <c r="G269" i="15"/>
  <c r="M269" i="15"/>
  <c r="P269" i="15" s="1"/>
  <c r="M268" i="15"/>
  <c r="P268" i="15" s="1"/>
  <c r="K268" i="15"/>
  <c r="G268" i="15"/>
  <c r="M267" i="15"/>
  <c r="P267" i="15" s="1"/>
  <c r="K267" i="15"/>
  <c r="G267" i="15"/>
  <c r="M266" i="15"/>
  <c r="P266" i="15" s="1"/>
  <c r="G266" i="15"/>
  <c r="M265" i="15"/>
  <c r="P265" i="15" s="1"/>
  <c r="G265" i="15"/>
  <c r="M264" i="15"/>
  <c r="P264" i="15" s="1"/>
  <c r="G264" i="15"/>
  <c r="M263" i="15"/>
  <c r="P263" i="15" s="1"/>
  <c r="G263" i="15"/>
  <c r="M262" i="15"/>
  <c r="P262" i="15" s="1"/>
  <c r="G262" i="15"/>
  <c r="M261" i="15"/>
  <c r="P261" i="15" s="1"/>
  <c r="G261" i="15"/>
  <c r="M260" i="15"/>
  <c r="P260" i="15" s="1"/>
  <c r="G260" i="15"/>
  <c r="M259" i="15"/>
  <c r="P259" i="15" s="1"/>
  <c r="G259" i="15"/>
  <c r="M258" i="15"/>
  <c r="P258" i="15" s="1"/>
  <c r="G258" i="15"/>
  <c r="M257" i="15"/>
  <c r="P257" i="15" s="1"/>
  <c r="G257" i="15"/>
  <c r="M256" i="15"/>
  <c r="P256" i="15" s="1"/>
  <c r="G256" i="15"/>
  <c r="M255" i="15"/>
  <c r="P255" i="15" s="1"/>
  <c r="G255" i="15"/>
  <c r="M254" i="15"/>
  <c r="P254" i="15" s="1"/>
  <c r="G254" i="15"/>
  <c r="M253" i="15"/>
  <c r="P253" i="15" s="1"/>
  <c r="G253" i="15"/>
  <c r="M252" i="15"/>
  <c r="P252" i="15" s="1"/>
  <c r="G252" i="15"/>
  <c r="K251" i="15"/>
  <c r="G251" i="15"/>
  <c r="I250" i="15"/>
  <c r="G250" i="15"/>
  <c r="M249" i="15"/>
  <c r="P249" i="15" s="1"/>
  <c r="K249" i="15"/>
  <c r="G249" i="15"/>
  <c r="M248" i="15"/>
  <c r="P248" i="15" s="1"/>
  <c r="K248" i="15"/>
  <c r="G248" i="15"/>
  <c r="M247" i="15"/>
  <c r="P247" i="15" s="1"/>
  <c r="K247" i="15"/>
  <c r="G247" i="15"/>
  <c r="M246" i="15"/>
  <c r="P246" i="15" s="1"/>
  <c r="K246" i="15"/>
  <c r="G246" i="15"/>
  <c r="M245" i="15"/>
  <c r="P245" i="15" s="1"/>
  <c r="K245" i="15"/>
  <c r="G245" i="15"/>
  <c r="K244" i="15"/>
  <c r="G244" i="15"/>
  <c r="M243" i="15"/>
  <c r="P243" i="15" s="1"/>
  <c r="K243" i="15"/>
  <c r="G243" i="15"/>
  <c r="M242" i="15"/>
  <c r="P242" i="15" s="1"/>
  <c r="K242" i="15"/>
  <c r="G242" i="15"/>
  <c r="I241" i="15"/>
  <c r="K241" i="15" s="1"/>
  <c r="G241" i="15"/>
  <c r="M240" i="15"/>
  <c r="P240" i="15" s="1"/>
  <c r="K240" i="15"/>
  <c r="G240" i="15"/>
  <c r="G239" i="15"/>
  <c r="M238" i="15"/>
  <c r="P238" i="15" s="1"/>
  <c r="G238" i="15"/>
  <c r="M237" i="15"/>
  <c r="P237" i="15" s="1"/>
  <c r="G237" i="15"/>
  <c r="M236" i="15"/>
  <c r="P236" i="15" s="1"/>
  <c r="G236" i="15"/>
  <c r="M235" i="15"/>
  <c r="P235" i="15" s="1"/>
  <c r="G235" i="15"/>
  <c r="M234" i="15"/>
  <c r="P234" i="15" s="1"/>
  <c r="G234" i="15"/>
  <c r="M233" i="15"/>
  <c r="P233" i="15" s="1"/>
  <c r="K233" i="15"/>
  <c r="G233" i="15"/>
  <c r="M232" i="15"/>
  <c r="P232" i="15" s="1"/>
  <c r="G232" i="15"/>
  <c r="M231" i="15"/>
  <c r="P231" i="15" s="1"/>
  <c r="G231" i="15"/>
  <c r="M230" i="15"/>
  <c r="P230" i="15" s="1"/>
  <c r="G230" i="15"/>
  <c r="M229" i="15"/>
  <c r="P229" i="15" s="1"/>
  <c r="G229" i="15"/>
  <c r="M228" i="15"/>
  <c r="P228" i="15" s="1"/>
  <c r="G228" i="15"/>
  <c r="M227" i="15"/>
  <c r="P227" i="15" s="1"/>
  <c r="G227" i="15"/>
  <c r="M226" i="15"/>
  <c r="P226" i="15" s="1"/>
  <c r="G226" i="15"/>
  <c r="M225" i="15"/>
  <c r="P225" i="15" s="1"/>
  <c r="G225" i="15"/>
  <c r="M224" i="15"/>
  <c r="P224" i="15" s="1"/>
  <c r="G224" i="15"/>
  <c r="M223" i="15"/>
  <c r="P223" i="15" s="1"/>
  <c r="G223" i="15"/>
  <c r="M222" i="15"/>
  <c r="P222" i="15" s="1"/>
  <c r="G222" i="15"/>
  <c r="M221" i="15"/>
  <c r="P221" i="15" s="1"/>
  <c r="G221" i="15"/>
  <c r="M220" i="15"/>
  <c r="P220" i="15" s="1"/>
  <c r="G220" i="15"/>
  <c r="E219" i="15"/>
  <c r="M219" i="15" s="1"/>
  <c r="P219" i="15" s="1"/>
  <c r="E218" i="15"/>
  <c r="M218" i="15" s="1"/>
  <c r="P218" i="15" s="1"/>
  <c r="M217" i="15"/>
  <c r="P217" i="15" s="1"/>
  <c r="G217" i="15"/>
  <c r="M216" i="15"/>
  <c r="P216" i="15" s="1"/>
  <c r="G216" i="15"/>
  <c r="M215" i="15"/>
  <c r="P215" i="15" s="1"/>
  <c r="G215" i="15"/>
  <c r="M214" i="15"/>
  <c r="P214" i="15" s="1"/>
  <c r="G214" i="15"/>
  <c r="M213" i="15"/>
  <c r="P213" i="15" s="1"/>
  <c r="G213" i="15"/>
  <c r="M212" i="15"/>
  <c r="P212" i="15" s="1"/>
  <c r="G212" i="15"/>
  <c r="M211" i="15"/>
  <c r="P211" i="15" s="1"/>
  <c r="G211" i="15"/>
  <c r="M210" i="15"/>
  <c r="P210" i="15" s="1"/>
  <c r="G210" i="15"/>
  <c r="M209" i="15"/>
  <c r="P209" i="15" s="1"/>
  <c r="G209" i="15"/>
  <c r="M208" i="15"/>
  <c r="P208" i="15" s="1"/>
  <c r="G208" i="15"/>
  <c r="M207" i="15"/>
  <c r="P207" i="15" s="1"/>
  <c r="G207" i="15"/>
  <c r="M206" i="15"/>
  <c r="P206" i="15" s="1"/>
  <c r="G206" i="15"/>
  <c r="M205" i="15"/>
  <c r="P205" i="15" s="1"/>
  <c r="G205" i="15"/>
  <c r="M204" i="15"/>
  <c r="P204" i="15" s="1"/>
  <c r="G204" i="15"/>
  <c r="M203" i="15"/>
  <c r="P203" i="15" s="1"/>
  <c r="G203" i="15"/>
  <c r="M202" i="15"/>
  <c r="P202" i="15" s="1"/>
  <c r="G202" i="15"/>
  <c r="M201" i="15"/>
  <c r="P201" i="15" s="1"/>
  <c r="M200" i="15"/>
  <c r="P200" i="15" s="1"/>
  <c r="K200" i="15"/>
  <c r="G200" i="15"/>
  <c r="M199" i="15"/>
  <c r="P199" i="15" s="1"/>
  <c r="M198" i="15"/>
  <c r="P198" i="15" s="1"/>
  <c r="K198" i="15"/>
  <c r="G198" i="15"/>
  <c r="M197" i="15"/>
  <c r="P197" i="15" s="1"/>
  <c r="G197" i="15"/>
  <c r="M196" i="15"/>
  <c r="P196" i="15" s="1"/>
  <c r="G196" i="15"/>
  <c r="M195" i="15"/>
  <c r="P195" i="15" s="1"/>
  <c r="G195" i="15"/>
  <c r="M194" i="15"/>
  <c r="P194" i="15" s="1"/>
  <c r="G194" i="15"/>
  <c r="E193" i="15"/>
  <c r="G193" i="15" s="1"/>
  <c r="M192" i="15"/>
  <c r="P192" i="15" s="1"/>
  <c r="G192" i="15"/>
  <c r="M191" i="15"/>
  <c r="P191" i="15" s="1"/>
  <c r="G191" i="15"/>
  <c r="M190" i="15"/>
  <c r="P190" i="15" s="1"/>
  <c r="G190" i="15"/>
  <c r="M189" i="15"/>
  <c r="P189" i="15" s="1"/>
  <c r="G189" i="15"/>
  <c r="M188" i="15"/>
  <c r="P188" i="15" s="1"/>
  <c r="G188" i="15"/>
  <c r="M187" i="15"/>
  <c r="P187" i="15" s="1"/>
  <c r="G187" i="15"/>
  <c r="M186" i="15"/>
  <c r="P186" i="15" s="1"/>
  <c r="G186" i="15"/>
  <c r="M185" i="15"/>
  <c r="P185" i="15" s="1"/>
  <c r="G185" i="15"/>
  <c r="M184" i="15"/>
  <c r="P184" i="15" s="1"/>
  <c r="G184" i="15"/>
  <c r="E183" i="15"/>
  <c r="G183" i="15" s="1"/>
  <c r="E182" i="15"/>
  <c r="M182" i="15" s="1"/>
  <c r="P182" i="15" s="1"/>
  <c r="M181" i="15"/>
  <c r="P181" i="15" s="1"/>
  <c r="G181" i="15"/>
  <c r="I180" i="15"/>
  <c r="K180" i="15" s="1"/>
  <c r="G180" i="15"/>
  <c r="L179" i="15"/>
  <c r="I179" i="15"/>
  <c r="K179" i="15" s="1"/>
  <c r="G179" i="15"/>
  <c r="M178" i="15"/>
  <c r="P178" i="15" s="1"/>
  <c r="G178" i="15"/>
  <c r="E177" i="15"/>
  <c r="G177" i="15" s="1"/>
  <c r="M176" i="15"/>
  <c r="P176" i="15" s="1"/>
  <c r="G176" i="15"/>
  <c r="M175" i="15"/>
  <c r="P175" i="15" s="1"/>
  <c r="G175" i="15"/>
  <c r="M174" i="15"/>
  <c r="P174" i="15" s="1"/>
  <c r="G174" i="15"/>
  <c r="M173" i="15"/>
  <c r="P173" i="15" s="1"/>
  <c r="G173" i="15"/>
  <c r="E172" i="15"/>
  <c r="G172" i="15" s="1"/>
  <c r="M171" i="15"/>
  <c r="P171" i="15" s="1"/>
  <c r="G171" i="15"/>
  <c r="M170" i="15"/>
  <c r="P170" i="15" s="1"/>
  <c r="G170" i="15"/>
  <c r="P169" i="15"/>
  <c r="K169" i="15"/>
  <c r="G169" i="15"/>
  <c r="L168" i="15"/>
  <c r="M168" i="15" s="1"/>
  <c r="P168" i="15" s="1"/>
  <c r="G168" i="15"/>
  <c r="M167" i="15"/>
  <c r="P167" i="15" s="1"/>
  <c r="M166" i="15"/>
  <c r="P166" i="15" s="1"/>
  <c r="K166" i="15"/>
  <c r="K165" i="15"/>
  <c r="E165" i="15"/>
  <c r="M165" i="15" s="1"/>
  <c r="P165" i="15" s="1"/>
  <c r="I164" i="15"/>
  <c r="K164" i="15" s="1"/>
  <c r="E164" i="15"/>
  <c r="G164" i="15" s="1"/>
  <c r="K163" i="15"/>
  <c r="E163" i="15"/>
  <c r="I162" i="15"/>
  <c r="K162" i="15" s="1"/>
  <c r="E162" i="15"/>
  <c r="G162" i="15" s="1"/>
  <c r="J161" i="15"/>
  <c r="K161" i="15" s="1"/>
  <c r="G161" i="15"/>
  <c r="E160" i="15"/>
  <c r="M160" i="15" s="1"/>
  <c r="P160" i="15" s="1"/>
  <c r="M159" i="15"/>
  <c r="P159" i="15" s="1"/>
  <c r="G159" i="15"/>
  <c r="M158" i="15"/>
  <c r="P158" i="15" s="1"/>
  <c r="G158" i="15"/>
  <c r="I157" i="15"/>
  <c r="K157" i="15" s="1"/>
  <c r="G157" i="15"/>
  <c r="M156" i="15"/>
  <c r="P156" i="15" s="1"/>
  <c r="G156" i="15"/>
  <c r="M155" i="15"/>
  <c r="P155" i="15" s="1"/>
  <c r="G155" i="15"/>
  <c r="M154" i="15"/>
  <c r="P154" i="15" s="1"/>
  <c r="G154" i="15"/>
  <c r="M153" i="15"/>
  <c r="P153" i="15" s="1"/>
  <c r="G153" i="15"/>
  <c r="M152" i="15"/>
  <c r="P152" i="15" s="1"/>
  <c r="M151" i="15"/>
  <c r="P151" i="15" s="1"/>
  <c r="G151" i="15"/>
  <c r="M150" i="15"/>
  <c r="P150" i="15" s="1"/>
  <c r="G150" i="15"/>
  <c r="M149" i="15"/>
  <c r="P149" i="15" s="1"/>
  <c r="E148" i="15"/>
  <c r="M148" i="15" s="1"/>
  <c r="P148" i="15" s="1"/>
  <c r="M147" i="15"/>
  <c r="P147" i="15" s="1"/>
  <c r="G147" i="15"/>
  <c r="M146" i="15"/>
  <c r="P146" i="15" s="1"/>
  <c r="G146" i="15"/>
  <c r="M145" i="15"/>
  <c r="P145" i="15" s="1"/>
  <c r="M144" i="15"/>
  <c r="P144" i="15" s="1"/>
  <c r="M143" i="15"/>
  <c r="P143" i="15" s="1"/>
  <c r="G143" i="15"/>
  <c r="M142" i="15"/>
  <c r="P142" i="15" s="1"/>
  <c r="M141" i="15"/>
  <c r="P141" i="15" s="1"/>
  <c r="G141" i="15"/>
  <c r="M140" i="15"/>
  <c r="P140" i="15" s="1"/>
  <c r="G140" i="15"/>
  <c r="I139" i="15"/>
  <c r="K139" i="15" s="1"/>
  <c r="G139" i="15"/>
  <c r="E138" i="15"/>
  <c r="M138" i="15" s="1"/>
  <c r="P138" i="15" s="1"/>
  <c r="M137" i="15"/>
  <c r="P137" i="15" s="1"/>
  <c r="G137" i="15"/>
  <c r="M136" i="15"/>
  <c r="P136" i="15" s="1"/>
  <c r="G136" i="15"/>
  <c r="E135" i="15"/>
  <c r="M135" i="15" s="1"/>
  <c r="P135" i="15" s="1"/>
  <c r="M134" i="15"/>
  <c r="P134" i="15" s="1"/>
  <c r="G134" i="15"/>
  <c r="E133" i="15"/>
  <c r="M133" i="15" s="1"/>
  <c r="P133" i="15" s="1"/>
  <c r="M132" i="15"/>
  <c r="P132" i="15" s="1"/>
  <c r="G132" i="15"/>
  <c r="M131" i="15"/>
  <c r="P131" i="15" s="1"/>
  <c r="G131" i="15"/>
  <c r="L130" i="15"/>
  <c r="G130" i="15"/>
  <c r="M129" i="15"/>
  <c r="P129" i="15" s="1"/>
  <c r="G129" i="15"/>
  <c r="M128" i="15"/>
  <c r="P128" i="15" s="1"/>
  <c r="G128" i="15"/>
  <c r="M127" i="15"/>
  <c r="P127" i="15" s="1"/>
  <c r="G127" i="15"/>
  <c r="M126" i="15"/>
  <c r="P126" i="15" s="1"/>
  <c r="G126" i="15"/>
  <c r="M125" i="15"/>
  <c r="P125" i="15" s="1"/>
  <c r="G125" i="15"/>
  <c r="L124" i="15"/>
  <c r="M124" i="15" s="1"/>
  <c r="P124" i="15" s="1"/>
  <c r="G124" i="15"/>
  <c r="M123" i="15"/>
  <c r="P123" i="15" s="1"/>
  <c r="G123" i="15"/>
  <c r="M122" i="15"/>
  <c r="P122" i="15" s="1"/>
  <c r="G122" i="15"/>
  <c r="M121" i="15"/>
  <c r="P121" i="15" s="1"/>
  <c r="K121" i="15"/>
  <c r="G121" i="15"/>
  <c r="M120" i="15"/>
  <c r="P120" i="15" s="1"/>
  <c r="G120" i="15"/>
  <c r="M119" i="15"/>
  <c r="P119" i="15" s="1"/>
  <c r="G119" i="15"/>
  <c r="L118" i="15"/>
  <c r="M118" i="15" s="1"/>
  <c r="P118" i="15" s="1"/>
  <c r="G118" i="15"/>
  <c r="M117" i="15"/>
  <c r="P117" i="15" s="1"/>
  <c r="G117" i="15"/>
  <c r="M116" i="15"/>
  <c r="P116" i="15" s="1"/>
  <c r="G116" i="15"/>
  <c r="M115" i="15"/>
  <c r="P115" i="15" s="1"/>
  <c r="G115" i="15"/>
  <c r="M114" i="15"/>
  <c r="P114" i="15" s="1"/>
  <c r="G114" i="15"/>
  <c r="M113" i="15"/>
  <c r="P113" i="15" s="1"/>
  <c r="G113" i="15"/>
  <c r="M112" i="15"/>
  <c r="P112" i="15" s="1"/>
  <c r="G112" i="15"/>
  <c r="M111" i="15"/>
  <c r="P111" i="15" s="1"/>
  <c r="G111" i="15"/>
  <c r="M110" i="15"/>
  <c r="P110" i="15" s="1"/>
  <c r="G110" i="15"/>
  <c r="M109" i="15"/>
  <c r="P109" i="15" s="1"/>
  <c r="G109" i="15"/>
  <c r="M108" i="15"/>
  <c r="P108" i="15" s="1"/>
  <c r="G108" i="15"/>
  <c r="M107" i="15"/>
  <c r="P107" i="15" s="1"/>
  <c r="G107" i="15"/>
  <c r="E106" i="15"/>
  <c r="M106" i="15" s="1"/>
  <c r="P106" i="15" s="1"/>
  <c r="M105" i="15"/>
  <c r="P105" i="15" s="1"/>
  <c r="G105" i="15"/>
  <c r="M104" i="15"/>
  <c r="P104" i="15" s="1"/>
  <c r="G104" i="15"/>
  <c r="E103" i="15"/>
  <c r="G103" i="15" s="1"/>
  <c r="M102" i="15"/>
  <c r="P102" i="15" s="1"/>
  <c r="G102" i="15"/>
  <c r="M101" i="15"/>
  <c r="P101" i="15" s="1"/>
  <c r="G101" i="15"/>
  <c r="M100" i="15"/>
  <c r="P100" i="15" s="1"/>
  <c r="G100" i="15"/>
  <c r="M99" i="15"/>
  <c r="P99" i="15" s="1"/>
  <c r="G99" i="15"/>
  <c r="M98" i="15"/>
  <c r="P98" i="15" s="1"/>
  <c r="G98" i="15"/>
  <c r="M97" i="15"/>
  <c r="P97" i="15" s="1"/>
  <c r="G97" i="15"/>
  <c r="M96" i="15"/>
  <c r="P96" i="15" s="1"/>
  <c r="G96" i="15"/>
  <c r="E95" i="15"/>
  <c r="M95" i="15" s="1"/>
  <c r="P95" i="15" s="1"/>
  <c r="E94" i="15"/>
  <c r="M94" i="15" s="1"/>
  <c r="P94" i="15" s="1"/>
  <c r="M93" i="15"/>
  <c r="P93" i="15" s="1"/>
  <c r="G93" i="15"/>
  <c r="G92" i="15"/>
  <c r="M91" i="15"/>
  <c r="P91" i="15" s="1"/>
  <c r="G91" i="15"/>
  <c r="M90" i="15"/>
  <c r="P90" i="15" s="1"/>
  <c r="G90" i="15"/>
  <c r="I89" i="15"/>
  <c r="M89" i="15" s="1"/>
  <c r="P89" i="15" s="1"/>
  <c r="G89" i="15"/>
  <c r="M88" i="15"/>
  <c r="P88" i="15" s="1"/>
  <c r="K87" i="15"/>
  <c r="G87" i="15"/>
  <c r="G86" i="15"/>
  <c r="M85" i="15"/>
  <c r="P85" i="15" s="1"/>
  <c r="G85" i="15"/>
  <c r="M84" i="15"/>
  <c r="P84" i="15" s="1"/>
  <c r="G84" i="15"/>
  <c r="M83" i="15"/>
  <c r="P83" i="15" s="1"/>
  <c r="G83" i="15"/>
  <c r="M82" i="15"/>
  <c r="P82" i="15" s="1"/>
  <c r="G82" i="15"/>
  <c r="M81" i="15"/>
  <c r="P81" i="15" s="1"/>
  <c r="G81" i="15"/>
  <c r="M80" i="15"/>
  <c r="P80" i="15" s="1"/>
  <c r="K80" i="15"/>
  <c r="G80" i="15"/>
  <c r="M79" i="15"/>
  <c r="P79" i="15" s="1"/>
  <c r="G79" i="15"/>
  <c r="M78" i="15"/>
  <c r="P78" i="15" s="1"/>
  <c r="G78" i="15"/>
  <c r="M77" i="15"/>
  <c r="P77" i="15" s="1"/>
  <c r="G77" i="15"/>
  <c r="L76" i="15"/>
  <c r="M76" i="15" s="1"/>
  <c r="P76" i="15" s="1"/>
  <c r="G76" i="15"/>
  <c r="I75" i="15"/>
  <c r="K75" i="15" s="1"/>
  <c r="G75" i="15"/>
  <c r="M74" i="15"/>
  <c r="P74" i="15" s="1"/>
  <c r="G74" i="15"/>
  <c r="M73" i="15"/>
  <c r="P73" i="15" s="1"/>
  <c r="G73" i="15"/>
  <c r="M72" i="15"/>
  <c r="P72" i="15" s="1"/>
  <c r="G72" i="15"/>
  <c r="M71" i="15"/>
  <c r="P71" i="15" s="1"/>
  <c r="G71" i="15"/>
  <c r="M70" i="15"/>
  <c r="P70" i="15" s="1"/>
  <c r="G70" i="15"/>
  <c r="M69" i="15"/>
  <c r="P69" i="15" s="1"/>
  <c r="G69" i="15"/>
  <c r="M68" i="15"/>
  <c r="P68" i="15" s="1"/>
  <c r="G68" i="15"/>
  <c r="M67" i="15"/>
  <c r="P67" i="15" s="1"/>
  <c r="G67" i="15"/>
  <c r="M66" i="15"/>
  <c r="P66" i="15" s="1"/>
  <c r="G66" i="15"/>
  <c r="M65" i="15"/>
  <c r="P65" i="15" s="1"/>
  <c r="K65" i="15"/>
  <c r="G65" i="15"/>
  <c r="M64" i="15"/>
  <c r="P64" i="15" s="1"/>
  <c r="K64" i="15"/>
  <c r="M63" i="15"/>
  <c r="P63" i="15" s="1"/>
  <c r="K63" i="15"/>
  <c r="M62" i="15"/>
  <c r="P62" i="15" s="1"/>
  <c r="K62" i="15"/>
  <c r="M61" i="15"/>
  <c r="P61" i="15" s="1"/>
  <c r="K61" i="15"/>
  <c r="G61" i="15"/>
  <c r="M60" i="15"/>
  <c r="P60" i="15" s="1"/>
  <c r="K60" i="15"/>
  <c r="G60" i="15"/>
  <c r="M59" i="15"/>
  <c r="P59" i="15" s="1"/>
  <c r="K59" i="15"/>
  <c r="G59" i="15"/>
  <c r="M58" i="15"/>
  <c r="P58" i="15" s="1"/>
  <c r="K58" i="15"/>
  <c r="G58" i="15"/>
  <c r="M57" i="15"/>
  <c r="P57" i="15" s="1"/>
  <c r="K57" i="15"/>
  <c r="G57" i="15"/>
  <c r="M56" i="15"/>
  <c r="P56" i="15" s="1"/>
  <c r="K56" i="15"/>
  <c r="G56" i="15"/>
  <c r="L55" i="15"/>
  <c r="M55" i="15" s="1"/>
  <c r="P55" i="15" s="1"/>
  <c r="K55" i="15"/>
  <c r="G55" i="15"/>
  <c r="K54" i="15"/>
  <c r="G54" i="15"/>
  <c r="E53" i="15"/>
  <c r="G53" i="15" s="1"/>
  <c r="M52" i="15"/>
  <c r="P52" i="15" s="1"/>
  <c r="G52" i="15"/>
  <c r="M51" i="15"/>
  <c r="P51" i="15" s="1"/>
  <c r="G51" i="15"/>
  <c r="M50" i="15"/>
  <c r="P50" i="15" s="1"/>
  <c r="G50" i="15"/>
  <c r="M49" i="15"/>
  <c r="P49" i="15" s="1"/>
  <c r="G49" i="15"/>
  <c r="M48" i="15"/>
  <c r="P48" i="15" s="1"/>
  <c r="G48" i="15"/>
  <c r="M47" i="15"/>
  <c r="P47" i="15" s="1"/>
  <c r="G47" i="15"/>
  <c r="M46" i="15"/>
  <c r="P46" i="15" s="1"/>
  <c r="G46" i="15"/>
  <c r="M45" i="15"/>
  <c r="P45" i="15" s="1"/>
  <c r="G45" i="15"/>
  <c r="M44" i="15"/>
  <c r="P44" i="15" s="1"/>
  <c r="G44" i="15"/>
  <c r="L43" i="15"/>
  <c r="M43" i="15" s="1"/>
  <c r="P43" i="15" s="1"/>
  <c r="G43" i="15"/>
  <c r="M42" i="15"/>
  <c r="P42" i="15" s="1"/>
  <c r="G42" i="15"/>
  <c r="M41" i="15"/>
  <c r="P41" i="15" s="1"/>
  <c r="K41" i="15"/>
  <c r="G41" i="15"/>
  <c r="M40" i="15"/>
  <c r="P40" i="15" s="1"/>
  <c r="G40" i="15"/>
  <c r="M39" i="15"/>
  <c r="P39" i="15" s="1"/>
  <c r="G39" i="15"/>
  <c r="M38" i="15"/>
  <c r="P38" i="15" s="1"/>
  <c r="G38" i="15"/>
  <c r="M37" i="15"/>
  <c r="P37" i="15" s="1"/>
  <c r="G37" i="15"/>
  <c r="M36" i="15"/>
  <c r="P36" i="15" s="1"/>
  <c r="G36" i="15"/>
  <c r="M35" i="15"/>
  <c r="P35" i="15" s="1"/>
  <c r="G35" i="15"/>
  <c r="E34" i="15"/>
  <c r="M34" i="15" s="1"/>
  <c r="P34" i="15" s="1"/>
  <c r="M33" i="15"/>
  <c r="P33" i="15" s="1"/>
  <c r="G33" i="15"/>
  <c r="M32" i="15"/>
  <c r="P32" i="15" s="1"/>
  <c r="G32" i="15"/>
  <c r="M31" i="15"/>
  <c r="P31" i="15" s="1"/>
  <c r="G31" i="15"/>
  <c r="M30" i="15"/>
  <c r="P30" i="15" s="1"/>
  <c r="G30" i="15"/>
  <c r="M29" i="15"/>
  <c r="P29" i="15" s="1"/>
  <c r="G29" i="15"/>
  <c r="M28" i="15"/>
  <c r="P28" i="15" s="1"/>
  <c r="G28" i="15"/>
  <c r="M27" i="15"/>
  <c r="P27" i="15" s="1"/>
  <c r="G27" i="15"/>
  <c r="M26" i="15"/>
  <c r="P26" i="15" s="1"/>
  <c r="G26" i="15"/>
  <c r="M25" i="15"/>
  <c r="P25" i="15" s="1"/>
  <c r="G25" i="15"/>
  <c r="L24" i="15"/>
  <c r="M24" i="15" s="1"/>
  <c r="P24" i="15" s="1"/>
  <c r="G24" i="15"/>
  <c r="M23" i="15"/>
  <c r="P23" i="15" s="1"/>
  <c r="G23" i="15"/>
  <c r="M22" i="15"/>
  <c r="P22" i="15" s="1"/>
  <c r="G22" i="15"/>
  <c r="M21" i="15"/>
  <c r="P21" i="15" s="1"/>
  <c r="G21" i="15"/>
  <c r="E20" i="15"/>
  <c r="G20" i="15" s="1"/>
  <c r="M19" i="15"/>
  <c r="P19" i="15" s="1"/>
  <c r="G19" i="15"/>
  <c r="M18" i="15"/>
  <c r="P18" i="15" s="1"/>
  <c r="G18" i="15"/>
  <c r="M17" i="15"/>
  <c r="P17" i="15" s="1"/>
  <c r="G17" i="15"/>
  <c r="M16" i="15"/>
  <c r="P16" i="15" s="1"/>
  <c r="G16" i="15"/>
  <c r="M15" i="15"/>
  <c r="P15" i="15" s="1"/>
  <c r="G15" i="15"/>
  <c r="E14" i="15"/>
  <c r="M14" i="15" s="1"/>
  <c r="P14" i="15" s="1"/>
  <c r="M13" i="15"/>
  <c r="P13" i="15" s="1"/>
  <c r="G13" i="15"/>
  <c r="M12" i="15"/>
  <c r="P12" i="15" s="1"/>
  <c r="G12" i="15"/>
  <c r="M11" i="15"/>
  <c r="P11" i="15" s="1"/>
  <c r="G11" i="15"/>
  <c r="M10" i="15"/>
  <c r="P10" i="15" s="1"/>
  <c r="G10" i="15"/>
  <c r="L9" i="15"/>
  <c r="M9" i="15" s="1"/>
  <c r="P9" i="15" s="1"/>
  <c r="G9" i="15"/>
  <c r="G8" i="15"/>
  <c r="E8" i="15"/>
  <c r="L452" i="14"/>
  <c r="J452" i="14"/>
  <c r="L391" i="14"/>
  <c r="L180" i="14"/>
  <c r="L390" i="14"/>
  <c r="L426" i="14"/>
  <c r="M447" i="14"/>
  <c r="L53" i="14"/>
  <c r="L250" i="14"/>
  <c r="L244" i="14"/>
  <c r="L326" i="14"/>
  <c r="M446" i="14"/>
  <c r="L9" i="14"/>
  <c r="M445" i="14"/>
  <c r="M444" i="14"/>
  <c r="L163" i="14"/>
  <c r="L119" i="14"/>
  <c r="P477" i="19" l="1"/>
  <c r="K477" i="19"/>
  <c r="G477" i="19"/>
  <c r="G475" i="17"/>
  <c r="M477" i="19"/>
  <c r="M475" i="18"/>
  <c r="M475" i="17"/>
  <c r="M163" i="16"/>
  <c r="P163" i="16" s="1"/>
  <c r="M250" i="16"/>
  <c r="P250" i="16" s="1"/>
  <c r="L475" i="16"/>
  <c r="P341" i="16"/>
  <c r="P338" i="16"/>
  <c r="P339" i="16"/>
  <c r="P8" i="16"/>
  <c r="K180" i="16"/>
  <c r="G183" i="16"/>
  <c r="K250" i="16"/>
  <c r="G309" i="16"/>
  <c r="K391" i="16"/>
  <c r="G163" i="16"/>
  <c r="G165" i="16"/>
  <c r="K426" i="16"/>
  <c r="G117" i="16"/>
  <c r="K392" i="16"/>
  <c r="M9" i="16"/>
  <c r="P9" i="16" s="1"/>
  <c r="G182" i="16"/>
  <c r="K89" i="16"/>
  <c r="G133" i="16"/>
  <c r="G160" i="16"/>
  <c r="G293" i="16"/>
  <c r="K393" i="16"/>
  <c r="P130" i="15"/>
  <c r="M450" i="15"/>
  <c r="K426" i="15"/>
  <c r="M163" i="15"/>
  <c r="P163" i="15" s="1"/>
  <c r="G163" i="15"/>
  <c r="M326" i="15"/>
  <c r="P326" i="15" s="1"/>
  <c r="M390" i="15"/>
  <c r="P390" i="15" s="1"/>
  <c r="P161" i="15"/>
  <c r="M241" i="15"/>
  <c r="P241" i="15" s="1"/>
  <c r="G296" i="15"/>
  <c r="P339" i="15"/>
  <c r="M179" i="15"/>
  <c r="P179" i="15" s="1"/>
  <c r="M239" i="15"/>
  <c r="P239" i="15" s="1"/>
  <c r="M180" i="15"/>
  <c r="P180" i="15" s="1"/>
  <c r="M193" i="15"/>
  <c r="P193" i="15" s="1"/>
  <c r="G34" i="15"/>
  <c r="P340" i="15"/>
  <c r="M20" i="15"/>
  <c r="P20" i="15" s="1"/>
  <c r="G138" i="15"/>
  <c r="P341" i="15"/>
  <c r="M389" i="15"/>
  <c r="P389" i="15" s="1"/>
  <c r="M53" i="15"/>
  <c r="P53" i="15" s="1"/>
  <c r="M391" i="15"/>
  <c r="P391" i="15" s="1"/>
  <c r="P338" i="15"/>
  <c r="M139" i="15"/>
  <c r="P139" i="15" s="1"/>
  <c r="J475" i="15"/>
  <c r="M103" i="15"/>
  <c r="P103" i="15" s="1"/>
  <c r="G94" i="15"/>
  <c r="M172" i="15"/>
  <c r="P172" i="15" s="1"/>
  <c r="G218" i="15"/>
  <c r="M183" i="15"/>
  <c r="P183" i="15" s="1"/>
  <c r="L475" i="15"/>
  <c r="M250" i="15"/>
  <c r="P250" i="15" s="1"/>
  <c r="G182" i="15"/>
  <c r="G160" i="15"/>
  <c r="G14" i="15"/>
  <c r="M75" i="15"/>
  <c r="P75" i="15" s="1"/>
  <c r="M162" i="15"/>
  <c r="P162" i="15" s="1"/>
  <c r="M177" i="15"/>
  <c r="P177" i="15" s="1"/>
  <c r="M344" i="15"/>
  <c r="P344" i="15" s="1"/>
  <c r="M388" i="15"/>
  <c r="P388" i="15" s="1"/>
  <c r="M157" i="15"/>
  <c r="P157" i="15" s="1"/>
  <c r="M164" i="15"/>
  <c r="P164" i="15" s="1"/>
  <c r="G135" i="15"/>
  <c r="G165" i="15"/>
  <c r="G106" i="15"/>
  <c r="G293" i="15"/>
  <c r="G219" i="15"/>
  <c r="K366" i="15"/>
  <c r="K392" i="15"/>
  <c r="M8" i="15"/>
  <c r="G95" i="15"/>
  <c r="G133" i="15"/>
  <c r="K239" i="15"/>
  <c r="K250" i="15"/>
  <c r="G291" i="15"/>
  <c r="G309" i="15"/>
  <c r="K393" i="15"/>
  <c r="K89" i="15"/>
  <c r="M443" i="14"/>
  <c r="M440" i="14"/>
  <c r="M441" i="14"/>
  <c r="M442" i="14"/>
  <c r="L328" i="14"/>
  <c r="L303" i="14"/>
  <c r="L239" i="14"/>
  <c r="L76" i="14"/>
  <c r="K439" i="14"/>
  <c r="M439" i="14"/>
  <c r="P439" i="14" s="1"/>
  <c r="K438" i="14"/>
  <c r="K437" i="14"/>
  <c r="K436" i="14"/>
  <c r="M435" i="14"/>
  <c r="P435" i="14" s="1"/>
  <c r="M436" i="14"/>
  <c r="P436" i="14" s="1"/>
  <c r="M437" i="14"/>
  <c r="P437" i="14" s="1"/>
  <c r="K435" i="14"/>
  <c r="K434" i="14"/>
  <c r="F341" i="14"/>
  <c r="F340" i="14"/>
  <c r="F339" i="14"/>
  <c r="F338" i="14"/>
  <c r="G475" i="16" l="1"/>
  <c r="K475" i="16"/>
  <c r="M475" i="16"/>
  <c r="M475" i="15"/>
  <c r="K475" i="15"/>
  <c r="G475" i="15"/>
  <c r="P8" i="15"/>
  <c r="P475" i="15" s="1"/>
  <c r="K433" i="14"/>
  <c r="K316" i="14"/>
  <c r="K55" i="14"/>
  <c r="K54" i="14"/>
  <c r="K326" i="14"/>
  <c r="K324" i="14"/>
  <c r="K325" i="14"/>
  <c r="G432" i="14"/>
  <c r="M432" i="14"/>
  <c r="P432" i="14" s="1"/>
  <c r="M433" i="14"/>
  <c r="P433" i="14" s="1"/>
  <c r="M434" i="14"/>
  <c r="P434" i="14" s="1"/>
  <c r="M438" i="14"/>
  <c r="P438" i="14" s="1"/>
  <c r="I180" i="14"/>
  <c r="M428" i="14"/>
  <c r="P428" i="14" s="1"/>
  <c r="M429" i="14"/>
  <c r="P429" i="14" s="1"/>
  <c r="M430" i="14"/>
  <c r="P430" i="14" s="1"/>
  <c r="M431" i="14"/>
  <c r="P431" i="14" s="1"/>
  <c r="M427" i="14"/>
  <c r="P427" i="14" s="1"/>
  <c r="I161" i="14"/>
  <c r="I75" i="14"/>
  <c r="K75" i="14" s="1"/>
  <c r="K432" i="14"/>
  <c r="K431" i="14"/>
  <c r="K430" i="14"/>
  <c r="K429" i="14"/>
  <c r="K427" i="14"/>
  <c r="E427" i="14"/>
  <c r="K426" i="14"/>
  <c r="K425" i="14"/>
  <c r="M426" i="14"/>
  <c r="P426" i="14" s="1"/>
  <c r="K428" i="14"/>
  <c r="I250" i="14"/>
  <c r="I390" i="14"/>
  <c r="K163" i="14"/>
  <c r="K165" i="14"/>
  <c r="K166" i="14"/>
  <c r="I164" i="14"/>
  <c r="K164" i="14" s="1"/>
  <c r="L388" i="14"/>
  <c r="L389" i="14"/>
  <c r="L172" i="14"/>
  <c r="L193" i="14"/>
  <c r="L196" i="14"/>
  <c r="L8" i="14"/>
  <c r="L316" i="14"/>
  <c r="G289" i="14" l="1"/>
  <c r="M54" i="14"/>
  <c r="P54" i="14" s="1"/>
  <c r="G24" i="14"/>
  <c r="G25" i="14"/>
  <c r="M423" i="14"/>
  <c r="P423" i="14" s="1"/>
  <c r="M424" i="14"/>
  <c r="P424" i="14" s="1"/>
  <c r="M425" i="14"/>
  <c r="P425" i="14" s="1"/>
  <c r="K423" i="14"/>
  <c r="K424" i="14"/>
  <c r="M422" i="14"/>
  <c r="P422" i="14" s="1"/>
  <c r="K422" i="14"/>
  <c r="K421" i="14"/>
  <c r="M421" i="14"/>
  <c r="P421" i="14" s="1"/>
  <c r="K420" i="14"/>
  <c r="M420" i="14"/>
  <c r="P420" i="14" s="1"/>
  <c r="K419" i="14"/>
  <c r="M419" i="14"/>
  <c r="P419" i="14" s="1"/>
  <c r="K418" i="14"/>
  <c r="M418" i="14"/>
  <c r="P418" i="14" s="1"/>
  <c r="K417" i="14"/>
  <c r="M417" i="14"/>
  <c r="P417" i="14" s="1"/>
  <c r="K416" i="14"/>
  <c r="M416" i="14"/>
  <c r="P416" i="14" s="1"/>
  <c r="K415" i="14"/>
  <c r="M415" i="14"/>
  <c r="P415" i="14" s="1"/>
  <c r="K414" i="14"/>
  <c r="M414" i="14"/>
  <c r="P414" i="14" s="1"/>
  <c r="M413" i="14"/>
  <c r="P413" i="14" s="1"/>
  <c r="M412" i="14"/>
  <c r="P412" i="14" s="1"/>
  <c r="M411" i="14"/>
  <c r="P411" i="14" s="1"/>
  <c r="M410" i="14"/>
  <c r="P410" i="14" s="1"/>
  <c r="K408" i="14"/>
  <c r="K407" i="14"/>
  <c r="K409" i="14"/>
  <c r="K410" i="14"/>
  <c r="K411" i="14"/>
  <c r="K412" i="14"/>
  <c r="K413" i="14"/>
  <c r="K403" i="14"/>
  <c r="K404" i="14"/>
  <c r="K405" i="14"/>
  <c r="K406" i="14"/>
  <c r="K343" i="14"/>
  <c r="M404" i="14"/>
  <c r="P404" i="14" s="1"/>
  <c r="M405" i="14"/>
  <c r="P405" i="14" s="1"/>
  <c r="M406" i="14"/>
  <c r="P406" i="14" s="1"/>
  <c r="M407" i="14"/>
  <c r="P407" i="14" s="1"/>
  <c r="M408" i="14"/>
  <c r="P408" i="14" s="1"/>
  <c r="M409" i="14"/>
  <c r="P409" i="14" s="1"/>
  <c r="M403" i="14"/>
  <c r="P403" i="14" s="1"/>
  <c r="M402" i="14"/>
  <c r="P402" i="14" s="1"/>
  <c r="K402" i="14"/>
  <c r="M401" i="14"/>
  <c r="P401" i="14" s="1"/>
  <c r="K401" i="14"/>
  <c r="M400" i="14"/>
  <c r="P400" i="14" s="1"/>
  <c r="K400" i="14"/>
  <c r="M399" i="14"/>
  <c r="P399" i="14" s="1"/>
  <c r="K399" i="14"/>
  <c r="M398" i="14"/>
  <c r="P398" i="14" s="1"/>
  <c r="K398" i="14"/>
  <c r="M397" i="14"/>
  <c r="P397" i="14" s="1"/>
  <c r="K397" i="14"/>
  <c r="M396" i="14"/>
  <c r="P396" i="14" s="1"/>
  <c r="K396" i="14"/>
  <c r="M395" i="14"/>
  <c r="P395" i="14" s="1"/>
  <c r="K395" i="14"/>
  <c r="M394" i="14"/>
  <c r="P394" i="14" s="1"/>
  <c r="K394" i="14"/>
  <c r="I393" i="14"/>
  <c r="M393" i="14" s="1"/>
  <c r="P393" i="14" s="1"/>
  <c r="I392" i="14"/>
  <c r="K392" i="14" s="1"/>
  <c r="I391" i="14"/>
  <c r="M391" i="14" s="1"/>
  <c r="P391" i="14" s="1"/>
  <c r="K390" i="14"/>
  <c r="I389" i="14"/>
  <c r="K389" i="14" s="1"/>
  <c r="I388" i="14"/>
  <c r="K388" i="14" s="1"/>
  <c r="M387" i="14"/>
  <c r="P387" i="14" s="1"/>
  <c r="M386" i="14"/>
  <c r="P386" i="14" s="1"/>
  <c r="M385" i="14"/>
  <c r="P385" i="14" s="1"/>
  <c r="M384" i="14"/>
  <c r="P384" i="14" s="1"/>
  <c r="K384" i="14"/>
  <c r="M383" i="14"/>
  <c r="P383" i="14" s="1"/>
  <c r="K383" i="14"/>
  <c r="M382" i="14"/>
  <c r="P382" i="14" s="1"/>
  <c r="K382" i="14"/>
  <c r="M381" i="14"/>
  <c r="P381" i="14" s="1"/>
  <c r="K381" i="14"/>
  <c r="M380" i="14"/>
  <c r="P380" i="14" s="1"/>
  <c r="K380" i="14"/>
  <c r="M379" i="14"/>
  <c r="P379" i="14" s="1"/>
  <c r="K379" i="14"/>
  <c r="M378" i="14"/>
  <c r="P378" i="14" s="1"/>
  <c r="K378" i="14"/>
  <c r="M377" i="14"/>
  <c r="P377" i="14" s="1"/>
  <c r="K377" i="14"/>
  <c r="M376" i="14"/>
  <c r="P376" i="14" s="1"/>
  <c r="K376" i="14"/>
  <c r="M375" i="14"/>
  <c r="P375" i="14" s="1"/>
  <c r="K375" i="14"/>
  <c r="M374" i="14"/>
  <c r="P374" i="14" s="1"/>
  <c r="K374" i="14"/>
  <c r="M373" i="14"/>
  <c r="P373" i="14" s="1"/>
  <c r="K373" i="14"/>
  <c r="M372" i="14"/>
  <c r="P372" i="14" s="1"/>
  <c r="K372" i="14"/>
  <c r="M371" i="14"/>
  <c r="P371" i="14" s="1"/>
  <c r="K371" i="14"/>
  <c r="M370" i="14"/>
  <c r="P370" i="14" s="1"/>
  <c r="K370" i="14"/>
  <c r="M369" i="14"/>
  <c r="P369" i="14" s="1"/>
  <c r="K369" i="14"/>
  <c r="M368" i="14"/>
  <c r="P368" i="14" s="1"/>
  <c r="K368" i="14"/>
  <c r="M367" i="14"/>
  <c r="P367" i="14" s="1"/>
  <c r="K367" i="14"/>
  <c r="I366" i="14"/>
  <c r="M366" i="14" s="1"/>
  <c r="P366" i="14" s="1"/>
  <c r="M365" i="14"/>
  <c r="P365" i="14" s="1"/>
  <c r="K365" i="14"/>
  <c r="M364" i="14"/>
  <c r="P364" i="14" s="1"/>
  <c r="K364" i="14"/>
  <c r="M363" i="14"/>
  <c r="P363" i="14" s="1"/>
  <c r="K363" i="14"/>
  <c r="M362" i="14"/>
  <c r="P362" i="14" s="1"/>
  <c r="K362" i="14"/>
  <c r="M361" i="14"/>
  <c r="P361" i="14" s="1"/>
  <c r="K361" i="14"/>
  <c r="M360" i="14"/>
  <c r="P360" i="14" s="1"/>
  <c r="K360" i="14"/>
  <c r="M359" i="14"/>
  <c r="P359" i="14" s="1"/>
  <c r="K359" i="14"/>
  <c r="M358" i="14"/>
  <c r="P358" i="14" s="1"/>
  <c r="K358" i="14"/>
  <c r="M357" i="14"/>
  <c r="P357" i="14" s="1"/>
  <c r="K357" i="14"/>
  <c r="M356" i="14"/>
  <c r="P356" i="14" s="1"/>
  <c r="K356" i="14"/>
  <c r="M355" i="14"/>
  <c r="P355" i="14" s="1"/>
  <c r="K355" i="14"/>
  <c r="M354" i="14"/>
  <c r="P354" i="14" s="1"/>
  <c r="K354" i="14"/>
  <c r="M353" i="14"/>
  <c r="P353" i="14" s="1"/>
  <c r="K353" i="14"/>
  <c r="M352" i="14"/>
  <c r="P352" i="14" s="1"/>
  <c r="K352" i="14"/>
  <c r="M351" i="14"/>
  <c r="P351" i="14" s="1"/>
  <c r="K351" i="14"/>
  <c r="M350" i="14"/>
  <c r="P350" i="14" s="1"/>
  <c r="K350" i="14"/>
  <c r="M349" i="14"/>
  <c r="P349" i="14" s="1"/>
  <c r="K349" i="14"/>
  <c r="M348" i="14"/>
  <c r="P348" i="14" s="1"/>
  <c r="K348" i="14"/>
  <c r="M347" i="14"/>
  <c r="P347" i="14" s="1"/>
  <c r="K347" i="14"/>
  <c r="M346" i="14"/>
  <c r="P346" i="14" s="1"/>
  <c r="K346" i="14"/>
  <c r="M345" i="14"/>
  <c r="P345" i="14" s="1"/>
  <c r="K345" i="14"/>
  <c r="L344" i="14"/>
  <c r="I344" i="14"/>
  <c r="K344" i="14" s="1"/>
  <c r="L343" i="14"/>
  <c r="M343" i="14" s="1"/>
  <c r="P343" i="14" s="1"/>
  <c r="M342" i="14"/>
  <c r="P342" i="14" s="1"/>
  <c r="K342" i="14"/>
  <c r="M341" i="14"/>
  <c r="P341" i="14" s="1"/>
  <c r="J341" i="14"/>
  <c r="K341" i="14" s="1"/>
  <c r="M340" i="14"/>
  <c r="P340" i="14" s="1"/>
  <c r="J340" i="14"/>
  <c r="M339" i="14"/>
  <c r="P339" i="14" s="1"/>
  <c r="J339" i="14"/>
  <c r="K339" i="14" s="1"/>
  <c r="M338" i="14"/>
  <c r="P338" i="14" s="1"/>
  <c r="J338" i="14"/>
  <c r="K338" i="14" s="1"/>
  <c r="M337" i="14"/>
  <c r="P337" i="14" s="1"/>
  <c r="J337" i="14"/>
  <c r="K337" i="14" s="1"/>
  <c r="M336" i="14"/>
  <c r="P336" i="14" s="1"/>
  <c r="J336" i="14"/>
  <c r="K336" i="14" s="1"/>
  <c r="M335" i="14"/>
  <c r="P335" i="14" s="1"/>
  <c r="J335" i="14"/>
  <c r="K335" i="14" s="1"/>
  <c r="M334" i="14"/>
  <c r="P334" i="14" s="1"/>
  <c r="J334" i="14"/>
  <c r="K334" i="14" s="1"/>
  <c r="M333" i="14"/>
  <c r="P333" i="14" s="1"/>
  <c r="J333" i="14"/>
  <c r="M332" i="14"/>
  <c r="P332" i="14" s="1"/>
  <c r="J332" i="14"/>
  <c r="K332" i="14" s="1"/>
  <c r="L331" i="14"/>
  <c r="M331" i="14" s="1"/>
  <c r="P331" i="14" s="1"/>
  <c r="K331" i="14"/>
  <c r="M330" i="14"/>
  <c r="P330" i="14" s="1"/>
  <c r="L329" i="14"/>
  <c r="M329" i="14" s="1"/>
  <c r="P329" i="14" s="1"/>
  <c r="K329" i="14"/>
  <c r="M328" i="14"/>
  <c r="P328" i="14" s="1"/>
  <c r="K328" i="14"/>
  <c r="L327" i="14"/>
  <c r="M327" i="14" s="1"/>
  <c r="P327" i="14" s="1"/>
  <c r="K327" i="14"/>
  <c r="M326" i="14"/>
  <c r="P326" i="14" s="1"/>
  <c r="L325" i="14"/>
  <c r="M325" i="14" s="1"/>
  <c r="P325" i="14" s="1"/>
  <c r="M324" i="14"/>
  <c r="P324" i="14" s="1"/>
  <c r="K323" i="14"/>
  <c r="M322" i="14"/>
  <c r="P322" i="14" s="1"/>
  <c r="M321" i="14"/>
  <c r="P321" i="14" s="1"/>
  <c r="M320" i="14"/>
  <c r="P320" i="14" s="1"/>
  <c r="M319" i="14"/>
  <c r="P319" i="14" s="1"/>
  <c r="G319" i="14"/>
  <c r="L318" i="14"/>
  <c r="M318" i="14" s="1"/>
  <c r="P318" i="14" s="1"/>
  <c r="L317" i="14"/>
  <c r="M317" i="14" s="1"/>
  <c r="P317" i="14" s="1"/>
  <c r="M316" i="14"/>
  <c r="P316" i="14" s="1"/>
  <c r="M315" i="14"/>
  <c r="P315" i="14" s="1"/>
  <c r="E314" i="14"/>
  <c r="M314" i="14" s="1"/>
  <c r="P314" i="14" s="1"/>
  <c r="M313" i="14"/>
  <c r="P313" i="14" s="1"/>
  <c r="M312" i="14"/>
  <c r="P312" i="14" s="1"/>
  <c r="M311" i="14"/>
  <c r="P311" i="14" s="1"/>
  <c r="G311" i="14"/>
  <c r="M310" i="14"/>
  <c r="P310" i="14" s="1"/>
  <c r="G310" i="14"/>
  <c r="E309" i="14"/>
  <c r="M309" i="14" s="1"/>
  <c r="P309" i="14" s="1"/>
  <c r="M308" i="14"/>
  <c r="P308" i="14" s="1"/>
  <c r="G308" i="14"/>
  <c r="M307" i="14"/>
  <c r="P307" i="14" s="1"/>
  <c r="G307" i="14"/>
  <c r="M306" i="14"/>
  <c r="P306" i="14" s="1"/>
  <c r="G306" i="14"/>
  <c r="M305" i="14"/>
  <c r="P305" i="14" s="1"/>
  <c r="G305" i="14"/>
  <c r="M304" i="14"/>
  <c r="P304" i="14" s="1"/>
  <c r="G304" i="14"/>
  <c r="M303" i="14"/>
  <c r="P303" i="14" s="1"/>
  <c r="K303" i="14"/>
  <c r="G303" i="14"/>
  <c r="M302" i="14"/>
  <c r="P302" i="14" s="1"/>
  <c r="G302" i="14"/>
  <c r="M301" i="14"/>
  <c r="P301" i="14" s="1"/>
  <c r="G301" i="14"/>
  <c r="M300" i="14"/>
  <c r="P300" i="14" s="1"/>
  <c r="G300" i="14"/>
  <c r="M299" i="14"/>
  <c r="P299" i="14" s="1"/>
  <c r="G299" i="14"/>
  <c r="M298" i="14"/>
  <c r="P298" i="14" s="1"/>
  <c r="G298" i="14"/>
  <c r="M297" i="14"/>
  <c r="P297" i="14" s="1"/>
  <c r="G297" i="14"/>
  <c r="E296" i="14"/>
  <c r="M296" i="14" s="1"/>
  <c r="P296" i="14" s="1"/>
  <c r="M295" i="14"/>
  <c r="P295" i="14" s="1"/>
  <c r="G295" i="14"/>
  <c r="M294" i="14"/>
  <c r="P294" i="14" s="1"/>
  <c r="G294" i="14"/>
  <c r="E293" i="14"/>
  <c r="G293" i="14" s="1"/>
  <c r="M292" i="14"/>
  <c r="P292" i="14" s="1"/>
  <c r="G292" i="14"/>
  <c r="L291" i="14"/>
  <c r="E291" i="14"/>
  <c r="M290" i="14"/>
  <c r="P290" i="14" s="1"/>
  <c r="G290" i="14"/>
  <c r="M289" i="14"/>
  <c r="P289" i="14" s="1"/>
  <c r="K289" i="14"/>
  <c r="M288" i="14"/>
  <c r="P288" i="14" s="1"/>
  <c r="M287" i="14"/>
  <c r="P287" i="14" s="1"/>
  <c r="M286" i="14"/>
  <c r="P286" i="14" s="1"/>
  <c r="G286" i="14"/>
  <c r="M285" i="14"/>
  <c r="P285" i="14" s="1"/>
  <c r="G285" i="14"/>
  <c r="M284" i="14"/>
  <c r="P284" i="14" s="1"/>
  <c r="G284" i="14"/>
  <c r="M283" i="14"/>
  <c r="P283" i="14" s="1"/>
  <c r="G283" i="14"/>
  <c r="M282" i="14"/>
  <c r="P282" i="14" s="1"/>
  <c r="G282" i="14"/>
  <c r="M281" i="14"/>
  <c r="P281" i="14" s="1"/>
  <c r="G281" i="14"/>
  <c r="M280" i="14"/>
  <c r="P280" i="14" s="1"/>
  <c r="G280" i="14"/>
  <c r="M279" i="14"/>
  <c r="P279" i="14" s="1"/>
  <c r="G279" i="14"/>
  <c r="M278" i="14"/>
  <c r="P278" i="14" s="1"/>
  <c r="G278" i="14"/>
  <c r="M277" i="14"/>
  <c r="P277" i="14" s="1"/>
  <c r="G277" i="14"/>
  <c r="M276" i="14"/>
  <c r="P276" i="14" s="1"/>
  <c r="G276" i="14"/>
  <c r="M275" i="14"/>
  <c r="P275" i="14" s="1"/>
  <c r="K275" i="14"/>
  <c r="G275" i="14"/>
  <c r="M274" i="14"/>
  <c r="P274" i="14" s="1"/>
  <c r="G274" i="14"/>
  <c r="M273" i="14"/>
  <c r="P273" i="14" s="1"/>
  <c r="L272" i="14"/>
  <c r="M272" i="14" s="1"/>
  <c r="P272" i="14" s="1"/>
  <c r="G272" i="14"/>
  <c r="M271" i="14"/>
  <c r="P271" i="14" s="1"/>
  <c r="G271" i="14"/>
  <c r="I270" i="14"/>
  <c r="M270" i="14" s="1"/>
  <c r="P270" i="14" s="1"/>
  <c r="G270" i="14"/>
  <c r="E269" i="14"/>
  <c r="M269" i="14" s="1"/>
  <c r="P269" i="14" s="1"/>
  <c r="M268" i="14"/>
  <c r="P268" i="14" s="1"/>
  <c r="K268" i="14"/>
  <c r="G268" i="14"/>
  <c r="M267" i="14"/>
  <c r="P267" i="14" s="1"/>
  <c r="K267" i="14"/>
  <c r="G267" i="14"/>
  <c r="M266" i="14"/>
  <c r="P266" i="14" s="1"/>
  <c r="G266" i="14"/>
  <c r="M265" i="14"/>
  <c r="P265" i="14" s="1"/>
  <c r="G265" i="14"/>
  <c r="M264" i="14"/>
  <c r="P264" i="14" s="1"/>
  <c r="G264" i="14"/>
  <c r="M263" i="14"/>
  <c r="P263" i="14" s="1"/>
  <c r="G263" i="14"/>
  <c r="M262" i="14"/>
  <c r="P262" i="14" s="1"/>
  <c r="G262" i="14"/>
  <c r="M261" i="14"/>
  <c r="P261" i="14" s="1"/>
  <c r="G261" i="14"/>
  <c r="M260" i="14"/>
  <c r="P260" i="14" s="1"/>
  <c r="G260" i="14"/>
  <c r="M259" i="14"/>
  <c r="P259" i="14" s="1"/>
  <c r="G259" i="14"/>
  <c r="M258" i="14"/>
  <c r="P258" i="14" s="1"/>
  <c r="G258" i="14"/>
  <c r="M257" i="14"/>
  <c r="P257" i="14" s="1"/>
  <c r="G257" i="14"/>
  <c r="M256" i="14"/>
  <c r="P256" i="14" s="1"/>
  <c r="G256" i="14"/>
  <c r="M255" i="14"/>
  <c r="P255" i="14" s="1"/>
  <c r="G255" i="14"/>
  <c r="M254" i="14"/>
  <c r="P254" i="14" s="1"/>
  <c r="G254" i="14"/>
  <c r="M253" i="14"/>
  <c r="P253" i="14" s="1"/>
  <c r="G253" i="14"/>
  <c r="M252" i="14"/>
  <c r="P252" i="14" s="1"/>
  <c r="G252" i="14"/>
  <c r="L251" i="14"/>
  <c r="M251" i="14" s="1"/>
  <c r="P251" i="14" s="1"/>
  <c r="K251" i="14"/>
  <c r="G251" i="14"/>
  <c r="K250" i="14"/>
  <c r="G250" i="14"/>
  <c r="M249" i="14"/>
  <c r="P249" i="14" s="1"/>
  <c r="K249" i="14"/>
  <c r="G249" i="14"/>
  <c r="M248" i="14"/>
  <c r="P248" i="14" s="1"/>
  <c r="K248" i="14"/>
  <c r="G248" i="14"/>
  <c r="M247" i="14"/>
  <c r="P247" i="14" s="1"/>
  <c r="K247" i="14"/>
  <c r="G247" i="14"/>
  <c r="M246" i="14"/>
  <c r="P246" i="14" s="1"/>
  <c r="K246" i="14"/>
  <c r="G246" i="14"/>
  <c r="M245" i="14"/>
  <c r="P245" i="14" s="1"/>
  <c r="K245" i="14"/>
  <c r="G245" i="14"/>
  <c r="G244" i="14"/>
  <c r="M243" i="14"/>
  <c r="P243" i="14" s="1"/>
  <c r="K243" i="14"/>
  <c r="G243" i="14"/>
  <c r="M242" i="14"/>
  <c r="P242" i="14" s="1"/>
  <c r="K242" i="14"/>
  <c r="G242" i="14"/>
  <c r="I241" i="14"/>
  <c r="M241" i="14" s="1"/>
  <c r="P241" i="14" s="1"/>
  <c r="G241" i="14"/>
  <c r="M240" i="14"/>
  <c r="P240" i="14" s="1"/>
  <c r="K240" i="14"/>
  <c r="G240" i="14"/>
  <c r="I239" i="14"/>
  <c r="K239" i="14" s="1"/>
  <c r="G239" i="14"/>
  <c r="M238" i="14"/>
  <c r="P238" i="14" s="1"/>
  <c r="G238" i="14"/>
  <c r="M237" i="14"/>
  <c r="P237" i="14" s="1"/>
  <c r="G237" i="14"/>
  <c r="M236" i="14"/>
  <c r="P236" i="14" s="1"/>
  <c r="G236" i="14"/>
  <c r="M235" i="14"/>
  <c r="P235" i="14" s="1"/>
  <c r="G235" i="14"/>
  <c r="M234" i="14"/>
  <c r="P234" i="14" s="1"/>
  <c r="G234" i="14"/>
  <c r="M233" i="14"/>
  <c r="P233" i="14" s="1"/>
  <c r="K233" i="14"/>
  <c r="G233" i="14"/>
  <c r="M232" i="14"/>
  <c r="P232" i="14" s="1"/>
  <c r="G232" i="14"/>
  <c r="M231" i="14"/>
  <c r="P231" i="14" s="1"/>
  <c r="G231" i="14"/>
  <c r="M230" i="14"/>
  <c r="P230" i="14" s="1"/>
  <c r="G230" i="14"/>
  <c r="M229" i="14"/>
  <c r="P229" i="14" s="1"/>
  <c r="G229" i="14"/>
  <c r="M228" i="14"/>
  <c r="P228" i="14" s="1"/>
  <c r="G228" i="14"/>
  <c r="M227" i="14"/>
  <c r="P227" i="14" s="1"/>
  <c r="G227" i="14"/>
  <c r="M226" i="14"/>
  <c r="P226" i="14" s="1"/>
  <c r="G226" i="14"/>
  <c r="M225" i="14"/>
  <c r="P225" i="14" s="1"/>
  <c r="G225" i="14"/>
  <c r="M224" i="14"/>
  <c r="P224" i="14" s="1"/>
  <c r="G224" i="14"/>
  <c r="M223" i="14"/>
  <c r="P223" i="14" s="1"/>
  <c r="G223" i="14"/>
  <c r="M222" i="14"/>
  <c r="P222" i="14" s="1"/>
  <c r="G222" i="14"/>
  <c r="M221" i="14"/>
  <c r="P221" i="14" s="1"/>
  <c r="G221" i="14"/>
  <c r="M220" i="14"/>
  <c r="P220" i="14" s="1"/>
  <c r="G220" i="14"/>
  <c r="E219" i="14"/>
  <c r="G219" i="14" s="1"/>
  <c r="E218" i="14"/>
  <c r="M218" i="14" s="1"/>
  <c r="P218" i="14" s="1"/>
  <c r="M217" i="14"/>
  <c r="P217" i="14" s="1"/>
  <c r="G217" i="14"/>
  <c r="M216" i="14"/>
  <c r="P216" i="14" s="1"/>
  <c r="G216" i="14"/>
  <c r="M215" i="14"/>
  <c r="P215" i="14" s="1"/>
  <c r="G215" i="14"/>
  <c r="M214" i="14"/>
  <c r="P214" i="14" s="1"/>
  <c r="G214" i="14"/>
  <c r="M213" i="14"/>
  <c r="P213" i="14" s="1"/>
  <c r="G213" i="14"/>
  <c r="M212" i="14"/>
  <c r="P212" i="14" s="1"/>
  <c r="G212" i="14"/>
  <c r="M211" i="14"/>
  <c r="P211" i="14" s="1"/>
  <c r="G211" i="14"/>
  <c r="M210" i="14"/>
  <c r="P210" i="14" s="1"/>
  <c r="G210" i="14"/>
  <c r="M209" i="14"/>
  <c r="P209" i="14" s="1"/>
  <c r="G209" i="14"/>
  <c r="M208" i="14"/>
  <c r="P208" i="14" s="1"/>
  <c r="G208" i="14"/>
  <c r="M207" i="14"/>
  <c r="P207" i="14" s="1"/>
  <c r="G207" i="14"/>
  <c r="M206" i="14"/>
  <c r="P206" i="14" s="1"/>
  <c r="G206" i="14"/>
  <c r="M205" i="14"/>
  <c r="P205" i="14" s="1"/>
  <c r="G205" i="14"/>
  <c r="M204" i="14"/>
  <c r="P204" i="14" s="1"/>
  <c r="G204" i="14"/>
  <c r="M203" i="14"/>
  <c r="P203" i="14" s="1"/>
  <c r="G203" i="14"/>
  <c r="M202" i="14"/>
  <c r="P202" i="14" s="1"/>
  <c r="G202" i="14"/>
  <c r="M201" i="14"/>
  <c r="P201" i="14" s="1"/>
  <c r="M200" i="14"/>
  <c r="P200" i="14" s="1"/>
  <c r="K200" i="14"/>
  <c r="G200" i="14"/>
  <c r="M199" i="14"/>
  <c r="P199" i="14" s="1"/>
  <c r="M198" i="14"/>
  <c r="P198" i="14" s="1"/>
  <c r="K198" i="14"/>
  <c r="G198" i="14"/>
  <c r="M197" i="14"/>
  <c r="P197" i="14" s="1"/>
  <c r="G197" i="14"/>
  <c r="M196" i="14"/>
  <c r="P196" i="14" s="1"/>
  <c r="G196" i="14"/>
  <c r="M195" i="14"/>
  <c r="P195" i="14" s="1"/>
  <c r="G195" i="14"/>
  <c r="M194" i="14"/>
  <c r="P194" i="14" s="1"/>
  <c r="G194" i="14"/>
  <c r="E193" i="14"/>
  <c r="M193" i="14" s="1"/>
  <c r="P193" i="14" s="1"/>
  <c r="M192" i="14"/>
  <c r="P192" i="14" s="1"/>
  <c r="G192" i="14"/>
  <c r="M191" i="14"/>
  <c r="P191" i="14" s="1"/>
  <c r="G191" i="14"/>
  <c r="M190" i="14"/>
  <c r="P190" i="14" s="1"/>
  <c r="G190" i="14"/>
  <c r="M189" i="14"/>
  <c r="P189" i="14" s="1"/>
  <c r="G189" i="14"/>
  <c r="M188" i="14"/>
  <c r="P188" i="14" s="1"/>
  <c r="G188" i="14"/>
  <c r="M187" i="14"/>
  <c r="P187" i="14" s="1"/>
  <c r="G187" i="14"/>
  <c r="M186" i="14"/>
  <c r="P186" i="14" s="1"/>
  <c r="G186" i="14"/>
  <c r="M185" i="14"/>
  <c r="P185" i="14" s="1"/>
  <c r="G185" i="14"/>
  <c r="M184" i="14"/>
  <c r="P184" i="14" s="1"/>
  <c r="G184" i="14"/>
  <c r="E183" i="14"/>
  <c r="G183" i="14" s="1"/>
  <c r="E182" i="14"/>
  <c r="M182" i="14" s="1"/>
  <c r="P182" i="14" s="1"/>
  <c r="M181" i="14"/>
  <c r="P181" i="14" s="1"/>
  <c r="G181" i="14"/>
  <c r="M180" i="14"/>
  <c r="P180" i="14" s="1"/>
  <c r="G180" i="14"/>
  <c r="L179" i="14"/>
  <c r="I179" i="14"/>
  <c r="G179" i="14"/>
  <c r="M178" i="14"/>
  <c r="P178" i="14" s="1"/>
  <c r="G178" i="14"/>
  <c r="E177" i="14"/>
  <c r="M177" i="14" s="1"/>
  <c r="P177" i="14" s="1"/>
  <c r="M176" i="14"/>
  <c r="P176" i="14" s="1"/>
  <c r="G176" i="14"/>
  <c r="M175" i="14"/>
  <c r="P175" i="14" s="1"/>
  <c r="G175" i="14"/>
  <c r="M174" i="14"/>
  <c r="P174" i="14" s="1"/>
  <c r="G174" i="14"/>
  <c r="M173" i="14"/>
  <c r="P173" i="14" s="1"/>
  <c r="G173" i="14"/>
  <c r="E172" i="14"/>
  <c r="M172" i="14" s="1"/>
  <c r="P172" i="14" s="1"/>
  <c r="M171" i="14"/>
  <c r="P171" i="14" s="1"/>
  <c r="G171" i="14"/>
  <c r="L170" i="14"/>
  <c r="M170" i="14" s="1"/>
  <c r="P170" i="14" s="1"/>
  <c r="G170" i="14"/>
  <c r="L169" i="14"/>
  <c r="M169" i="14" s="1"/>
  <c r="P169" i="14" s="1"/>
  <c r="K169" i="14"/>
  <c r="G169" i="14"/>
  <c r="L168" i="14"/>
  <c r="M168" i="14" s="1"/>
  <c r="P168" i="14" s="1"/>
  <c r="G168" i="14"/>
  <c r="M167" i="14"/>
  <c r="P167" i="14" s="1"/>
  <c r="M166" i="14"/>
  <c r="P166" i="14" s="1"/>
  <c r="E165" i="14"/>
  <c r="M165" i="14" s="1"/>
  <c r="P165" i="14" s="1"/>
  <c r="L164" i="14"/>
  <c r="E164" i="14"/>
  <c r="G164" i="14" s="1"/>
  <c r="E163" i="14"/>
  <c r="G163" i="14" s="1"/>
  <c r="I162" i="14"/>
  <c r="K162" i="14" s="1"/>
  <c r="E162" i="14"/>
  <c r="G162" i="14" s="1"/>
  <c r="L161" i="14"/>
  <c r="J161" i="14"/>
  <c r="G161" i="14"/>
  <c r="E160" i="14"/>
  <c r="M160" i="14" s="1"/>
  <c r="P160" i="14" s="1"/>
  <c r="M159" i="14"/>
  <c r="P159" i="14" s="1"/>
  <c r="G159" i="14"/>
  <c r="M158" i="14"/>
  <c r="P158" i="14" s="1"/>
  <c r="G158" i="14"/>
  <c r="L157" i="14"/>
  <c r="I157" i="14"/>
  <c r="G157" i="14"/>
  <c r="M156" i="14"/>
  <c r="P156" i="14" s="1"/>
  <c r="G156" i="14"/>
  <c r="M155" i="14"/>
  <c r="P155" i="14" s="1"/>
  <c r="G155" i="14"/>
  <c r="M154" i="14"/>
  <c r="P154" i="14" s="1"/>
  <c r="G154" i="14"/>
  <c r="M153" i="14"/>
  <c r="P153" i="14" s="1"/>
  <c r="G153" i="14"/>
  <c r="M152" i="14"/>
  <c r="P152" i="14" s="1"/>
  <c r="M151" i="14"/>
  <c r="P151" i="14" s="1"/>
  <c r="G151" i="14"/>
  <c r="M150" i="14"/>
  <c r="P150" i="14" s="1"/>
  <c r="G150" i="14"/>
  <c r="M149" i="14"/>
  <c r="P149" i="14" s="1"/>
  <c r="E148" i="14"/>
  <c r="M148" i="14" s="1"/>
  <c r="P148" i="14" s="1"/>
  <c r="M147" i="14"/>
  <c r="P147" i="14" s="1"/>
  <c r="G147" i="14"/>
  <c r="M146" i="14"/>
  <c r="P146" i="14" s="1"/>
  <c r="G146" i="14"/>
  <c r="M145" i="14"/>
  <c r="P145" i="14" s="1"/>
  <c r="M144" i="14"/>
  <c r="P144" i="14" s="1"/>
  <c r="M143" i="14"/>
  <c r="P143" i="14" s="1"/>
  <c r="G143" i="14"/>
  <c r="M142" i="14"/>
  <c r="P142" i="14" s="1"/>
  <c r="M141" i="14"/>
  <c r="P141" i="14" s="1"/>
  <c r="G141" i="14"/>
  <c r="M140" i="14"/>
  <c r="P140" i="14" s="1"/>
  <c r="G140" i="14"/>
  <c r="L139" i="14"/>
  <c r="I139" i="14"/>
  <c r="G139" i="14"/>
  <c r="E138" i="14"/>
  <c r="M138" i="14" s="1"/>
  <c r="P138" i="14" s="1"/>
  <c r="M137" i="14"/>
  <c r="P137" i="14" s="1"/>
  <c r="G137" i="14"/>
  <c r="M136" i="14"/>
  <c r="P136" i="14" s="1"/>
  <c r="G136" i="14"/>
  <c r="E135" i="14"/>
  <c r="M135" i="14" s="1"/>
  <c r="P135" i="14" s="1"/>
  <c r="M134" i="14"/>
  <c r="P134" i="14" s="1"/>
  <c r="G134" i="14"/>
  <c r="E133" i="14"/>
  <c r="G133" i="14" s="1"/>
  <c r="M132" i="14"/>
  <c r="P132" i="14" s="1"/>
  <c r="G132" i="14"/>
  <c r="M131" i="14"/>
  <c r="P131" i="14" s="1"/>
  <c r="G131" i="14"/>
  <c r="L130" i="14"/>
  <c r="M130" i="14" s="1"/>
  <c r="P130" i="14" s="1"/>
  <c r="G130" i="14"/>
  <c r="M129" i="14"/>
  <c r="P129" i="14" s="1"/>
  <c r="G129" i="14"/>
  <c r="M128" i="14"/>
  <c r="P128" i="14" s="1"/>
  <c r="G128" i="14"/>
  <c r="M127" i="14"/>
  <c r="P127" i="14" s="1"/>
  <c r="G127" i="14"/>
  <c r="M126" i="14"/>
  <c r="P126" i="14" s="1"/>
  <c r="G126" i="14"/>
  <c r="M125" i="14"/>
  <c r="P125" i="14" s="1"/>
  <c r="G125" i="14"/>
  <c r="L124" i="14"/>
  <c r="M124" i="14" s="1"/>
  <c r="P124" i="14" s="1"/>
  <c r="G124" i="14"/>
  <c r="M123" i="14"/>
  <c r="P123" i="14" s="1"/>
  <c r="G123" i="14"/>
  <c r="M122" i="14"/>
  <c r="P122" i="14" s="1"/>
  <c r="G122" i="14"/>
  <c r="M121" i="14"/>
  <c r="P121" i="14" s="1"/>
  <c r="K121" i="14"/>
  <c r="G121" i="14"/>
  <c r="M120" i="14"/>
  <c r="P120" i="14" s="1"/>
  <c r="G120" i="14"/>
  <c r="M119" i="14"/>
  <c r="P119" i="14" s="1"/>
  <c r="G119" i="14"/>
  <c r="L118" i="14"/>
  <c r="M118" i="14" s="1"/>
  <c r="P118" i="14" s="1"/>
  <c r="G118" i="14"/>
  <c r="L117" i="14"/>
  <c r="M117" i="14" s="1"/>
  <c r="P117" i="14" s="1"/>
  <c r="G117" i="14"/>
  <c r="M116" i="14"/>
  <c r="P116" i="14" s="1"/>
  <c r="G116" i="14"/>
  <c r="M115" i="14"/>
  <c r="P115" i="14" s="1"/>
  <c r="G115" i="14"/>
  <c r="M114" i="14"/>
  <c r="P114" i="14" s="1"/>
  <c r="G114" i="14"/>
  <c r="M113" i="14"/>
  <c r="P113" i="14" s="1"/>
  <c r="G113" i="14"/>
  <c r="M112" i="14"/>
  <c r="P112" i="14" s="1"/>
  <c r="G112" i="14"/>
  <c r="M111" i="14"/>
  <c r="P111" i="14" s="1"/>
  <c r="G111" i="14"/>
  <c r="M110" i="14"/>
  <c r="P110" i="14" s="1"/>
  <c r="G110" i="14"/>
  <c r="M109" i="14"/>
  <c r="P109" i="14" s="1"/>
  <c r="G109" i="14"/>
  <c r="M108" i="14"/>
  <c r="P108" i="14" s="1"/>
  <c r="G108" i="14"/>
  <c r="M107" i="14"/>
  <c r="P107" i="14" s="1"/>
  <c r="G107" i="14"/>
  <c r="E106" i="14"/>
  <c r="M106" i="14" s="1"/>
  <c r="P106" i="14" s="1"/>
  <c r="M105" i="14"/>
  <c r="P105" i="14" s="1"/>
  <c r="G105" i="14"/>
  <c r="M104" i="14"/>
  <c r="P104" i="14" s="1"/>
  <c r="G104" i="14"/>
  <c r="E103" i="14"/>
  <c r="G103" i="14" s="1"/>
  <c r="M102" i="14"/>
  <c r="P102" i="14" s="1"/>
  <c r="G102" i="14"/>
  <c r="M101" i="14"/>
  <c r="P101" i="14" s="1"/>
  <c r="G101" i="14"/>
  <c r="M100" i="14"/>
  <c r="P100" i="14" s="1"/>
  <c r="G100" i="14"/>
  <c r="M99" i="14"/>
  <c r="P99" i="14" s="1"/>
  <c r="G99" i="14"/>
  <c r="M98" i="14"/>
  <c r="P98" i="14" s="1"/>
  <c r="G98" i="14"/>
  <c r="M97" i="14"/>
  <c r="P97" i="14" s="1"/>
  <c r="G97" i="14"/>
  <c r="M96" i="14"/>
  <c r="P96" i="14" s="1"/>
  <c r="G96" i="14"/>
  <c r="E95" i="14"/>
  <c r="G95" i="14" s="1"/>
  <c r="E94" i="14"/>
  <c r="M94" i="14" s="1"/>
  <c r="P94" i="14" s="1"/>
  <c r="M93" i="14"/>
  <c r="P93" i="14" s="1"/>
  <c r="G93" i="14"/>
  <c r="M92" i="14"/>
  <c r="P92" i="14" s="1"/>
  <c r="G92" i="14"/>
  <c r="M91" i="14"/>
  <c r="P91" i="14" s="1"/>
  <c r="G91" i="14"/>
  <c r="M90" i="14"/>
  <c r="P90" i="14" s="1"/>
  <c r="G90" i="14"/>
  <c r="I89" i="14"/>
  <c r="M89" i="14" s="1"/>
  <c r="P89" i="14" s="1"/>
  <c r="G89" i="14"/>
  <c r="M88" i="14"/>
  <c r="P88" i="14" s="1"/>
  <c r="M87" i="14"/>
  <c r="P87" i="14" s="1"/>
  <c r="K87" i="14"/>
  <c r="G87" i="14"/>
  <c r="M86" i="14"/>
  <c r="P86" i="14" s="1"/>
  <c r="G86" i="14"/>
  <c r="M85" i="14"/>
  <c r="P85" i="14" s="1"/>
  <c r="G85" i="14"/>
  <c r="M84" i="14"/>
  <c r="P84" i="14" s="1"/>
  <c r="G84" i="14"/>
  <c r="M83" i="14"/>
  <c r="P83" i="14" s="1"/>
  <c r="G83" i="14"/>
  <c r="M82" i="14"/>
  <c r="P82" i="14" s="1"/>
  <c r="G82" i="14"/>
  <c r="M81" i="14"/>
  <c r="P81" i="14" s="1"/>
  <c r="G81" i="14"/>
  <c r="L80" i="14"/>
  <c r="M80" i="14" s="1"/>
  <c r="P80" i="14" s="1"/>
  <c r="K80" i="14"/>
  <c r="G80" i="14"/>
  <c r="M79" i="14"/>
  <c r="P79" i="14" s="1"/>
  <c r="G79" i="14"/>
  <c r="M78" i="14"/>
  <c r="P78" i="14" s="1"/>
  <c r="G78" i="14"/>
  <c r="M77" i="14"/>
  <c r="P77" i="14" s="1"/>
  <c r="G77" i="14"/>
  <c r="M76" i="14"/>
  <c r="P76" i="14" s="1"/>
  <c r="G76" i="14"/>
  <c r="L75" i="14"/>
  <c r="M75" i="14" s="1"/>
  <c r="P75" i="14" s="1"/>
  <c r="G75" i="14"/>
  <c r="M74" i="14"/>
  <c r="P74" i="14" s="1"/>
  <c r="G74" i="14"/>
  <c r="M73" i="14"/>
  <c r="P73" i="14" s="1"/>
  <c r="G73" i="14"/>
  <c r="M72" i="14"/>
  <c r="P72" i="14" s="1"/>
  <c r="G72" i="14"/>
  <c r="M71" i="14"/>
  <c r="P71" i="14" s="1"/>
  <c r="G71" i="14"/>
  <c r="M70" i="14"/>
  <c r="P70" i="14" s="1"/>
  <c r="G70" i="14"/>
  <c r="M69" i="14"/>
  <c r="P69" i="14" s="1"/>
  <c r="G69" i="14"/>
  <c r="M68" i="14"/>
  <c r="P68" i="14" s="1"/>
  <c r="G68" i="14"/>
  <c r="M67" i="14"/>
  <c r="P67" i="14" s="1"/>
  <c r="G67" i="14"/>
  <c r="M66" i="14"/>
  <c r="P66" i="14" s="1"/>
  <c r="G66" i="14"/>
  <c r="M65" i="14"/>
  <c r="P65" i="14" s="1"/>
  <c r="K65" i="14"/>
  <c r="G65" i="14"/>
  <c r="M64" i="14"/>
  <c r="P64" i="14" s="1"/>
  <c r="K64" i="14"/>
  <c r="M63" i="14"/>
  <c r="P63" i="14" s="1"/>
  <c r="K63" i="14"/>
  <c r="M62" i="14"/>
  <c r="P62" i="14" s="1"/>
  <c r="K62" i="14"/>
  <c r="M61" i="14"/>
  <c r="P61" i="14" s="1"/>
  <c r="K61" i="14"/>
  <c r="G61" i="14"/>
  <c r="M60" i="14"/>
  <c r="P60" i="14" s="1"/>
  <c r="K60" i="14"/>
  <c r="G60" i="14"/>
  <c r="M59" i="14"/>
  <c r="P59" i="14" s="1"/>
  <c r="K59" i="14"/>
  <c r="G59" i="14"/>
  <c r="M58" i="14"/>
  <c r="P58" i="14" s="1"/>
  <c r="K58" i="14"/>
  <c r="G58" i="14"/>
  <c r="M57" i="14"/>
  <c r="P57" i="14" s="1"/>
  <c r="K57" i="14"/>
  <c r="G57" i="14"/>
  <c r="M56" i="14"/>
  <c r="P56" i="14" s="1"/>
  <c r="K56" i="14"/>
  <c r="G56" i="14"/>
  <c r="L55" i="14"/>
  <c r="M55" i="14" s="1"/>
  <c r="P55" i="14" s="1"/>
  <c r="G55" i="14"/>
  <c r="G54" i="14"/>
  <c r="E53" i="14"/>
  <c r="M52" i="14"/>
  <c r="P52" i="14" s="1"/>
  <c r="G52" i="14"/>
  <c r="M51" i="14"/>
  <c r="P51" i="14" s="1"/>
  <c r="G51" i="14"/>
  <c r="M50" i="14"/>
  <c r="P50" i="14" s="1"/>
  <c r="G50" i="14"/>
  <c r="M49" i="14"/>
  <c r="P49" i="14" s="1"/>
  <c r="G49" i="14"/>
  <c r="M48" i="14"/>
  <c r="P48" i="14" s="1"/>
  <c r="G48" i="14"/>
  <c r="M47" i="14"/>
  <c r="P47" i="14" s="1"/>
  <c r="G47" i="14"/>
  <c r="M46" i="14"/>
  <c r="P46" i="14" s="1"/>
  <c r="G46" i="14"/>
  <c r="M45" i="14"/>
  <c r="P45" i="14" s="1"/>
  <c r="G45" i="14"/>
  <c r="M44" i="14"/>
  <c r="P44" i="14" s="1"/>
  <c r="G44" i="14"/>
  <c r="L43" i="14"/>
  <c r="M43" i="14" s="1"/>
  <c r="P43" i="14" s="1"/>
  <c r="G43" i="14"/>
  <c r="M42" i="14"/>
  <c r="P42" i="14" s="1"/>
  <c r="G42" i="14"/>
  <c r="M41" i="14"/>
  <c r="P41" i="14" s="1"/>
  <c r="K41" i="14"/>
  <c r="G41" i="14"/>
  <c r="M40" i="14"/>
  <c r="P40" i="14" s="1"/>
  <c r="G40" i="14"/>
  <c r="M39" i="14"/>
  <c r="P39" i="14" s="1"/>
  <c r="G39" i="14"/>
  <c r="M38" i="14"/>
  <c r="P38" i="14" s="1"/>
  <c r="G38" i="14"/>
  <c r="M37" i="14"/>
  <c r="P37" i="14" s="1"/>
  <c r="G37" i="14"/>
  <c r="M36" i="14"/>
  <c r="P36" i="14" s="1"/>
  <c r="G36" i="14"/>
  <c r="M35" i="14"/>
  <c r="P35" i="14" s="1"/>
  <c r="G35" i="14"/>
  <c r="E34" i="14"/>
  <c r="M34" i="14" s="1"/>
  <c r="P34" i="14" s="1"/>
  <c r="M33" i="14"/>
  <c r="P33" i="14" s="1"/>
  <c r="G33" i="14"/>
  <c r="M32" i="14"/>
  <c r="P32" i="14" s="1"/>
  <c r="G32" i="14"/>
  <c r="M31" i="14"/>
  <c r="P31" i="14" s="1"/>
  <c r="G31" i="14"/>
  <c r="M30" i="14"/>
  <c r="P30" i="14" s="1"/>
  <c r="G30" i="14"/>
  <c r="M29" i="14"/>
  <c r="P29" i="14" s="1"/>
  <c r="G29" i="14"/>
  <c r="M28" i="14"/>
  <c r="P28" i="14" s="1"/>
  <c r="G28" i="14"/>
  <c r="M27" i="14"/>
  <c r="P27" i="14" s="1"/>
  <c r="G27" i="14"/>
  <c r="M26" i="14"/>
  <c r="P26" i="14" s="1"/>
  <c r="G26" i="14"/>
  <c r="M25" i="14"/>
  <c r="P25" i="14" s="1"/>
  <c r="L24" i="14"/>
  <c r="M24" i="14" s="1"/>
  <c r="P24" i="14" s="1"/>
  <c r="M23" i="14"/>
  <c r="P23" i="14" s="1"/>
  <c r="G23" i="14"/>
  <c r="M22" i="14"/>
  <c r="P22" i="14" s="1"/>
  <c r="G22" i="14"/>
  <c r="M21" i="14"/>
  <c r="P21" i="14" s="1"/>
  <c r="G21" i="14"/>
  <c r="E20" i="14"/>
  <c r="M20" i="14" s="1"/>
  <c r="P20" i="14" s="1"/>
  <c r="M19" i="14"/>
  <c r="P19" i="14" s="1"/>
  <c r="G19" i="14"/>
  <c r="M18" i="14"/>
  <c r="P18" i="14" s="1"/>
  <c r="G18" i="14"/>
  <c r="M17" i="14"/>
  <c r="P17" i="14" s="1"/>
  <c r="G17" i="14"/>
  <c r="M16" i="14"/>
  <c r="P16" i="14" s="1"/>
  <c r="G16" i="14"/>
  <c r="M15" i="14"/>
  <c r="P15" i="14" s="1"/>
  <c r="G15" i="14"/>
  <c r="E14" i="14"/>
  <c r="M14" i="14" s="1"/>
  <c r="P14" i="14" s="1"/>
  <c r="M13" i="14"/>
  <c r="P13" i="14" s="1"/>
  <c r="G13" i="14"/>
  <c r="M12" i="14"/>
  <c r="P12" i="14" s="1"/>
  <c r="G12" i="14"/>
  <c r="M11" i="14"/>
  <c r="P11" i="14" s="1"/>
  <c r="G11" i="14"/>
  <c r="M10" i="14"/>
  <c r="P10" i="14" s="1"/>
  <c r="G10" i="14"/>
  <c r="M9" i="14"/>
  <c r="P9" i="14" s="1"/>
  <c r="G9" i="14"/>
  <c r="G8" i="14"/>
  <c r="E8" i="14"/>
  <c r="M8" i="14" s="1"/>
  <c r="L343" i="13"/>
  <c r="M343" i="13" s="1"/>
  <c r="P343" i="13" s="1"/>
  <c r="L54" i="13"/>
  <c r="L303" i="13"/>
  <c r="M303" i="13" s="1"/>
  <c r="P303" i="13" s="1"/>
  <c r="L244" i="13"/>
  <c r="L239" i="13"/>
  <c r="L250" i="13"/>
  <c r="L118" i="13"/>
  <c r="M118" i="13" s="1"/>
  <c r="P118" i="13" s="1"/>
  <c r="L179" i="13"/>
  <c r="L390" i="13"/>
  <c r="L119" i="13"/>
  <c r="M119" i="13" s="1"/>
  <c r="P119" i="13" s="1"/>
  <c r="L117" i="13"/>
  <c r="M117" i="13" s="1"/>
  <c r="P117" i="13" s="1"/>
  <c r="L169" i="13"/>
  <c r="L329" i="13"/>
  <c r="L80" i="13"/>
  <c r="M80" i="13" s="1"/>
  <c r="P80" i="13" s="1"/>
  <c r="L388" i="13"/>
  <c r="L389" i="13"/>
  <c r="L316" i="13"/>
  <c r="M316" i="13" s="1"/>
  <c r="P316" i="13" s="1"/>
  <c r="L76" i="13"/>
  <c r="M76" i="13" s="1"/>
  <c r="P76" i="13" s="1"/>
  <c r="L75" i="13"/>
  <c r="M75" i="13" s="1"/>
  <c r="P75" i="13" s="1"/>
  <c r="O405" i="13"/>
  <c r="N405" i="13"/>
  <c r="M404" i="13"/>
  <c r="P404" i="13" s="1"/>
  <c r="M403" i="13"/>
  <c r="M402" i="13"/>
  <c r="P402" i="13" s="1"/>
  <c r="K402" i="13"/>
  <c r="M401" i="13"/>
  <c r="P401" i="13" s="1"/>
  <c r="K401" i="13"/>
  <c r="M400" i="13"/>
  <c r="P400" i="13" s="1"/>
  <c r="K400" i="13"/>
  <c r="M399" i="13"/>
  <c r="P399" i="13" s="1"/>
  <c r="K399" i="13"/>
  <c r="M398" i="13"/>
  <c r="P398" i="13" s="1"/>
  <c r="K398" i="13"/>
  <c r="M397" i="13"/>
  <c r="P397" i="13" s="1"/>
  <c r="K397" i="13"/>
  <c r="M396" i="13"/>
  <c r="P396" i="13" s="1"/>
  <c r="K396" i="13"/>
  <c r="M395" i="13"/>
  <c r="P395" i="13" s="1"/>
  <c r="K395" i="13"/>
  <c r="M394" i="13"/>
  <c r="P394" i="13" s="1"/>
  <c r="K394" i="13"/>
  <c r="I393" i="13"/>
  <c r="M393" i="13" s="1"/>
  <c r="P393" i="13" s="1"/>
  <c r="I392" i="13"/>
  <c r="M392" i="13" s="1"/>
  <c r="P392" i="13" s="1"/>
  <c r="I391" i="13"/>
  <c r="M391" i="13" s="1"/>
  <c r="P391" i="13" s="1"/>
  <c r="I390" i="13"/>
  <c r="M390" i="13" s="1"/>
  <c r="P390" i="13" s="1"/>
  <c r="I389" i="13"/>
  <c r="K389" i="13" s="1"/>
  <c r="I388" i="13"/>
  <c r="P387" i="13"/>
  <c r="M387" i="13"/>
  <c r="M386" i="13"/>
  <c r="P386" i="13" s="1"/>
  <c r="M385" i="13"/>
  <c r="P385" i="13" s="1"/>
  <c r="M384" i="13"/>
  <c r="P384" i="13" s="1"/>
  <c r="K384" i="13"/>
  <c r="M383" i="13"/>
  <c r="P383" i="13" s="1"/>
  <c r="K383" i="13"/>
  <c r="M382" i="13"/>
  <c r="P382" i="13" s="1"/>
  <c r="K382" i="13"/>
  <c r="M381" i="13"/>
  <c r="P381" i="13" s="1"/>
  <c r="K381" i="13"/>
  <c r="M380" i="13"/>
  <c r="P380" i="13" s="1"/>
  <c r="K380" i="13"/>
  <c r="M379" i="13"/>
  <c r="P379" i="13" s="1"/>
  <c r="K379" i="13"/>
  <c r="M378" i="13"/>
  <c r="P378" i="13" s="1"/>
  <c r="K378" i="13"/>
  <c r="M377" i="13"/>
  <c r="P377" i="13" s="1"/>
  <c r="K377" i="13"/>
  <c r="M376" i="13"/>
  <c r="P376" i="13" s="1"/>
  <c r="K376" i="13"/>
  <c r="M375" i="13"/>
  <c r="P375" i="13" s="1"/>
  <c r="K375" i="13"/>
  <c r="P374" i="13"/>
  <c r="M374" i="13"/>
  <c r="K374" i="13"/>
  <c r="M373" i="13"/>
  <c r="P373" i="13" s="1"/>
  <c r="K373" i="13"/>
  <c r="M372" i="13"/>
  <c r="P372" i="13" s="1"/>
  <c r="K372" i="13"/>
  <c r="M371" i="13"/>
  <c r="P371" i="13" s="1"/>
  <c r="K371" i="13"/>
  <c r="M370" i="13"/>
  <c r="P370" i="13" s="1"/>
  <c r="K370" i="13"/>
  <c r="M369" i="13"/>
  <c r="P369" i="13" s="1"/>
  <c r="K369" i="13"/>
  <c r="M368" i="13"/>
  <c r="P368" i="13" s="1"/>
  <c r="K368" i="13"/>
  <c r="M367" i="13"/>
  <c r="P367" i="13" s="1"/>
  <c r="K367" i="13"/>
  <c r="I366" i="13"/>
  <c r="M365" i="13"/>
  <c r="P365" i="13" s="1"/>
  <c r="K365" i="13"/>
  <c r="M364" i="13"/>
  <c r="P364" i="13" s="1"/>
  <c r="K364" i="13"/>
  <c r="M363" i="13"/>
  <c r="P363" i="13" s="1"/>
  <c r="K363" i="13"/>
  <c r="M362" i="13"/>
  <c r="P362" i="13" s="1"/>
  <c r="K362" i="13"/>
  <c r="M361" i="13"/>
  <c r="P361" i="13" s="1"/>
  <c r="K361" i="13"/>
  <c r="M360" i="13"/>
  <c r="P360" i="13" s="1"/>
  <c r="K360" i="13"/>
  <c r="M359" i="13"/>
  <c r="P359" i="13" s="1"/>
  <c r="K359" i="13"/>
  <c r="M358" i="13"/>
  <c r="P358" i="13" s="1"/>
  <c r="K358" i="13"/>
  <c r="P357" i="13"/>
  <c r="M357" i="13"/>
  <c r="K357" i="13"/>
  <c r="M356" i="13"/>
  <c r="P356" i="13" s="1"/>
  <c r="K356" i="13"/>
  <c r="M355" i="13"/>
  <c r="P355" i="13" s="1"/>
  <c r="K355" i="13"/>
  <c r="M354" i="13"/>
  <c r="P354" i="13" s="1"/>
  <c r="K354" i="13"/>
  <c r="M353" i="13"/>
  <c r="P353" i="13" s="1"/>
  <c r="K353" i="13"/>
  <c r="M352" i="13"/>
  <c r="P352" i="13" s="1"/>
  <c r="K352" i="13"/>
  <c r="M351" i="13"/>
  <c r="P351" i="13" s="1"/>
  <c r="K351" i="13"/>
  <c r="M350" i="13"/>
  <c r="P350" i="13" s="1"/>
  <c r="K350" i="13"/>
  <c r="M349" i="13"/>
  <c r="P349" i="13" s="1"/>
  <c r="K349" i="13"/>
  <c r="M348" i="13"/>
  <c r="P348" i="13" s="1"/>
  <c r="K348" i="13"/>
  <c r="M347" i="13"/>
  <c r="P347" i="13" s="1"/>
  <c r="K347" i="13"/>
  <c r="M346" i="13"/>
  <c r="P346" i="13" s="1"/>
  <c r="K346" i="13"/>
  <c r="M345" i="13"/>
  <c r="P345" i="13" s="1"/>
  <c r="K345" i="13"/>
  <c r="L344" i="13"/>
  <c r="I344" i="13"/>
  <c r="K343" i="13"/>
  <c r="M342" i="13"/>
  <c r="P342" i="13" s="1"/>
  <c r="K342" i="13"/>
  <c r="M341" i="13"/>
  <c r="P341" i="13" s="1"/>
  <c r="J341" i="13"/>
  <c r="K341" i="13" s="1"/>
  <c r="M340" i="13"/>
  <c r="J340" i="13"/>
  <c r="K340" i="13" s="1"/>
  <c r="M339" i="13"/>
  <c r="J339" i="13"/>
  <c r="K339" i="13" s="1"/>
  <c r="M338" i="13"/>
  <c r="J338" i="13"/>
  <c r="K338" i="13" s="1"/>
  <c r="M337" i="13"/>
  <c r="J337" i="13"/>
  <c r="K337" i="13" s="1"/>
  <c r="M336" i="13"/>
  <c r="J336" i="13"/>
  <c r="K336" i="13" s="1"/>
  <c r="M335" i="13"/>
  <c r="J335" i="13"/>
  <c r="K335" i="13" s="1"/>
  <c r="M334" i="13"/>
  <c r="J334" i="13"/>
  <c r="K334" i="13" s="1"/>
  <c r="M333" i="13"/>
  <c r="J333" i="13"/>
  <c r="K333" i="13" s="1"/>
  <c r="M332" i="13"/>
  <c r="J332" i="13"/>
  <c r="K332" i="13" s="1"/>
  <c r="L331" i="13"/>
  <c r="M331" i="13" s="1"/>
  <c r="P331" i="13" s="1"/>
  <c r="K331" i="13"/>
  <c r="M330" i="13"/>
  <c r="P330" i="13" s="1"/>
  <c r="M329" i="13"/>
  <c r="P329" i="13" s="1"/>
  <c r="K329" i="13"/>
  <c r="L328" i="13"/>
  <c r="M328" i="13" s="1"/>
  <c r="P328" i="13" s="1"/>
  <c r="K328" i="13"/>
  <c r="L327" i="13"/>
  <c r="M327" i="13" s="1"/>
  <c r="P327" i="13" s="1"/>
  <c r="K327" i="13"/>
  <c r="L326" i="13"/>
  <c r="M326" i="13" s="1"/>
  <c r="P326" i="13" s="1"/>
  <c r="L325" i="13"/>
  <c r="M325" i="13" s="1"/>
  <c r="P325" i="13" s="1"/>
  <c r="M324" i="13"/>
  <c r="P324" i="13" s="1"/>
  <c r="I323" i="13"/>
  <c r="M323" i="13" s="1"/>
  <c r="M322" i="13"/>
  <c r="P322" i="13" s="1"/>
  <c r="M321" i="13"/>
  <c r="P321" i="13" s="1"/>
  <c r="M320" i="13"/>
  <c r="P320" i="13" s="1"/>
  <c r="M319" i="13"/>
  <c r="P319" i="13" s="1"/>
  <c r="G319" i="13"/>
  <c r="M318" i="13"/>
  <c r="P318" i="13" s="1"/>
  <c r="L318" i="13"/>
  <c r="L317" i="13"/>
  <c r="M317" i="13" s="1"/>
  <c r="P317" i="13" s="1"/>
  <c r="M315" i="13"/>
  <c r="P315" i="13" s="1"/>
  <c r="E314" i="13"/>
  <c r="M314" i="13" s="1"/>
  <c r="P314" i="13" s="1"/>
  <c r="M313" i="13"/>
  <c r="P313" i="13" s="1"/>
  <c r="M312" i="13"/>
  <c r="P312" i="13" s="1"/>
  <c r="M311" i="13"/>
  <c r="P311" i="13" s="1"/>
  <c r="G311" i="13"/>
  <c r="M310" i="13"/>
  <c r="P310" i="13" s="1"/>
  <c r="G310" i="13"/>
  <c r="E309" i="13"/>
  <c r="G309" i="13" s="1"/>
  <c r="M308" i="13"/>
  <c r="P308" i="13" s="1"/>
  <c r="G308" i="13"/>
  <c r="M307" i="13"/>
  <c r="P307" i="13" s="1"/>
  <c r="G307" i="13"/>
  <c r="M306" i="13"/>
  <c r="P306" i="13" s="1"/>
  <c r="G306" i="13"/>
  <c r="M305" i="13"/>
  <c r="P305" i="13" s="1"/>
  <c r="G305" i="13"/>
  <c r="M304" i="13"/>
  <c r="P304" i="13" s="1"/>
  <c r="G304" i="13"/>
  <c r="K303" i="13"/>
  <c r="G303" i="13"/>
  <c r="M302" i="13"/>
  <c r="P302" i="13" s="1"/>
  <c r="G302" i="13"/>
  <c r="M301" i="13"/>
  <c r="P301" i="13" s="1"/>
  <c r="G301" i="13"/>
  <c r="M300" i="13"/>
  <c r="P300" i="13" s="1"/>
  <c r="G300" i="13"/>
  <c r="M299" i="13"/>
  <c r="P299" i="13" s="1"/>
  <c r="G299" i="13"/>
  <c r="M298" i="13"/>
  <c r="P298" i="13" s="1"/>
  <c r="G298" i="13"/>
  <c r="M297" i="13"/>
  <c r="P297" i="13" s="1"/>
  <c r="G297" i="13"/>
  <c r="E296" i="13"/>
  <c r="M295" i="13"/>
  <c r="P295" i="13" s="1"/>
  <c r="G295" i="13"/>
  <c r="M294" i="13"/>
  <c r="P294" i="13" s="1"/>
  <c r="G294" i="13"/>
  <c r="E293" i="13"/>
  <c r="G293" i="13" s="1"/>
  <c r="M292" i="13"/>
  <c r="P292" i="13" s="1"/>
  <c r="G292" i="13"/>
  <c r="L291" i="13"/>
  <c r="E291" i="13"/>
  <c r="G291" i="13" s="1"/>
  <c r="M290" i="13"/>
  <c r="P290" i="13" s="1"/>
  <c r="G290" i="13"/>
  <c r="M289" i="13"/>
  <c r="P289" i="13" s="1"/>
  <c r="K289" i="13"/>
  <c r="M288" i="13"/>
  <c r="P288" i="13" s="1"/>
  <c r="M287" i="13"/>
  <c r="P287" i="13" s="1"/>
  <c r="M286" i="13"/>
  <c r="P286" i="13" s="1"/>
  <c r="G286" i="13"/>
  <c r="M285" i="13"/>
  <c r="P285" i="13" s="1"/>
  <c r="G285" i="13"/>
  <c r="M284" i="13"/>
  <c r="P284" i="13" s="1"/>
  <c r="G284" i="13"/>
  <c r="M283" i="13"/>
  <c r="P283" i="13" s="1"/>
  <c r="G283" i="13"/>
  <c r="M282" i="13"/>
  <c r="P282" i="13" s="1"/>
  <c r="G282" i="13"/>
  <c r="M281" i="13"/>
  <c r="P281" i="13" s="1"/>
  <c r="G281" i="13"/>
  <c r="M280" i="13"/>
  <c r="P280" i="13" s="1"/>
  <c r="G280" i="13"/>
  <c r="M279" i="13"/>
  <c r="P279" i="13" s="1"/>
  <c r="G279" i="13"/>
  <c r="M278" i="13"/>
  <c r="P278" i="13" s="1"/>
  <c r="G278" i="13"/>
  <c r="M277" i="13"/>
  <c r="P277" i="13" s="1"/>
  <c r="G277" i="13"/>
  <c r="M276" i="13"/>
  <c r="P276" i="13" s="1"/>
  <c r="G276" i="13"/>
  <c r="M275" i="13"/>
  <c r="P275" i="13" s="1"/>
  <c r="K275" i="13"/>
  <c r="G275" i="13"/>
  <c r="M274" i="13"/>
  <c r="P274" i="13" s="1"/>
  <c r="G274" i="13"/>
  <c r="M273" i="13"/>
  <c r="P273" i="13" s="1"/>
  <c r="L272" i="13"/>
  <c r="M272" i="13" s="1"/>
  <c r="P272" i="13" s="1"/>
  <c r="G272" i="13"/>
  <c r="M271" i="13"/>
  <c r="P271" i="13" s="1"/>
  <c r="G271" i="13"/>
  <c r="I270" i="13"/>
  <c r="M270" i="13" s="1"/>
  <c r="P270" i="13" s="1"/>
  <c r="G270" i="13"/>
  <c r="M269" i="13"/>
  <c r="P269" i="13" s="1"/>
  <c r="E269" i="13"/>
  <c r="G269" i="13" s="1"/>
  <c r="M268" i="13"/>
  <c r="P268" i="13" s="1"/>
  <c r="K268" i="13"/>
  <c r="G268" i="13"/>
  <c r="M267" i="13"/>
  <c r="P267" i="13" s="1"/>
  <c r="K267" i="13"/>
  <c r="G267" i="13"/>
  <c r="M266" i="13"/>
  <c r="P266" i="13" s="1"/>
  <c r="G266" i="13"/>
  <c r="M265" i="13"/>
  <c r="P265" i="13" s="1"/>
  <c r="G265" i="13"/>
  <c r="M264" i="13"/>
  <c r="P264" i="13" s="1"/>
  <c r="G264" i="13"/>
  <c r="M263" i="13"/>
  <c r="P263" i="13" s="1"/>
  <c r="G263" i="13"/>
  <c r="M262" i="13"/>
  <c r="P262" i="13" s="1"/>
  <c r="G262" i="13"/>
  <c r="M261" i="13"/>
  <c r="P261" i="13" s="1"/>
  <c r="G261" i="13"/>
  <c r="M260" i="13"/>
  <c r="P260" i="13" s="1"/>
  <c r="G260" i="13"/>
  <c r="P259" i="13"/>
  <c r="M259" i="13"/>
  <c r="G259" i="13"/>
  <c r="M258" i="13"/>
  <c r="P258" i="13" s="1"/>
  <c r="G258" i="13"/>
  <c r="M257" i="13"/>
  <c r="P257" i="13" s="1"/>
  <c r="G257" i="13"/>
  <c r="M256" i="13"/>
  <c r="P256" i="13" s="1"/>
  <c r="G256" i="13"/>
  <c r="M255" i="13"/>
  <c r="P255" i="13" s="1"/>
  <c r="G255" i="13"/>
  <c r="P254" i="13"/>
  <c r="M254" i="13"/>
  <c r="G254" i="13"/>
  <c r="M253" i="13"/>
  <c r="P253" i="13" s="1"/>
  <c r="G253" i="13"/>
  <c r="M252" i="13"/>
  <c r="P252" i="13" s="1"/>
  <c r="G252" i="13"/>
  <c r="L251" i="13"/>
  <c r="M251" i="13" s="1"/>
  <c r="P251" i="13" s="1"/>
  <c r="K251" i="13"/>
  <c r="G251" i="13"/>
  <c r="I250" i="13"/>
  <c r="K250" i="13" s="1"/>
  <c r="G250" i="13"/>
  <c r="M249" i="13"/>
  <c r="P249" i="13" s="1"/>
  <c r="K249" i="13"/>
  <c r="G249" i="13"/>
  <c r="M248" i="13"/>
  <c r="P248" i="13" s="1"/>
  <c r="K248" i="13"/>
  <c r="G248" i="13"/>
  <c r="M247" i="13"/>
  <c r="P247" i="13" s="1"/>
  <c r="K247" i="13"/>
  <c r="G247" i="13"/>
  <c r="M246" i="13"/>
  <c r="P246" i="13" s="1"/>
  <c r="K246" i="13"/>
  <c r="G246" i="13"/>
  <c r="M245" i="13"/>
  <c r="P245" i="13" s="1"/>
  <c r="K245" i="13"/>
  <c r="G245" i="13"/>
  <c r="I244" i="13"/>
  <c r="J244" i="13" s="1"/>
  <c r="K244" i="13" s="1"/>
  <c r="G244" i="13"/>
  <c r="M243" i="13"/>
  <c r="P243" i="13" s="1"/>
  <c r="K243" i="13"/>
  <c r="G243" i="13"/>
  <c r="M242" i="13"/>
  <c r="P242" i="13" s="1"/>
  <c r="K242" i="13"/>
  <c r="G242" i="13"/>
  <c r="K241" i="13"/>
  <c r="I241" i="13"/>
  <c r="M241" i="13" s="1"/>
  <c r="P241" i="13" s="1"/>
  <c r="G241" i="13"/>
  <c r="M240" i="13"/>
  <c r="P240" i="13" s="1"/>
  <c r="K240" i="13"/>
  <c r="G240" i="13"/>
  <c r="I239" i="13"/>
  <c r="K239" i="13" s="1"/>
  <c r="G239" i="13"/>
  <c r="M238" i="13"/>
  <c r="P238" i="13" s="1"/>
  <c r="G238" i="13"/>
  <c r="M237" i="13"/>
  <c r="P237" i="13" s="1"/>
  <c r="G237" i="13"/>
  <c r="M236" i="13"/>
  <c r="P236" i="13" s="1"/>
  <c r="G236" i="13"/>
  <c r="M235" i="13"/>
  <c r="P235" i="13" s="1"/>
  <c r="G235" i="13"/>
  <c r="M234" i="13"/>
  <c r="P234" i="13" s="1"/>
  <c r="G234" i="13"/>
  <c r="M233" i="13"/>
  <c r="P233" i="13" s="1"/>
  <c r="K233" i="13"/>
  <c r="G233" i="13"/>
  <c r="M232" i="13"/>
  <c r="P232" i="13" s="1"/>
  <c r="G232" i="13"/>
  <c r="M231" i="13"/>
  <c r="P231" i="13" s="1"/>
  <c r="G231" i="13"/>
  <c r="M230" i="13"/>
  <c r="P230" i="13" s="1"/>
  <c r="G230" i="13"/>
  <c r="M229" i="13"/>
  <c r="P229" i="13" s="1"/>
  <c r="G229" i="13"/>
  <c r="M228" i="13"/>
  <c r="P228" i="13" s="1"/>
  <c r="G228" i="13"/>
  <c r="M227" i="13"/>
  <c r="P227" i="13" s="1"/>
  <c r="G227" i="13"/>
  <c r="M226" i="13"/>
  <c r="P226" i="13" s="1"/>
  <c r="G226" i="13"/>
  <c r="M225" i="13"/>
  <c r="P225" i="13" s="1"/>
  <c r="G225" i="13"/>
  <c r="M224" i="13"/>
  <c r="P224" i="13" s="1"/>
  <c r="G224" i="13"/>
  <c r="M223" i="13"/>
  <c r="P223" i="13" s="1"/>
  <c r="G223" i="13"/>
  <c r="M222" i="13"/>
  <c r="P222" i="13" s="1"/>
  <c r="G222" i="13"/>
  <c r="M221" i="13"/>
  <c r="P221" i="13" s="1"/>
  <c r="G221" i="13"/>
  <c r="M220" i="13"/>
  <c r="P220" i="13" s="1"/>
  <c r="G220" i="13"/>
  <c r="M219" i="13"/>
  <c r="P219" i="13" s="1"/>
  <c r="E219" i="13"/>
  <c r="G219" i="13" s="1"/>
  <c r="E218" i="13"/>
  <c r="G218" i="13" s="1"/>
  <c r="M217" i="13"/>
  <c r="P217" i="13" s="1"/>
  <c r="G217" i="13"/>
  <c r="M216" i="13"/>
  <c r="P216" i="13" s="1"/>
  <c r="G216" i="13"/>
  <c r="M215" i="13"/>
  <c r="P215" i="13" s="1"/>
  <c r="G215" i="13"/>
  <c r="M214" i="13"/>
  <c r="P214" i="13" s="1"/>
  <c r="G214" i="13"/>
  <c r="P213" i="13"/>
  <c r="M213" i="13"/>
  <c r="G213" i="13"/>
  <c r="M212" i="13"/>
  <c r="P212" i="13" s="1"/>
  <c r="G212" i="13"/>
  <c r="M211" i="13"/>
  <c r="P211" i="13" s="1"/>
  <c r="G211" i="13"/>
  <c r="M210" i="13"/>
  <c r="P210" i="13" s="1"/>
  <c r="G210" i="13"/>
  <c r="M209" i="13"/>
  <c r="P209" i="13" s="1"/>
  <c r="G209" i="13"/>
  <c r="M208" i="13"/>
  <c r="P208" i="13" s="1"/>
  <c r="G208" i="13"/>
  <c r="M207" i="13"/>
  <c r="P207" i="13" s="1"/>
  <c r="G207" i="13"/>
  <c r="M206" i="13"/>
  <c r="P206" i="13" s="1"/>
  <c r="G206" i="13"/>
  <c r="M205" i="13"/>
  <c r="P205" i="13" s="1"/>
  <c r="G205" i="13"/>
  <c r="M204" i="13"/>
  <c r="P204" i="13" s="1"/>
  <c r="G204" i="13"/>
  <c r="M203" i="13"/>
  <c r="P203" i="13" s="1"/>
  <c r="G203" i="13"/>
  <c r="M202" i="13"/>
  <c r="P202" i="13" s="1"/>
  <c r="G202" i="13"/>
  <c r="M201" i="13"/>
  <c r="P201" i="13" s="1"/>
  <c r="M200" i="13"/>
  <c r="P200" i="13" s="1"/>
  <c r="K200" i="13"/>
  <c r="G200" i="13"/>
  <c r="M199" i="13"/>
  <c r="P199" i="13" s="1"/>
  <c r="M198" i="13"/>
  <c r="P198" i="13" s="1"/>
  <c r="K198" i="13"/>
  <c r="G198" i="13"/>
  <c r="M197" i="13"/>
  <c r="P197" i="13" s="1"/>
  <c r="G197" i="13"/>
  <c r="M196" i="13"/>
  <c r="P196" i="13" s="1"/>
  <c r="G196" i="13"/>
  <c r="M195" i="13"/>
  <c r="P195" i="13" s="1"/>
  <c r="G195" i="13"/>
  <c r="M194" i="13"/>
  <c r="P194" i="13" s="1"/>
  <c r="G194" i="13"/>
  <c r="E193" i="13"/>
  <c r="G193" i="13" s="1"/>
  <c r="M192" i="13"/>
  <c r="P192" i="13" s="1"/>
  <c r="G192" i="13"/>
  <c r="M191" i="13"/>
  <c r="P191" i="13" s="1"/>
  <c r="G191" i="13"/>
  <c r="M190" i="13"/>
  <c r="P190" i="13" s="1"/>
  <c r="G190" i="13"/>
  <c r="M189" i="13"/>
  <c r="P189" i="13" s="1"/>
  <c r="G189" i="13"/>
  <c r="M188" i="13"/>
  <c r="P188" i="13" s="1"/>
  <c r="G188" i="13"/>
  <c r="M187" i="13"/>
  <c r="P187" i="13" s="1"/>
  <c r="G187" i="13"/>
  <c r="M186" i="13"/>
  <c r="P186" i="13" s="1"/>
  <c r="G186" i="13"/>
  <c r="M185" i="13"/>
  <c r="P185" i="13" s="1"/>
  <c r="G185" i="13"/>
  <c r="M184" i="13"/>
  <c r="P184" i="13" s="1"/>
  <c r="G184" i="13"/>
  <c r="G183" i="13"/>
  <c r="E183" i="13"/>
  <c r="M183" i="13" s="1"/>
  <c r="P183" i="13" s="1"/>
  <c r="E182" i="13"/>
  <c r="M182" i="13" s="1"/>
  <c r="P182" i="13" s="1"/>
  <c r="M181" i="13"/>
  <c r="P181" i="13" s="1"/>
  <c r="G181" i="13"/>
  <c r="I180" i="13"/>
  <c r="M180" i="13" s="1"/>
  <c r="P180" i="13" s="1"/>
  <c r="G180" i="13"/>
  <c r="I179" i="13"/>
  <c r="K179" i="13" s="1"/>
  <c r="G179" i="13"/>
  <c r="M178" i="13"/>
  <c r="P178" i="13" s="1"/>
  <c r="G178" i="13"/>
  <c r="M177" i="13"/>
  <c r="P177" i="13" s="1"/>
  <c r="E177" i="13"/>
  <c r="G177" i="13" s="1"/>
  <c r="M176" i="13"/>
  <c r="P176" i="13" s="1"/>
  <c r="G176" i="13"/>
  <c r="M175" i="13"/>
  <c r="P175" i="13" s="1"/>
  <c r="G175" i="13"/>
  <c r="M174" i="13"/>
  <c r="P174" i="13" s="1"/>
  <c r="G174" i="13"/>
  <c r="M173" i="13"/>
  <c r="P173" i="13" s="1"/>
  <c r="G173" i="13"/>
  <c r="E172" i="13"/>
  <c r="G172" i="13" s="1"/>
  <c r="P171" i="13"/>
  <c r="M171" i="13"/>
  <c r="G171" i="13"/>
  <c r="L170" i="13"/>
  <c r="M170" i="13" s="1"/>
  <c r="P170" i="13" s="1"/>
  <c r="G170" i="13"/>
  <c r="M169" i="13"/>
  <c r="P169" i="13" s="1"/>
  <c r="K169" i="13"/>
  <c r="G169" i="13"/>
  <c r="L168" i="13"/>
  <c r="M168" i="13" s="1"/>
  <c r="P168" i="13" s="1"/>
  <c r="G168" i="13"/>
  <c r="M167" i="13"/>
  <c r="P167" i="13" s="1"/>
  <c r="M166" i="13"/>
  <c r="P166" i="13" s="1"/>
  <c r="E165" i="13"/>
  <c r="M165" i="13" s="1"/>
  <c r="P165" i="13" s="1"/>
  <c r="L164" i="13"/>
  <c r="E164" i="13"/>
  <c r="G164" i="13" s="1"/>
  <c r="L163" i="13"/>
  <c r="E163" i="13"/>
  <c r="I162" i="13"/>
  <c r="K162" i="13" s="1"/>
  <c r="E162" i="13"/>
  <c r="L161" i="13"/>
  <c r="J161" i="13"/>
  <c r="I161" i="13"/>
  <c r="G161" i="13"/>
  <c r="E160" i="13"/>
  <c r="M159" i="13"/>
  <c r="P159" i="13" s="1"/>
  <c r="G159" i="13"/>
  <c r="M158" i="13"/>
  <c r="P158" i="13" s="1"/>
  <c r="G158" i="13"/>
  <c r="L157" i="13"/>
  <c r="M157" i="13" s="1"/>
  <c r="P157" i="13" s="1"/>
  <c r="I157" i="13"/>
  <c r="K157" i="13" s="1"/>
  <c r="G157" i="13"/>
  <c r="M156" i="13"/>
  <c r="P156" i="13" s="1"/>
  <c r="G156" i="13"/>
  <c r="M155" i="13"/>
  <c r="P155" i="13" s="1"/>
  <c r="G155" i="13"/>
  <c r="M154" i="13"/>
  <c r="P154" i="13" s="1"/>
  <c r="G154" i="13"/>
  <c r="M153" i="13"/>
  <c r="P153" i="13" s="1"/>
  <c r="G153" i="13"/>
  <c r="M152" i="13"/>
  <c r="P152" i="13" s="1"/>
  <c r="M151" i="13"/>
  <c r="P151" i="13" s="1"/>
  <c r="G151" i="13"/>
  <c r="M150" i="13"/>
  <c r="P150" i="13" s="1"/>
  <c r="G150" i="13"/>
  <c r="M149" i="13"/>
  <c r="P149" i="13" s="1"/>
  <c r="E148" i="13"/>
  <c r="M148" i="13" s="1"/>
  <c r="P148" i="13" s="1"/>
  <c r="M147" i="13"/>
  <c r="P147" i="13" s="1"/>
  <c r="G147" i="13"/>
  <c r="M146" i="13"/>
  <c r="P146" i="13" s="1"/>
  <c r="G146" i="13"/>
  <c r="M145" i="13"/>
  <c r="P145" i="13" s="1"/>
  <c r="M144" i="13"/>
  <c r="P144" i="13" s="1"/>
  <c r="P143" i="13"/>
  <c r="M143" i="13"/>
  <c r="G143" i="13"/>
  <c r="M142" i="13"/>
  <c r="P142" i="13" s="1"/>
  <c r="M141" i="13"/>
  <c r="P141" i="13" s="1"/>
  <c r="G141" i="13"/>
  <c r="M140" i="13"/>
  <c r="P140" i="13" s="1"/>
  <c r="G140" i="13"/>
  <c r="L139" i="13"/>
  <c r="P139" i="13" s="1"/>
  <c r="I139" i="13"/>
  <c r="K139" i="13" s="1"/>
  <c r="G139" i="13"/>
  <c r="E138" i="13"/>
  <c r="M138" i="13" s="1"/>
  <c r="P138" i="13" s="1"/>
  <c r="M137" i="13"/>
  <c r="P137" i="13" s="1"/>
  <c r="G137" i="13"/>
  <c r="M136" i="13"/>
  <c r="P136" i="13" s="1"/>
  <c r="G136" i="13"/>
  <c r="E135" i="13"/>
  <c r="M134" i="13"/>
  <c r="P134" i="13" s="1"/>
  <c r="G134" i="13"/>
  <c r="E133" i="13"/>
  <c r="G133" i="13" s="1"/>
  <c r="M132" i="13"/>
  <c r="P132" i="13" s="1"/>
  <c r="G132" i="13"/>
  <c r="M131" i="13"/>
  <c r="P131" i="13" s="1"/>
  <c r="G131" i="13"/>
  <c r="L130" i="13"/>
  <c r="M130" i="13" s="1"/>
  <c r="P130" i="13" s="1"/>
  <c r="G130" i="13"/>
  <c r="M129" i="13"/>
  <c r="P129" i="13" s="1"/>
  <c r="G129" i="13"/>
  <c r="M128" i="13"/>
  <c r="P128" i="13" s="1"/>
  <c r="G128" i="13"/>
  <c r="M127" i="13"/>
  <c r="P127" i="13" s="1"/>
  <c r="G127" i="13"/>
  <c r="M126" i="13"/>
  <c r="P126" i="13" s="1"/>
  <c r="G126" i="13"/>
  <c r="M125" i="13"/>
  <c r="P125" i="13" s="1"/>
  <c r="G125" i="13"/>
  <c r="L124" i="13"/>
  <c r="M124" i="13" s="1"/>
  <c r="P124" i="13" s="1"/>
  <c r="G124" i="13"/>
  <c r="M123" i="13"/>
  <c r="P123" i="13" s="1"/>
  <c r="G123" i="13"/>
  <c r="M122" i="13"/>
  <c r="P122" i="13" s="1"/>
  <c r="G122" i="13"/>
  <c r="M121" i="13"/>
  <c r="P121" i="13" s="1"/>
  <c r="K121" i="13"/>
  <c r="G121" i="13"/>
  <c r="M120" i="13"/>
  <c r="P120" i="13" s="1"/>
  <c r="G120" i="13"/>
  <c r="G119" i="13"/>
  <c r="G118" i="13"/>
  <c r="G117" i="13"/>
  <c r="M116" i="13"/>
  <c r="P116" i="13" s="1"/>
  <c r="G116" i="13"/>
  <c r="M115" i="13"/>
  <c r="P115" i="13" s="1"/>
  <c r="G115" i="13"/>
  <c r="M114" i="13"/>
  <c r="P114" i="13" s="1"/>
  <c r="G114" i="13"/>
  <c r="M113" i="13"/>
  <c r="P113" i="13" s="1"/>
  <c r="G113" i="13"/>
  <c r="M112" i="13"/>
  <c r="P112" i="13" s="1"/>
  <c r="G112" i="13"/>
  <c r="M111" i="13"/>
  <c r="P111" i="13" s="1"/>
  <c r="G111" i="13"/>
  <c r="M110" i="13"/>
  <c r="P110" i="13" s="1"/>
  <c r="G110" i="13"/>
  <c r="M109" i="13"/>
  <c r="P109" i="13" s="1"/>
  <c r="G109" i="13"/>
  <c r="M108" i="13"/>
  <c r="P108" i="13" s="1"/>
  <c r="G108" i="13"/>
  <c r="P107" i="13"/>
  <c r="M107" i="13"/>
  <c r="G107" i="13"/>
  <c r="G106" i="13"/>
  <c r="E106" i="13"/>
  <c r="M106" i="13" s="1"/>
  <c r="P106" i="13" s="1"/>
  <c r="M105" i="13"/>
  <c r="P105" i="13" s="1"/>
  <c r="G105" i="13"/>
  <c r="M104" i="13"/>
  <c r="P104" i="13" s="1"/>
  <c r="G104" i="13"/>
  <c r="E103" i="13"/>
  <c r="M102" i="13"/>
  <c r="P102" i="13" s="1"/>
  <c r="G102" i="13"/>
  <c r="M101" i="13"/>
  <c r="P101" i="13" s="1"/>
  <c r="G101" i="13"/>
  <c r="M100" i="13"/>
  <c r="P100" i="13" s="1"/>
  <c r="G100" i="13"/>
  <c r="M99" i="13"/>
  <c r="P99" i="13" s="1"/>
  <c r="G99" i="13"/>
  <c r="M98" i="13"/>
  <c r="P98" i="13" s="1"/>
  <c r="G98" i="13"/>
  <c r="M97" i="13"/>
  <c r="P97" i="13" s="1"/>
  <c r="G97" i="13"/>
  <c r="M96" i="13"/>
  <c r="P96" i="13" s="1"/>
  <c r="G96" i="13"/>
  <c r="E95" i="13"/>
  <c r="M95" i="13" s="1"/>
  <c r="P95" i="13" s="1"/>
  <c r="G94" i="13"/>
  <c r="E94" i="13"/>
  <c r="M94" i="13" s="1"/>
  <c r="P94" i="13" s="1"/>
  <c r="M93" i="13"/>
  <c r="P93" i="13" s="1"/>
  <c r="G93" i="13"/>
  <c r="M92" i="13"/>
  <c r="P92" i="13" s="1"/>
  <c r="G92" i="13"/>
  <c r="M91" i="13"/>
  <c r="P91" i="13" s="1"/>
  <c r="G91" i="13"/>
  <c r="M90" i="13"/>
  <c r="P90" i="13" s="1"/>
  <c r="G90" i="13"/>
  <c r="I89" i="13"/>
  <c r="M89" i="13" s="1"/>
  <c r="P89" i="13" s="1"/>
  <c r="G89" i="13"/>
  <c r="M88" i="13"/>
  <c r="P88" i="13" s="1"/>
  <c r="M87" i="13"/>
  <c r="P87" i="13" s="1"/>
  <c r="K87" i="13"/>
  <c r="G87" i="13"/>
  <c r="M86" i="13"/>
  <c r="P86" i="13" s="1"/>
  <c r="G86" i="13"/>
  <c r="M85" i="13"/>
  <c r="P85" i="13" s="1"/>
  <c r="G85" i="13"/>
  <c r="M84" i="13"/>
  <c r="P84" i="13" s="1"/>
  <c r="G84" i="13"/>
  <c r="M83" i="13"/>
  <c r="P83" i="13" s="1"/>
  <c r="G83" i="13"/>
  <c r="P82" i="13"/>
  <c r="M82" i="13"/>
  <c r="G82" i="13"/>
  <c r="M81" i="13"/>
  <c r="P81" i="13" s="1"/>
  <c r="G81" i="13"/>
  <c r="K80" i="13"/>
  <c r="G80" i="13"/>
  <c r="M79" i="13"/>
  <c r="P79" i="13" s="1"/>
  <c r="G79" i="13"/>
  <c r="M78" i="13"/>
  <c r="P78" i="13" s="1"/>
  <c r="G78" i="13"/>
  <c r="P77" i="13"/>
  <c r="M77" i="13"/>
  <c r="G77" i="13"/>
  <c r="G76" i="13"/>
  <c r="G75" i="13"/>
  <c r="M74" i="13"/>
  <c r="P74" i="13" s="1"/>
  <c r="G74" i="13"/>
  <c r="M73" i="13"/>
  <c r="P73" i="13" s="1"/>
  <c r="G73" i="13"/>
  <c r="M72" i="13"/>
  <c r="P72" i="13" s="1"/>
  <c r="G72" i="13"/>
  <c r="M71" i="13"/>
  <c r="P71" i="13" s="1"/>
  <c r="G71" i="13"/>
  <c r="M70" i="13"/>
  <c r="P70" i="13" s="1"/>
  <c r="G70" i="13"/>
  <c r="M69" i="13"/>
  <c r="P69" i="13" s="1"/>
  <c r="G69" i="13"/>
  <c r="M68" i="13"/>
  <c r="P68" i="13" s="1"/>
  <c r="G68" i="13"/>
  <c r="M67" i="13"/>
  <c r="P67" i="13" s="1"/>
  <c r="G67" i="13"/>
  <c r="M66" i="13"/>
  <c r="P66" i="13" s="1"/>
  <c r="G66" i="13"/>
  <c r="M65" i="13"/>
  <c r="P65" i="13" s="1"/>
  <c r="K65" i="13"/>
  <c r="G65" i="13"/>
  <c r="M64" i="13"/>
  <c r="P64" i="13" s="1"/>
  <c r="K64" i="13"/>
  <c r="M63" i="13"/>
  <c r="P63" i="13" s="1"/>
  <c r="K63" i="13"/>
  <c r="M62" i="13"/>
  <c r="P62" i="13" s="1"/>
  <c r="K62" i="13"/>
  <c r="M61" i="13"/>
  <c r="P61" i="13" s="1"/>
  <c r="K61" i="13"/>
  <c r="G61" i="13"/>
  <c r="M60" i="13"/>
  <c r="P60" i="13" s="1"/>
  <c r="K60" i="13"/>
  <c r="G60" i="13"/>
  <c r="M59" i="13"/>
  <c r="P59" i="13" s="1"/>
  <c r="K59" i="13"/>
  <c r="G59" i="13"/>
  <c r="M58" i="13"/>
  <c r="P58" i="13" s="1"/>
  <c r="K58" i="13"/>
  <c r="G58" i="13"/>
  <c r="M57" i="13"/>
  <c r="P57" i="13" s="1"/>
  <c r="K57" i="13"/>
  <c r="G57" i="13"/>
  <c r="M56" i="13"/>
  <c r="P56" i="13" s="1"/>
  <c r="K56" i="13"/>
  <c r="G56" i="13"/>
  <c r="L55" i="13"/>
  <c r="M55" i="13" s="1"/>
  <c r="P55" i="13" s="1"/>
  <c r="K55" i="13"/>
  <c r="G55" i="13"/>
  <c r="M54" i="13"/>
  <c r="P54" i="13" s="1"/>
  <c r="G54" i="13"/>
  <c r="L53" i="13"/>
  <c r="E53" i="13"/>
  <c r="G53" i="13" s="1"/>
  <c r="M52" i="13"/>
  <c r="P52" i="13" s="1"/>
  <c r="G52" i="13"/>
  <c r="M51" i="13"/>
  <c r="P51" i="13" s="1"/>
  <c r="G51" i="13"/>
  <c r="M50" i="13"/>
  <c r="P50" i="13" s="1"/>
  <c r="G50" i="13"/>
  <c r="M49" i="13"/>
  <c r="P49" i="13" s="1"/>
  <c r="G49" i="13"/>
  <c r="M48" i="13"/>
  <c r="P48" i="13" s="1"/>
  <c r="G48" i="13"/>
  <c r="M47" i="13"/>
  <c r="P47" i="13" s="1"/>
  <c r="G47" i="13"/>
  <c r="M46" i="13"/>
  <c r="P46" i="13" s="1"/>
  <c r="G46" i="13"/>
  <c r="M45" i="13"/>
  <c r="P45" i="13" s="1"/>
  <c r="G45" i="13"/>
  <c r="M44" i="13"/>
  <c r="P44" i="13" s="1"/>
  <c r="G44" i="13"/>
  <c r="L43" i="13"/>
  <c r="M43" i="13" s="1"/>
  <c r="P43" i="13" s="1"/>
  <c r="G43" i="13"/>
  <c r="M42" i="13"/>
  <c r="P42" i="13" s="1"/>
  <c r="G42" i="13"/>
  <c r="M41" i="13"/>
  <c r="P41" i="13" s="1"/>
  <c r="K41" i="13"/>
  <c r="G41" i="13"/>
  <c r="M40" i="13"/>
  <c r="P40" i="13" s="1"/>
  <c r="G40" i="13"/>
  <c r="M39" i="13"/>
  <c r="P39" i="13" s="1"/>
  <c r="G39" i="13"/>
  <c r="M38" i="13"/>
  <c r="P38" i="13" s="1"/>
  <c r="G38" i="13"/>
  <c r="P37" i="13"/>
  <c r="M37" i="13"/>
  <c r="G37" i="13"/>
  <c r="M36" i="13"/>
  <c r="P36" i="13" s="1"/>
  <c r="G36" i="13"/>
  <c r="M35" i="13"/>
  <c r="P35" i="13" s="1"/>
  <c r="G35" i="13"/>
  <c r="E34" i="13"/>
  <c r="G34" i="13" s="1"/>
  <c r="M33" i="13"/>
  <c r="P33" i="13" s="1"/>
  <c r="G33" i="13"/>
  <c r="M32" i="13"/>
  <c r="P32" i="13" s="1"/>
  <c r="G32" i="13"/>
  <c r="M31" i="13"/>
  <c r="P31" i="13" s="1"/>
  <c r="G31" i="13"/>
  <c r="M30" i="13"/>
  <c r="P30" i="13" s="1"/>
  <c r="G30" i="13"/>
  <c r="M29" i="13"/>
  <c r="P29" i="13" s="1"/>
  <c r="G29" i="13"/>
  <c r="M28" i="13"/>
  <c r="P28" i="13" s="1"/>
  <c r="G28" i="13"/>
  <c r="M27" i="13"/>
  <c r="P27" i="13" s="1"/>
  <c r="G27" i="13"/>
  <c r="M26" i="13"/>
  <c r="P26" i="13" s="1"/>
  <c r="G26" i="13"/>
  <c r="M25" i="13"/>
  <c r="P25" i="13" s="1"/>
  <c r="L24" i="13"/>
  <c r="M24" i="13" s="1"/>
  <c r="P24" i="13" s="1"/>
  <c r="M23" i="13"/>
  <c r="P23" i="13" s="1"/>
  <c r="G23" i="13"/>
  <c r="M22" i="13"/>
  <c r="P22" i="13" s="1"/>
  <c r="G22" i="13"/>
  <c r="M21" i="13"/>
  <c r="P21" i="13" s="1"/>
  <c r="G21" i="13"/>
  <c r="E20" i="13"/>
  <c r="G20" i="13" s="1"/>
  <c r="M19" i="13"/>
  <c r="P19" i="13" s="1"/>
  <c r="G19" i="13"/>
  <c r="P18" i="13"/>
  <c r="M18" i="13"/>
  <c r="G18" i="13"/>
  <c r="M17" i="13"/>
  <c r="P17" i="13" s="1"/>
  <c r="G17" i="13"/>
  <c r="M16" i="13"/>
  <c r="P16" i="13" s="1"/>
  <c r="G16" i="13"/>
  <c r="M15" i="13"/>
  <c r="P15" i="13" s="1"/>
  <c r="G15" i="13"/>
  <c r="E14" i="13"/>
  <c r="M14" i="13" s="1"/>
  <c r="P14" i="13" s="1"/>
  <c r="M13" i="13"/>
  <c r="P13" i="13" s="1"/>
  <c r="G13" i="13"/>
  <c r="P12" i="13"/>
  <c r="M12" i="13"/>
  <c r="G12" i="13"/>
  <c r="M11" i="13"/>
  <c r="P11" i="13" s="1"/>
  <c r="G11" i="13"/>
  <c r="E10" i="13"/>
  <c r="M10" i="13" s="1"/>
  <c r="P10" i="13" s="1"/>
  <c r="L9" i="13"/>
  <c r="M9" i="13" s="1"/>
  <c r="P9" i="13" s="1"/>
  <c r="G9" i="13"/>
  <c r="G8" i="13"/>
  <c r="E8" i="13"/>
  <c r="M8" i="13" s="1"/>
  <c r="P8" i="13" s="1"/>
  <c r="N405" i="12"/>
  <c r="M405" i="12"/>
  <c r="L404" i="12"/>
  <c r="O404" i="12" s="1"/>
  <c r="L403" i="12"/>
  <c r="L402" i="12"/>
  <c r="O402" i="12" s="1"/>
  <c r="J402" i="12"/>
  <c r="L401" i="12"/>
  <c r="O401" i="12" s="1"/>
  <c r="J401" i="12"/>
  <c r="L400" i="12"/>
  <c r="O400" i="12" s="1"/>
  <c r="J400" i="12"/>
  <c r="L399" i="12"/>
  <c r="O399" i="12" s="1"/>
  <c r="J399" i="12"/>
  <c r="L398" i="12"/>
  <c r="O398" i="12" s="1"/>
  <c r="J398" i="12"/>
  <c r="L397" i="12"/>
  <c r="O397" i="12" s="1"/>
  <c r="J397" i="12"/>
  <c r="L396" i="12"/>
  <c r="O396" i="12" s="1"/>
  <c r="J396" i="12"/>
  <c r="L395" i="12"/>
  <c r="O395" i="12" s="1"/>
  <c r="J395" i="12"/>
  <c r="O394" i="12"/>
  <c r="L394" i="12"/>
  <c r="J394" i="12"/>
  <c r="H393" i="12"/>
  <c r="H392" i="12"/>
  <c r="H391" i="12"/>
  <c r="J391" i="12" s="1"/>
  <c r="H390" i="12"/>
  <c r="J390" i="12" s="1"/>
  <c r="K389" i="12"/>
  <c r="H389" i="12"/>
  <c r="H388" i="12"/>
  <c r="L387" i="12"/>
  <c r="O387" i="12" s="1"/>
  <c r="L386" i="12"/>
  <c r="O386" i="12" s="1"/>
  <c r="L385" i="12"/>
  <c r="O385" i="12" s="1"/>
  <c r="L384" i="12"/>
  <c r="O384" i="12" s="1"/>
  <c r="J384" i="12"/>
  <c r="L383" i="12"/>
  <c r="O383" i="12" s="1"/>
  <c r="J383" i="12"/>
  <c r="L382" i="12"/>
  <c r="O382" i="12" s="1"/>
  <c r="J382" i="12"/>
  <c r="L381" i="12"/>
  <c r="O381" i="12" s="1"/>
  <c r="J381" i="12"/>
  <c r="L380" i="12"/>
  <c r="O380" i="12" s="1"/>
  <c r="J380" i="12"/>
  <c r="L379" i="12"/>
  <c r="O379" i="12" s="1"/>
  <c r="J379" i="12"/>
  <c r="L378" i="12"/>
  <c r="O378" i="12" s="1"/>
  <c r="J378" i="12"/>
  <c r="L377" i="12"/>
  <c r="O377" i="12" s="1"/>
  <c r="J377" i="12"/>
  <c r="L376" i="12"/>
  <c r="O376" i="12" s="1"/>
  <c r="J376" i="12"/>
  <c r="L375" i="12"/>
  <c r="O375" i="12" s="1"/>
  <c r="J375" i="12"/>
  <c r="L374" i="12"/>
  <c r="O374" i="12" s="1"/>
  <c r="J374" i="12"/>
  <c r="L373" i="12"/>
  <c r="O373" i="12" s="1"/>
  <c r="J373" i="12"/>
  <c r="L372" i="12"/>
  <c r="O372" i="12" s="1"/>
  <c r="J372" i="12"/>
  <c r="L371" i="12"/>
  <c r="O371" i="12" s="1"/>
  <c r="J371" i="12"/>
  <c r="L370" i="12"/>
  <c r="O370" i="12" s="1"/>
  <c r="J370" i="12"/>
  <c r="L369" i="12"/>
  <c r="O369" i="12" s="1"/>
  <c r="J369" i="12"/>
  <c r="L368" i="12"/>
  <c r="O368" i="12" s="1"/>
  <c r="J368" i="12"/>
  <c r="L367" i="12"/>
  <c r="O367" i="12" s="1"/>
  <c r="J367" i="12"/>
  <c r="H366" i="12"/>
  <c r="L365" i="12"/>
  <c r="O365" i="12" s="1"/>
  <c r="J365" i="12"/>
  <c r="L364" i="12"/>
  <c r="O364" i="12" s="1"/>
  <c r="J364" i="12"/>
  <c r="L363" i="12"/>
  <c r="O363" i="12" s="1"/>
  <c r="J363" i="12"/>
  <c r="L362" i="12"/>
  <c r="O362" i="12" s="1"/>
  <c r="J362" i="12"/>
  <c r="L361" i="12"/>
  <c r="O361" i="12" s="1"/>
  <c r="J361" i="12"/>
  <c r="L360" i="12"/>
  <c r="O360" i="12" s="1"/>
  <c r="J360" i="12"/>
  <c r="L359" i="12"/>
  <c r="O359" i="12" s="1"/>
  <c r="J359" i="12"/>
  <c r="L358" i="12"/>
  <c r="O358" i="12" s="1"/>
  <c r="J358" i="12"/>
  <c r="L357" i="12"/>
  <c r="O357" i="12" s="1"/>
  <c r="J357" i="12"/>
  <c r="O356" i="12"/>
  <c r="L356" i="12"/>
  <c r="J356" i="12"/>
  <c r="L355" i="12"/>
  <c r="O355" i="12" s="1"/>
  <c r="J355" i="12"/>
  <c r="L354" i="12"/>
  <c r="O354" i="12" s="1"/>
  <c r="J354" i="12"/>
  <c r="L353" i="12"/>
  <c r="O353" i="12" s="1"/>
  <c r="J353" i="12"/>
  <c r="L352" i="12"/>
  <c r="O352" i="12" s="1"/>
  <c r="J352" i="12"/>
  <c r="L351" i="12"/>
  <c r="O351" i="12" s="1"/>
  <c r="J351" i="12"/>
  <c r="L350" i="12"/>
  <c r="O350" i="12" s="1"/>
  <c r="J350" i="12"/>
  <c r="L349" i="12"/>
  <c r="O349" i="12" s="1"/>
  <c r="J349" i="12"/>
  <c r="L348" i="12"/>
  <c r="O348" i="12" s="1"/>
  <c r="J348" i="12"/>
  <c r="L347" i="12"/>
  <c r="O347" i="12" s="1"/>
  <c r="J347" i="12"/>
  <c r="L346" i="12"/>
  <c r="O346" i="12" s="1"/>
  <c r="J346" i="12"/>
  <c r="L345" i="12"/>
  <c r="O345" i="12" s="1"/>
  <c r="J345" i="12"/>
  <c r="K344" i="12"/>
  <c r="H344" i="12"/>
  <c r="L343" i="12"/>
  <c r="O343" i="12" s="1"/>
  <c r="K343" i="12"/>
  <c r="J343" i="12"/>
  <c r="L342" i="12"/>
  <c r="O342" i="12" s="1"/>
  <c r="J342" i="12"/>
  <c r="L341" i="12"/>
  <c r="I341" i="12"/>
  <c r="J341" i="12" s="1"/>
  <c r="O340" i="12"/>
  <c r="L340" i="12"/>
  <c r="I340" i="12"/>
  <c r="J340" i="12" s="1"/>
  <c r="L339" i="12"/>
  <c r="I339" i="12"/>
  <c r="J339" i="12" s="1"/>
  <c r="L338" i="12"/>
  <c r="I338" i="12"/>
  <c r="J338" i="12" s="1"/>
  <c r="L337" i="12"/>
  <c r="I337" i="12"/>
  <c r="J337" i="12" s="1"/>
  <c r="L336" i="12"/>
  <c r="O336" i="12" s="1"/>
  <c r="J336" i="12"/>
  <c r="I336" i="12"/>
  <c r="L335" i="12"/>
  <c r="O335" i="12" s="1"/>
  <c r="I335" i="12"/>
  <c r="J335" i="12" s="1"/>
  <c r="O334" i="12"/>
  <c r="L334" i="12"/>
  <c r="I334" i="12"/>
  <c r="J334" i="12" s="1"/>
  <c r="L333" i="12"/>
  <c r="I333" i="12"/>
  <c r="J333" i="12" s="1"/>
  <c r="L332" i="12"/>
  <c r="I332" i="12"/>
  <c r="J332" i="12" s="1"/>
  <c r="K331" i="12"/>
  <c r="L331" i="12" s="1"/>
  <c r="O331" i="12" s="1"/>
  <c r="J331" i="12"/>
  <c r="L330" i="12"/>
  <c r="O330" i="12" s="1"/>
  <c r="K329" i="12"/>
  <c r="L329" i="12" s="1"/>
  <c r="O329" i="12" s="1"/>
  <c r="J329" i="12"/>
  <c r="K328" i="12"/>
  <c r="L328" i="12" s="1"/>
  <c r="O328" i="12" s="1"/>
  <c r="J328" i="12"/>
  <c r="K327" i="12"/>
  <c r="L327" i="12" s="1"/>
  <c r="O327" i="12" s="1"/>
  <c r="J327" i="12"/>
  <c r="L326" i="12"/>
  <c r="O326" i="12" s="1"/>
  <c r="K325" i="12"/>
  <c r="L325" i="12" s="1"/>
  <c r="O325" i="12" s="1"/>
  <c r="L324" i="12"/>
  <c r="O324" i="12" s="1"/>
  <c r="I323" i="12"/>
  <c r="J323" i="12" s="1"/>
  <c r="H323" i="12"/>
  <c r="L323" i="12" s="1"/>
  <c r="L322" i="12"/>
  <c r="O322" i="12" s="1"/>
  <c r="L321" i="12"/>
  <c r="O321" i="12" s="1"/>
  <c r="L320" i="12"/>
  <c r="O320" i="12" s="1"/>
  <c r="L319" i="12"/>
  <c r="O319" i="12" s="1"/>
  <c r="F319" i="12"/>
  <c r="K318" i="12"/>
  <c r="L318" i="12" s="1"/>
  <c r="O318" i="12" s="1"/>
  <c r="K317" i="12"/>
  <c r="L317" i="12" s="1"/>
  <c r="O317" i="12" s="1"/>
  <c r="L316" i="12"/>
  <c r="O316" i="12" s="1"/>
  <c r="O315" i="12"/>
  <c r="L315" i="12"/>
  <c r="D314" i="12"/>
  <c r="L314" i="12" s="1"/>
  <c r="O314" i="12" s="1"/>
  <c r="L313" i="12"/>
  <c r="O313" i="12" s="1"/>
  <c r="L312" i="12"/>
  <c r="O312" i="12" s="1"/>
  <c r="L311" i="12"/>
  <c r="O311" i="12" s="1"/>
  <c r="F311" i="12"/>
  <c r="L310" i="12"/>
  <c r="O310" i="12" s="1"/>
  <c r="F310" i="12"/>
  <c r="D309" i="12"/>
  <c r="L308" i="12"/>
  <c r="O308" i="12" s="1"/>
  <c r="F308" i="12"/>
  <c r="L307" i="12"/>
  <c r="O307" i="12" s="1"/>
  <c r="F307" i="12"/>
  <c r="L306" i="12"/>
  <c r="O306" i="12" s="1"/>
  <c r="F306" i="12"/>
  <c r="L305" i="12"/>
  <c r="O305" i="12" s="1"/>
  <c r="F305" i="12"/>
  <c r="L304" i="12"/>
  <c r="O304" i="12" s="1"/>
  <c r="F304" i="12"/>
  <c r="K303" i="12"/>
  <c r="L303" i="12" s="1"/>
  <c r="O303" i="12" s="1"/>
  <c r="J303" i="12"/>
  <c r="F303" i="12"/>
  <c r="L302" i="12"/>
  <c r="O302" i="12" s="1"/>
  <c r="F302" i="12"/>
  <c r="L301" i="12"/>
  <c r="O301" i="12" s="1"/>
  <c r="F301" i="12"/>
  <c r="L300" i="12"/>
  <c r="O300" i="12" s="1"/>
  <c r="F300" i="12"/>
  <c r="L299" i="12"/>
  <c r="O299" i="12" s="1"/>
  <c r="F299" i="12"/>
  <c r="L298" i="12"/>
  <c r="O298" i="12" s="1"/>
  <c r="F298" i="12"/>
  <c r="L297" i="12"/>
  <c r="O297" i="12" s="1"/>
  <c r="F297" i="12"/>
  <c r="D296" i="12"/>
  <c r="F296" i="12" s="1"/>
  <c r="L295" i="12"/>
  <c r="O295" i="12" s="1"/>
  <c r="F295" i="12"/>
  <c r="L294" i="12"/>
  <c r="O294" i="12" s="1"/>
  <c r="F294" i="12"/>
  <c r="D293" i="12"/>
  <c r="L292" i="12"/>
  <c r="O292" i="12" s="1"/>
  <c r="F292" i="12"/>
  <c r="K291" i="12"/>
  <c r="D291" i="12"/>
  <c r="L290" i="12"/>
  <c r="O290" i="12" s="1"/>
  <c r="F290" i="12"/>
  <c r="L289" i="12"/>
  <c r="O289" i="12" s="1"/>
  <c r="J289" i="12"/>
  <c r="L288" i="12"/>
  <c r="O288" i="12" s="1"/>
  <c r="L287" i="12"/>
  <c r="O287" i="12" s="1"/>
  <c r="L286" i="12"/>
  <c r="O286" i="12" s="1"/>
  <c r="F286" i="12"/>
  <c r="L285" i="12"/>
  <c r="O285" i="12" s="1"/>
  <c r="F285" i="12"/>
  <c r="L284" i="12"/>
  <c r="O284" i="12" s="1"/>
  <c r="F284" i="12"/>
  <c r="L283" i="12"/>
  <c r="O283" i="12" s="1"/>
  <c r="F283" i="12"/>
  <c r="L282" i="12"/>
  <c r="O282" i="12" s="1"/>
  <c r="F282" i="12"/>
  <c r="O281" i="12"/>
  <c r="L281" i="12"/>
  <c r="F281" i="12"/>
  <c r="L280" i="12"/>
  <c r="O280" i="12" s="1"/>
  <c r="F280" i="12"/>
  <c r="L279" i="12"/>
  <c r="O279" i="12" s="1"/>
  <c r="F279" i="12"/>
  <c r="L278" i="12"/>
  <c r="O278" i="12" s="1"/>
  <c r="F278" i="12"/>
  <c r="L277" i="12"/>
  <c r="O277" i="12" s="1"/>
  <c r="F277" i="12"/>
  <c r="L276" i="12"/>
  <c r="O276" i="12" s="1"/>
  <c r="F276" i="12"/>
  <c r="L275" i="12"/>
  <c r="O275" i="12" s="1"/>
  <c r="J275" i="12"/>
  <c r="F275" i="12"/>
  <c r="L274" i="12"/>
  <c r="O274" i="12" s="1"/>
  <c r="F274" i="12"/>
  <c r="L273" i="12"/>
  <c r="O273" i="12" s="1"/>
  <c r="K272" i="12"/>
  <c r="L272" i="12" s="1"/>
  <c r="O272" i="12" s="1"/>
  <c r="F272" i="12"/>
  <c r="L271" i="12"/>
  <c r="O271" i="12" s="1"/>
  <c r="F271" i="12"/>
  <c r="H270" i="12"/>
  <c r="L270" i="12" s="1"/>
  <c r="O270" i="12" s="1"/>
  <c r="F270" i="12"/>
  <c r="D269" i="12"/>
  <c r="L268" i="12"/>
  <c r="O268" i="12" s="1"/>
  <c r="J268" i="12"/>
  <c r="F268" i="12"/>
  <c r="L267" i="12"/>
  <c r="O267" i="12" s="1"/>
  <c r="J267" i="12"/>
  <c r="F267" i="12"/>
  <c r="L266" i="12"/>
  <c r="O266" i="12" s="1"/>
  <c r="F266" i="12"/>
  <c r="L265" i="12"/>
  <c r="O265" i="12" s="1"/>
  <c r="F265" i="12"/>
  <c r="L264" i="12"/>
  <c r="O264" i="12" s="1"/>
  <c r="F264" i="12"/>
  <c r="L263" i="12"/>
  <c r="O263" i="12" s="1"/>
  <c r="F263" i="12"/>
  <c r="L262" i="12"/>
  <c r="O262" i="12" s="1"/>
  <c r="F262" i="12"/>
  <c r="L261" i="12"/>
  <c r="O261" i="12" s="1"/>
  <c r="F261" i="12"/>
  <c r="L260" i="12"/>
  <c r="O260" i="12" s="1"/>
  <c r="F260" i="12"/>
  <c r="L259" i="12"/>
  <c r="O259" i="12" s="1"/>
  <c r="F259" i="12"/>
  <c r="L258" i="12"/>
  <c r="O258" i="12" s="1"/>
  <c r="F258" i="12"/>
  <c r="L257" i="12"/>
  <c r="O257" i="12" s="1"/>
  <c r="F257" i="12"/>
  <c r="L256" i="12"/>
  <c r="O256" i="12" s="1"/>
  <c r="F256" i="12"/>
  <c r="L255" i="12"/>
  <c r="O255" i="12" s="1"/>
  <c r="F255" i="12"/>
  <c r="L254" i="12"/>
  <c r="O254" i="12" s="1"/>
  <c r="F254" i="12"/>
  <c r="L253" i="12"/>
  <c r="O253" i="12" s="1"/>
  <c r="F253" i="12"/>
  <c r="L252" i="12"/>
  <c r="O252" i="12" s="1"/>
  <c r="F252" i="12"/>
  <c r="K251" i="12"/>
  <c r="L251" i="12" s="1"/>
  <c r="O251" i="12" s="1"/>
  <c r="J251" i="12"/>
  <c r="F251" i="12"/>
  <c r="H250" i="12"/>
  <c r="L250" i="12" s="1"/>
  <c r="O250" i="12" s="1"/>
  <c r="F250" i="12"/>
  <c r="L249" i="12"/>
  <c r="O249" i="12" s="1"/>
  <c r="J249" i="12"/>
  <c r="F249" i="12"/>
  <c r="L248" i="12"/>
  <c r="O248" i="12" s="1"/>
  <c r="J248" i="12"/>
  <c r="F248" i="12"/>
  <c r="L247" i="12"/>
  <c r="O247" i="12" s="1"/>
  <c r="J247" i="12"/>
  <c r="F247" i="12"/>
  <c r="L246" i="12"/>
  <c r="O246" i="12" s="1"/>
  <c r="J246" i="12"/>
  <c r="F246" i="12"/>
  <c r="L245" i="12"/>
  <c r="O245" i="12" s="1"/>
  <c r="J245" i="12"/>
  <c r="F245" i="12"/>
  <c r="K244" i="12"/>
  <c r="H244" i="12"/>
  <c r="I244" i="12" s="1"/>
  <c r="J244" i="12" s="1"/>
  <c r="F244" i="12"/>
  <c r="L243" i="12"/>
  <c r="O243" i="12" s="1"/>
  <c r="J243" i="12"/>
  <c r="F243" i="12"/>
  <c r="L242" i="12"/>
  <c r="O242" i="12" s="1"/>
  <c r="J242" i="12"/>
  <c r="F242" i="12"/>
  <c r="H241" i="12"/>
  <c r="L241" i="12" s="1"/>
  <c r="O241" i="12" s="1"/>
  <c r="F241" i="12"/>
  <c r="L240" i="12"/>
  <c r="O240" i="12" s="1"/>
  <c r="J240" i="12"/>
  <c r="F240" i="12"/>
  <c r="L239" i="12"/>
  <c r="O239" i="12" s="1"/>
  <c r="K239" i="12"/>
  <c r="J239" i="12"/>
  <c r="H239" i="12"/>
  <c r="F239" i="12"/>
  <c r="L238" i="12"/>
  <c r="O238" i="12" s="1"/>
  <c r="F238" i="12"/>
  <c r="L237" i="12"/>
  <c r="O237" i="12" s="1"/>
  <c r="F237" i="12"/>
  <c r="L236" i="12"/>
  <c r="O236" i="12" s="1"/>
  <c r="F236" i="12"/>
  <c r="O235" i="12"/>
  <c r="L235" i="12"/>
  <c r="F235" i="12"/>
  <c r="L234" i="12"/>
  <c r="O234" i="12" s="1"/>
  <c r="F234" i="12"/>
  <c r="L233" i="12"/>
  <c r="O233" i="12" s="1"/>
  <c r="J233" i="12"/>
  <c r="F233" i="12"/>
  <c r="L232" i="12"/>
  <c r="O232" i="12" s="1"/>
  <c r="F232" i="12"/>
  <c r="L231" i="12"/>
  <c r="O231" i="12" s="1"/>
  <c r="F231" i="12"/>
  <c r="L230" i="12"/>
  <c r="O230" i="12" s="1"/>
  <c r="F230" i="12"/>
  <c r="L229" i="12"/>
  <c r="O229" i="12" s="1"/>
  <c r="F229" i="12"/>
  <c r="L228" i="12"/>
  <c r="O228" i="12" s="1"/>
  <c r="F228" i="12"/>
  <c r="L227" i="12"/>
  <c r="O227" i="12" s="1"/>
  <c r="F227" i="12"/>
  <c r="O226" i="12"/>
  <c r="L226" i="12"/>
  <c r="F226" i="12"/>
  <c r="L225" i="12"/>
  <c r="O225" i="12" s="1"/>
  <c r="F225" i="12"/>
  <c r="L224" i="12"/>
  <c r="O224" i="12" s="1"/>
  <c r="F224" i="12"/>
  <c r="L223" i="12"/>
  <c r="O223" i="12" s="1"/>
  <c r="F223" i="12"/>
  <c r="L222" i="12"/>
  <c r="O222" i="12" s="1"/>
  <c r="F222" i="12"/>
  <c r="L221" i="12"/>
  <c r="O221" i="12" s="1"/>
  <c r="F221" i="12"/>
  <c r="L220" i="12"/>
  <c r="O220" i="12" s="1"/>
  <c r="F220" i="12"/>
  <c r="D219" i="12"/>
  <c r="F219" i="12" s="1"/>
  <c r="D218" i="12"/>
  <c r="F218" i="12" s="1"/>
  <c r="L217" i="12"/>
  <c r="O217" i="12" s="1"/>
  <c r="F217" i="12"/>
  <c r="L216" i="12"/>
  <c r="O216" i="12" s="1"/>
  <c r="F216" i="12"/>
  <c r="L215" i="12"/>
  <c r="O215" i="12" s="1"/>
  <c r="F215" i="12"/>
  <c r="L214" i="12"/>
  <c r="O214" i="12" s="1"/>
  <c r="F214" i="12"/>
  <c r="L213" i="12"/>
  <c r="O213" i="12" s="1"/>
  <c r="F213" i="12"/>
  <c r="L212" i="12"/>
  <c r="O212" i="12" s="1"/>
  <c r="F212" i="12"/>
  <c r="L211" i="12"/>
  <c r="O211" i="12" s="1"/>
  <c r="F211" i="12"/>
  <c r="L210" i="12"/>
  <c r="O210" i="12" s="1"/>
  <c r="F210" i="12"/>
  <c r="L209" i="12"/>
  <c r="O209" i="12" s="1"/>
  <c r="F209" i="12"/>
  <c r="O208" i="12"/>
  <c r="L208" i="12"/>
  <c r="F208" i="12"/>
  <c r="L207" i="12"/>
  <c r="O207" i="12" s="1"/>
  <c r="F207" i="12"/>
  <c r="L206" i="12"/>
  <c r="O206" i="12" s="1"/>
  <c r="F206" i="12"/>
  <c r="L205" i="12"/>
  <c r="O205" i="12" s="1"/>
  <c r="F205" i="12"/>
  <c r="L204" i="12"/>
  <c r="O204" i="12" s="1"/>
  <c r="F204" i="12"/>
  <c r="L203" i="12"/>
  <c r="O203" i="12" s="1"/>
  <c r="F203" i="12"/>
  <c r="L202" i="12"/>
  <c r="O202" i="12" s="1"/>
  <c r="F202" i="12"/>
  <c r="L201" i="12"/>
  <c r="O201" i="12" s="1"/>
  <c r="L200" i="12"/>
  <c r="O200" i="12" s="1"/>
  <c r="J200" i="12"/>
  <c r="F200" i="12"/>
  <c r="L199" i="12"/>
  <c r="O199" i="12" s="1"/>
  <c r="L198" i="12"/>
  <c r="O198" i="12" s="1"/>
  <c r="J198" i="12"/>
  <c r="F198" i="12"/>
  <c r="L197" i="12"/>
  <c r="O197" i="12" s="1"/>
  <c r="F197" i="12"/>
  <c r="L196" i="12"/>
  <c r="O196" i="12" s="1"/>
  <c r="F196" i="12"/>
  <c r="L195" i="12"/>
  <c r="O195" i="12" s="1"/>
  <c r="F195" i="12"/>
  <c r="L194" i="12"/>
  <c r="O194" i="12" s="1"/>
  <c r="F194" i="12"/>
  <c r="D193" i="12"/>
  <c r="F193" i="12" s="1"/>
  <c r="L192" i="12"/>
  <c r="O192" i="12" s="1"/>
  <c r="F192" i="12"/>
  <c r="L191" i="12"/>
  <c r="O191" i="12" s="1"/>
  <c r="F191" i="12"/>
  <c r="L190" i="12"/>
  <c r="O190" i="12" s="1"/>
  <c r="F190" i="12"/>
  <c r="L189" i="12"/>
  <c r="O189" i="12" s="1"/>
  <c r="F189" i="12"/>
  <c r="L188" i="12"/>
  <c r="O188" i="12" s="1"/>
  <c r="F188" i="12"/>
  <c r="L187" i="12"/>
  <c r="O187" i="12" s="1"/>
  <c r="F187" i="12"/>
  <c r="L186" i="12"/>
  <c r="O186" i="12" s="1"/>
  <c r="F186" i="12"/>
  <c r="L185" i="12"/>
  <c r="O185" i="12" s="1"/>
  <c r="F185" i="12"/>
  <c r="L184" i="12"/>
  <c r="O184" i="12" s="1"/>
  <c r="F184" i="12"/>
  <c r="O183" i="12"/>
  <c r="D183" i="12"/>
  <c r="L183" i="12" s="1"/>
  <c r="D182" i="12"/>
  <c r="F182" i="12" s="1"/>
  <c r="L181" i="12"/>
  <c r="O181" i="12" s="1"/>
  <c r="F181" i="12"/>
  <c r="L180" i="12"/>
  <c r="O180" i="12" s="1"/>
  <c r="H180" i="12"/>
  <c r="J180" i="12" s="1"/>
  <c r="F180" i="12"/>
  <c r="H179" i="12"/>
  <c r="F179" i="12"/>
  <c r="L178" i="12"/>
  <c r="O178" i="12" s="1"/>
  <c r="F178" i="12"/>
  <c r="D177" i="12"/>
  <c r="L176" i="12"/>
  <c r="O176" i="12" s="1"/>
  <c r="F176" i="12"/>
  <c r="L175" i="12"/>
  <c r="O175" i="12" s="1"/>
  <c r="F175" i="12"/>
  <c r="L174" i="12"/>
  <c r="O174" i="12" s="1"/>
  <c r="F174" i="12"/>
  <c r="L173" i="12"/>
  <c r="O173" i="12" s="1"/>
  <c r="F173" i="12"/>
  <c r="D172" i="12"/>
  <c r="L171" i="12"/>
  <c r="O171" i="12" s="1"/>
  <c r="F171" i="12"/>
  <c r="K170" i="12"/>
  <c r="L170" i="12" s="1"/>
  <c r="O170" i="12" s="1"/>
  <c r="F170" i="12"/>
  <c r="L169" i="12"/>
  <c r="O169" i="12" s="1"/>
  <c r="J169" i="12"/>
  <c r="F169" i="12"/>
  <c r="K168" i="12"/>
  <c r="L168" i="12" s="1"/>
  <c r="O168" i="12" s="1"/>
  <c r="F168" i="12"/>
  <c r="L167" i="12"/>
  <c r="O167" i="12" s="1"/>
  <c r="L166" i="12"/>
  <c r="O166" i="12" s="1"/>
  <c r="D165" i="12"/>
  <c r="L165" i="12" s="1"/>
  <c r="O165" i="12" s="1"/>
  <c r="D164" i="12"/>
  <c r="K163" i="12"/>
  <c r="D163" i="12"/>
  <c r="F163" i="12" s="1"/>
  <c r="H162" i="12"/>
  <c r="J162" i="12" s="1"/>
  <c r="D162" i="12"/>
  <c r="F162" i="12" s="1"/>
  <c r="K161" i="12"/>
  <c r="I161" i="12"/>
  <c r="H161" i="12"/>
  <c r="F161" i="12"/>
  <c r="D160" i="12"/>
  <c r="F160" i="12" s="1"/>
  <c r="L159" i="12"/>
  <c r="O159" i="12" s="1"/>
  <c r="F159" i="12"/>
  <c r="L158" i="12"/>
  <c r="O158" i="12" s="1"/>
  <c r="F158" i="12"/>
  <c r="K157" i="12"/>
  <c r="H157" i="12"/>
  <c r="J157" i="12" s="1"/>
  <c r="F157" i="12"/>
  <c r="L156" i="12"/>
  <c r="O156" i="12" s="1"/>
  <c r="F156" i="12"/>
  <c r="L155" i="12"/>
  <c r="O155" i="12" s="1"/>
  <c r="F155" i="12"/>
  <c r="L154" i="12"/>
  <c r="O154" i="12" s="1"/>
  <c r="F154" i="12"/>
  <c r="L153" i="12"/>
  <c r="O153" i="12" s="1"/>
  <c r="F153" i="12"/>
  <c r="L152" i="12"/>
  <c r="O152" i="12" s="1"/>
  <c r="L151" i="12"/>
  <c r="O151" i="12" s="1"/>
  <c r="F151" i="12"/>
  <c r="L150" i="12"/>
  <c r="O150" i="12" s="1"/>
  <c r="F150" i="12"/>
  <c r="L149" i="12"/>
  <c r="O149" i="12" s="1"/>
  <c r="D148" i="12"/>
  <c r="L148" i="12" s="1"/>
  <c r="O148" i="12" s="1"/>
  <c r="L147" i="12"/>
  <c r="O147" i="12" s="1"/>
  <c r="F147" i="12"/>
  <c r="L146" i="12"/>
  <c r="O146" i="12" s="1"/>
  <c r="F146" i="12"/>
  <c r="L145" i="12"/>
  <c r="O145" i="12" s="1"/>
  <c r="O144" i="12"/>
  <c r="L144" i="12"/>
  <c r="L143" i="12"/>
  <c r="O143" i="12" s="1"/>
  <c r="F143" i="12"/>
  <c r="L142" i="12"/>
  <c r="O142" i="12" s="1"/>
  <c r="L141" i="12"/>
  <c r="O141" i="12" s="1"/>
  <c r="F141" i="12"/>
  <c r="L140" i="12"/>
  <c r="O140" i="12" s="1"/>
  <c r="F140" i="12"/>
  <c r="K139" i="12"/>
  <c r="O139" i="12" s="1"/>
  <c r="H139" i="12"/>
  <c r="J139" i="12" s="1"/>
  <c r="F139" i="12"/>
  <c r="D138" i="12"/>
  <c r="F138" i="12" s="1"/>
  <c r="L137" i="12"/>
  <c r="O137" i="12" s="1"/>
  <c r="F137" i="12"/>
  <c r="L136" i="12"/>
  <c r="O136" i="12" s="1"/>
  <c r="F136" i="12"/>
  <c r="D135" i="12"/>
  <c r="L134" i="12"/>
  <c r="O134" i="12" s="1"/>
  <c r="F134" i="12"/>
  <c r="D133" i="12"/>
  <c r="L133" i="12" s="1"/>
  <c r="O133" i="12" s="1"/>
  <c r="L132" i="12"/>
  <c r="O132" i="12" s="1"/>
  <c r="F132" i="12"/>
  <c r="L131" i="12"/>
  <c r="O131" i="12" s="1"/>
  <c r="F131" i="12"/>
  <c r="K130" i="12"/>
  <c r="L130" i="12" s="1"/>
  <c r="O130" i="12" s="1"/>
  <c r="F130" i="12"/>
  <c r="L129" i="12"/>
  <c r="O129" i="12" s="1"/>
  <c r="F129" i="12"/>
  <c r="L128" i="12"/>
  <c r="O128" i="12" s="1"/>
  <c r="F128" i="12"/>
  <c r="L127" i="12"/>
  <c r="O127" i="12" s="1"/>
  <c r="F127" i="12"/>
  <c r="L126" i="12"/>
  <c r="O126" i="12" s="1"/>
  <c r="F126" i="12"/>
  <c r="L125" i="12"/>
  <c r="O125" i="12" s="1"/>
  <c r="F125" i="12"/>
  <c r="K124" i="12"/>
  <c r="L124" i="12" s="1"/>
  <c r="O124" i="12" s="1"/>
  <c r="F124" i="12"/>
  <c r="L123" i="12"/>
  <c r="O123" i="12" s="1"/>
  <c r="F123" i="12"/>
  <c r="L122" i="12"/>
  <c r="O122" i="12" s="1"/>
  <c r="F122" i="12"/>
  <c r="L121" i="12"/>
  <c r="O121" i="12" s="1"/>
  <c r="J121" i="12"/>
  <c r="F121" i="12"/>
  <c r="L120" i="12"/>
  <c r="O120" i="12" s="1"/>
  <c r="F120" i="12"/>
  <c r="K119" i="12"/>
  <c r="L119" i="12" s="1"/>
  <c r="O119" i="12" s="1"/>
  <c r="F119" i="12"/>
  <c r="K118" i="12"/>
  <c r="L118" i="12" s="1"/>
  <c r="O118" i="12" s="1"/>
  <c r="F118" i="12"/>
  <c r="L117" i="12"/>
  <c r="O117" i="12" s="1"/>
  <c r="F117" i="12"/>
  <c r="L116" i="12"/>
  <c r="O116" i="12" s="1"/>
  <c r="F116" i="12"/>
  <c r="L115" i="12"/>
  <c r="O115" i="12" s="1"/>
  <c r="F115" i="12"/>
  <c r="L114" i="12"/>
  <c r="O114" i="12" s="1"/>
  <c r="F114" i="12"/>
  <c r="L113" i="12"/>
  <c r="O113" i="12" s="1"/>
  <c r="F113" i="12"/>
  <c r="L112" i="12"/>
  <c r="O112" i="12" s="1"/>
  <c r="F112" i="12"/>
  <c r="L111" i="12"/>
  <c r="O111" i="12" s="1"/>
  <c r="F111" i="12"/>
  <c r="L110" i="12"/>
  <c r="O110" i="12" s="1"/>
  <c r="F110" i="12"/>
  <c r="L109" i="12"/>
  <c r="O109" i="12" s="1"/>
  <c r="F109" i="12"/>
  <c r="L108" i="12"/>
  <c r="O108" i="12" s="1"/>
  <c r="F108" i="12"/>
  <c r="O107" i="12"/>
  <c r="L107" i="12"/>
  <c r="F107" i="12"/>
  <c r="D106" i="12"/>
  <c r="F106" i="12" s="1"/>
  <c r="L105" i="12"/>
  <c r="O105" i="12" s="1"/>
  <c r="F105" i="12"/>
  <c r="L104" i="12"/>
  <c r="O104" i="12" s="1"/>
  <c r="F104" i="12"/>
  <c r="D103" i="12"/>
  <c r="L102" i="12"/>
  <c r="O102" i="12" s="1"/>
  <c r="F102" i="12"/>
  <c r="O101" i="12"/>
  <c r="L101" i="12"/>
  <c r="F101" i="12"/>
  <c r="L100" i="12"/>
  <c r="O100" i="12" s="1"/>
  <c r="F100" i="12"/>
  <c r="L99" i="12"/>
  <c r="O99" i="12" s="1"/>
  <c r="F99" i="12"/>
  <c r="L98" i="12"/>
  <c r="O98" i="12" s="1"/>
  <c r="F98" i="12"/>
  <c r="L97" i="12"/>
  <c r="O97" i="12" s="1"/>
  <c r="F97" i="12"/>
  <c r="L96" i="12"/>
  <c r="O96" i="12" s="1"/>
  <c r="F96" i="12"/>
  <c r="D95" i="12"/>
  <c r="L95" i="12" s="1"/>
  <c r="O95" i="12" s="1"/>
  <c r="D94" i="12"/>
  <c r="F94" i="12" s="1"/>
  <c r="L93" i="12"/>
  <c r="O93" i="12" s="1"/>
  <c r="F93" i="12"/>
  <c r="L92" i="12"/>
  <c r="O92" i="12" s="1"/>
  <c r="F92" i="12"/>
  <c r="L91" i="12"/>
  <c r="O91" i="12" s="1"/>
  <c r="F91" i="12"/>
  <c r="L90" i="12"/>
  <c r="O90" i="12" s="1"/>
  <c r="F90" i="12"/>
  <c r="H89" i="12"/>
  <c r="J89" i="12" s="1"/>
  <c r="F89" i="12"/>
  <c r="L88" i="12"/>
  <c r="O88" i="12" s="1"/>
  <c r="L87" i="12"/>
  <c r="O87" i="12" s="1"/>
  <c r="J87" i="12"/>
  <c r="F87" i="12"/>
  <c r="L86" i="12"/>
  <c r="O86" i="12" s="1"/>
  <c r="F86" i="12"/>
  <c r="L85" i="12"/>
  <c r="O85" i="12" s="1"/>
  <c r="F85" i="12"/>
  <c r="L84" i="12"/>
  <c r="O84" i="12" s="1"/>
  <c r="F84" i="12"/>
  <c r="L83" i="12"/>
  <c r="O83" i="12" s="1"/>
  <c r="F83" i="12"/>
  <c r="L82" i="12"/>
  <c r="O82" i="12" s="1"/>
  <c r="F82" i="12"/>
  <c r="L81" i="12"/>
  <c r="O81" i="12" s="1"/>
  <c r="F81" i="12"/>
  <c r="L80" i="12"/>
  <c r="O80" i="12" s="1"/>
  <c r="J80" i="12"/>
  <c r="F80" i="12"/>
  <c r="L79" i="12"/>
  <c r="O79" i="12" s="1"/>
  <c r="F79" i="12"/>
  <c r="L78" i="12"/>
  <c r="O78" i="12" s="1"/>
  <c r="F78" i="12"/>
  <c r="L77" i="12"/>
  <c r="O77" i="12" s="1"/>
  <c r="F77" i="12"/>
  <c r="K76" i="12"/>
  <c r="L76" i="12" s="1"/>
  <c r="O76" i="12" s="1"/>
  <c r="F76" i="12"/>
  <c r="L75" i="12"/>
  <c r="O75" i="12" s="1"/>
  <c r="F75" i="12"/>
  <c r="L74" i="12"/>
  <c r="O74" i="12" s="1"/>
  <c r="F74" i="12"/>
  <c r="L73" i="12"/>
  <c r="O73" i="12" s="1"/>
  <c r="F73" i="12"/>
  <c r="L72" i="12"/>
  <c r="O72" i="12" s="1"/>
  <c r="F72" i="12"/>
  <c r="L71" i="12"/>
  <c r="O71" i="12" s="1"/>
  <c r="F71" i="12"/>
  <c r="L70" i="12"/>
  <c r="O70" i="12" s="1"/>
  <c r="F70" i="12"/>
  <c r="L69" i="12"/>
  <c r="O69" i="12" s="1"/>
  <c r="F69" i="12"/>
  <c r="L68" i="12"/>
  <c r="O68" i="12" s="1"/>
  <c r="F68" i="12"/>
  <c r="L67" i="12"/>
  <c r="O67" i="12" s="1"/>
  <c r="F67" i="12"/>
  <c r="L66" i="12"/>
  <c r="O66" i="12" s="1"/>
  <c r="F66" i="12"/>
  <c r="L65" i="12"/>
  <c r="O65" i="12" s="1"/>
  <c r="J65" i="12"/>
  <c r="F65" i="12"/>
  <c r="L64" i="12"/>
  <c r="O64" i="12" s="1"/>
  <c r="J64" i="12"/>
  <c r="L63" i="12"/>
  <c r="O63" i="12" s="1"/>
  <c r="J63" i="12"/>
  <c r="L62" i="12"/>
  <c r="O62" i="12" s="1"/>
  <c r="J62" i="12"/>
  <c r="L61" i="12"/>
  <c r="O61" i="12" s="1"/>
  <c r="J61" i="12"/>
  <c r="F61" i="12"/>
  <c r="L60" i="12"/>
  <c r="O60" i="12" s="1"/>
  <c r="J60" i="12"/>
  <c r="F60" i="12"/>
  <c r="L59" i="12"/>
  <c r="O59" i="12" s="1"/>
  <c r="J59" i="12"/>
  <c r="F59" i="12"/>
  <c r="L58" i="12"/>
  <c r="O58" i="12" s="1"/>
  <c r="J58" i="12"/>
  <c r="F58" i="12"/>
  <c r="L57" i="12"/>
  <c r="O57" i="12" s="1"/>
  <c r="J57" i="12"/>
  <c r="F57" i="12"/>
  <c r="L56" i="12"/>
  <c r="O56" i="12" s="1"/>
  <c r="J56" i="12"/>
  <c r="F56" i="12"/>
  <c r="K55" i="12"/>
  <c r="L55" i="12" s="1"/>
  <c r="O55" i="12" s="1"/>
  <c r="J55" i="12"/>
  <c r="F55" i="12"/>
  <c r="L54" i="12"/>
  <c r="O54" i="12" s="1"/>
  <c r="F54" i="12"/>
  <c r="K53" i="12"/>
  <c r="D53" i="12"/>
  <c r="F53" i="12" s="1"/>
  <c r="L52" i="12"/>
  <c r="O52" i="12" s="1"/>
  <c r="F52" i="12"/>
  <c r="L51" i="12"/>
  <c r="O51" i="12" s="1"/>
  <c r="F51" i="12"/>
  <c r="L50" i="12"/>
  <c r="O50" i="12" s="1"/>
  <c r="F50" i="12"/>
  <c r="L49" i="12"/>
  <c r="O49" i="12" s="1"/>
  <c r="F49" i="12"/>
  <c r="L48" i="12"/>
  <c r="O48" i="12" s="1"/>
  <c r="F48" i="12"/>
  <c r="L47" i="12"/>
  <c r="O47" i="12" s="1"/>
  <c r="F47" i="12"/>
  <c r="L46" i="12"/>
  <c r="O46" i="12" s="1"/>
  <c r="F46" i="12"/>
  <c r="L45" i="12"/>
  <c r="O45" i="12" s="1"/>
  <c r="F45" i="12"/>
  <c r="L44" i="12"/>
  <c r="O44" i="12" s="1"/>
  <c r="F44" i="12"/>
  <c r="K43" i="12"/>
  <c r="L43" i="12" s="1"/>
  <c r="O43" i="12" s="1"/>
  <c r="F43" i="12"/>
  <c r="L42" i="12"/>
  <c r="O42" i="12" s="1"/>
  <c r="F42" i="12"/>
  <c r="L41" i="12"/>
  <c r="O41" i="12" s="1"/>
  <c r="J41" i="12"/>
  <c r="F41" i="12"/>
  <c r="L40" i="12"/>
  <c r="O40" i="12" s="1"/>
  <c r="F40" i="12"/>
  <c r="L39" i="12"/>
  <c r="O39" i="12" s="1"/>
  <c r="F39" i="12"/>
  <c r="L38" i="12"/>
  <c r="O38" i="12" s="1"/>
  <c r="F38" i="12"/>
  <c r="L37" i="12"/>
  <c r="O37" i="12" s="1"/>
  <c r="F37" i="12"/>
  <c r="L36" i="12"/>
  <c r="O36" i="12" s="1"/>
  <c r="F36" i="12"/>
  <c r="L35" i="12"/>
  <c r="O35" i="12" s="1"/>
  <c r="F35" i="12"/>
  <c r="D34" i="12"/>
  <c r="F34" i="12" s="1"/>
  <c r="L33" i="12"/>
  <c r="O33" i="12" s="1"/>
  <c r="F33" i="12"/>
  <c r="L32" i="12"/>
  <c r="O32" i="12" s="1"/>
  <c r="F32" i="12"/>
  <c r="L31" i="12"/>
  <c r="O31" i="12" s="1"/>
  <c r="F31" i="12"/>
  <c r="L30" i="12"/>
  <c r="O30" i="12" s="1"/>
  <c r="F30" i="12"/>
  <c r="L29" i="12"/>
  <c r="O29" i="12" s="1"/>
  <c r="F29" i="12"/>
  <c r="L28" i="12"/>
  <c r="O28" i="12" s="1"/>
  <c r="F28" i="12"/>
  <c r="L27" i="12"/>
  <c r="O27" i="12" s="1"/>
  <c r="F27" i="12"/>
  <c r="L26" i="12"/>
  <c r="O26" i="12" s="1"/>
  <c r="F26" i="12"/>
  <c r="L25" i="12"/>
  <c r="O25" i="12" s="1"/>
  <c r="K24" i="12"/>
  <c r="L24" i="12" s="1"/>
  <c r="O24" i="12" s="1"/>
  <c r="L23" i="12"/>
  <c r="O23" i="12" s="1"/>
  <c r="F23" i="12"/>
  <c r="L22" i="12"/>
  <c r="O22" i="12" s="1"/>
  <c r="F22" i="12"/>
  <c r="L21" i="12"/>
  <c r="O21" i="12" s="1"/>
  <c r="F21" i="12"/>
  <c r="D20" i="12"/>
  <c r="L19" i="12"/>
  <c r="O19" i="12" s="1"/>
  <c r="F19" i="12"/>
  <c r="L18" i="12"/>
  <c r="O18" i="12" s="1"/>
  <c r="F18" i="12"/>
  <c r="L17" i="12"/>
  <c r="O17" i="12" s="1"/>
  <c r="F17" i="12"/>
  <c r="L16" i="12"/>
  <c r="O16" i="12" s="1"/>
  <c r="F16" i="12"/>
  <c r="L15" i="12"/>
  <c r="O15" i="12" s="1"/>
  <c r="F15" i="12"/>
  <c r="D14" i="12"/>
  <c r="L14" i="12" s="1"/>
  <c r="O14" i="12" s="1"/>
  <c r="L13" i="12"/>
  <c r="O13" i="12" s="1"/>
  <c r="F13" i="12"/>
  <c r="L12" i="12"/>
  <c r="O12" i="12" s="1"/>
  <c r="F12" i="12"/>
  <c r="L11" i="12"/>
  <c r="O11" i="12" s="1"/>
  <c r="F11" i="12"/>
  <c r="D10" i="12"/>
  <c r="L9" i="12"/>
  <c r="O9" i="12" s="1"/>
  <c r="F9" i="12"/>
  <c r="F8" i="12"/>
  <c r="D8" i="12"/>
  <c r="L8" i="12" s="1"/>
  <c r="O8" i="12" s="1"/>
  <c r="P8" i="14" l="1"/>
  <c r="M344" i="14"/>
  <c r="P344" i="14" s="1"/>
  <c r="M219" i="14"/>
  <c r="P219" i="14" s="1"/>
  <c r="M139" i="14"/>
  <c r="P139" i="14" s="1"/>
  <c r="M164" i="14"/>
  <c r="P164" i="14" s="1"/>
  <c r="M291" i="14"/>
  <c r="P291" i="14" s="1"/>
  <c r="G135" i="14"/>
  <c r="G172" i="14"/>
  <c r="M388" i="14"/>
  <c r="P388" i="14" s="1"/>
  <c r="M323" i="14"/>
  <c r="P323" i="14" s="1"/>
  <c r="M239" i="14"/>
  <c r="P239" i="14" s="1"/>
  <c r="K393" i="14"/>
  <c r="M392" i="14"/>
  <c r="P392" i="14" s="1"/>
  <c r="K139" i="14"/>
  <c r="K161" i="14"/>
  <c r="M183" i="14"/>
  <c r="P183" i="14" s="1"/>
  <c r="K241" i="14"/>
  <c r="M161" i="14"/>
  <c r="P161" i="14" s="1"/>
  <c r="M179" i="14"/>
  <c r="P179" i="14" s="1"/>
  <c r="K89" i="14"/>
  <c r="M293" i="14"/>
  <c r="P293" i="14" s="1"/>
  <c r="M244" i="14"/>
  <c r="P244" i="14" s="1"/>
  <c r="M53" i="14"/>
  <c r="P53" i="14" s="1"/>
  <c r="K180" i="14"/>
  <c r="M103" i="14"/>
  <c r="P103" i="14" s="1"/>
  <c r="M133" i="14"/>
  <c r="P133" i="14" s="1"/>
  <c r="K270" i="14"/>
  <c r="K333" i="14"/>
  <c r="K366" i="14"/>
  <c r="M390" i="14"/>
  <c r="P390" i="14" s="1"/>
  <c r="M163" i="14"/>
  <c r="P163" i="14" s="1"/>
  <c r="M250" i="14"/>
  <c r="P250" i="14" s="1"/>
  <c r="G160" i="14"/>
  <c r="M95" i="14"/>
  <c r="P95" i="14" s="1"/>
  <c r="G193" i="14"/>
  <c r="G14" i="14"/>
  <c r="M157" i="14"/>
  <c r="P157" i="14" s="1"/>
  <c r="G165" i="14"/>
  <c r="K179" i="14"/>
  <c r="G291" i="14"/>
  <c r="G296" i="14"/>
  <c r="M389" i="14"/>
  <c r="P389" i="14" s="1"/>
  <c r="G20" i="14"/>
  <c r="K157" i="14"/>
  <c r="K244" i="14"/>
  <c r="K391" i="14"/>
  <c r="M162" i="14"/>
  <c r="P162" i="14" s="1"/>
  <c r="G309" i="14"/>
  <c r="G94" i="14"/>
  <c r="G138" i="14"/>
  <c r="G182" i="14"/>
  <c r="G34" i="14"/>
  <c r="G53" i="14"/>
  <c r="G106" i="14"/>
  <c r="G177" i="14"/>
  <c r="G218" i="14"/>
  <c r="G269" i="14"/>
  <c r="K340" i="14"/>
  <c r="L296" i="12"/>
  <c r="O296" i="12" s="1"/>
  <c r="L389" i="12"/>
  <c r="O389" i="12" s="1"/>
  <c r="L391" i="12"/>
  <c r="O391" i="12" s="1"/>
  <c r="L160" i="12"/>
  <c r="O160" i="12" s="1"/>
  <c r="P338" i="13"/>
  <c r="O333" i="12"/>
  <c r="M162" i="13"/>
  <c r="P162" i="13" s="1"/>
  <c r="O341" i="12"/>
  <c r="P334" i="13"/>
  <c r="L182" i="12"/>
  <c r="O182" i="12" s="1"/>
  <c r="O339" i="12"/>
  <c r="L34" i="12"/>
  <c r="O34" i="12" s="1"/>
  <c r="L94" i="12"/>
  <c r="O94" i="12" s="1"/>
  <c r="L89" i="12"/>
  <c r="O89" i="12" s="1"/>
  <c r="O332" i="12"/>
  <c r="M53" i="13"/>
  <c r="P53" i="13" s="1"/>
  <c r="P337" i="13"/>
  <c r="L193" i="12"/>
  <c r="O193" i="12" s="1"/>
  <c r="O337" i="12"/>
  <c r="J241" i="12"/>
  <c r="O338" i="12"/>
  <c r="M164" i="13"/>
  <c r="P164" i="13" s="1"/>
  <c r="M193" i="13"/>
  <c r="P193" i="13" s="1"/>
  <c r="P339" i="13"/>
  <c r="L138" i="12"/>
  <c r="O138" i="12" s="1"/>
  <c r="L161" i="12"/>
  <c r="O161" i="12" s="1"/>
  <c r="L218" i="12"/>
  <c r="O218" i="12" s="1"/>
  <c r="M218" i="13"/>
  <c r="P218" i="13" s="1"/>
  <c r="M293" i="13"/>
  <c r="P293" i="13" s="1"/>
  <c r="M309" i="13"/>
  <c r="P309" i="13" s="1"/>
  <c r="F95" i="12"/>
  <c r="L106" i="12"/>
  <c r="O106" i="12" s="1"/>
  <c r="G165" i="13"/>
  <c r="J323" i="13"/>
  <c r="K323" i="13" s="1"/>
  <c r="P335" i="13"/>
  <c r="M389" i="13"/>
  <c r="P389" i="13" s="1"/>
  <c r="M179" i="13"/>
  <c r="P179" i="13" s="1"/>
  <c r="L157" i="12"/>
  <c r="O157" i="12" s="1"/>
  <c r="J250" i="12"/>
  <c r="K180" i="13"/>
  <c r="P336" i="13"/>
  <c r="K390" i="13"/>
  <c r="P340" i="13"/>
  <c r="J270" i="12"/>
  <c r="J389" i="12"/>
  <c r="G138" i="13"/>
  <c r="G162" i="13"/>
  <c r="M172" i="13"/>
  <c r="P172" i="13" s="1"/>
  <c r="M239" i="13"/>
  <c r="P239" i="13" s="1"/>
  <c r="P332" i="13"/>
  <c r="L53" i="12"/>
  <c r="O53" i="12" s="1"/>
  <c r="L163" i="12"/>
  <c r="O163" i="12" s="1"/>
  <c r="K89" i="13"/>
  <c r="K270" i="13"/>
  <c r="M291" i="13"/>
  <c r="P291" i="13" s="1"/>
  <c r="M133" i="13"/>
  <c r="P133" i="13" s="1"/>
  <c r="G182" i="13"/>
  <c r="P333" i="13"/>
  <c r="O323" i="12"/>
  <c r="M139" i="13"/>
  <c r="G10" i="13"/>
  <c r="K344" i="13"/>
  <c r="M344" i="13"/>
  <c r="P344" i="13" s="1"/>
  <c r="M20" i="13"/>
  <c r="P20" i="13" s="1"/>
  <c r="G95" i="13"/>
  <c r="M244" i="13"/>
  <c r="P244" i="13" s="1"/>
  <c r="M366" i="13"/>
  <c r="P366" i="13" s="1"/>
  <c r="K366" i="13"/>
  <c r="K388" i="13"/>
  <c r="M388" i="13"/>
  <c r="P388" i="13" s="1"/>
  <c r="M296" i="13"/>
  <c r="P296" i="13" s="1"/>
  <c r="G296" i="13"/>
  <c r="G14" i="13"/>
  <c r="M103" i="13"/>
  <c r="P103" i="13" s="1"/>
  <c r="G103" i="13"/>
  <c r="M135" i="13"/>
  <c r="P135" i="13" s="1"/>
  <c r="G135" i="13"/>
  <c r="K161" i="13"/>
  <c r="M161" i="13"/>
  <c r="P161" i="13" s="1"/>
  <c r="M34" i="13"/>
  <c r="P34" i="13" s="1"/>
  <c r="M160" i="13"/>
  <c r="P160" i="13" s="1"/>
  <c r="G160" i="13"/>
  <c r="G163" i="13"/>
  <c r="M163" i="13"/>
  <c r="P163" i="13" s="1"/>
  <c r="K392" i="13"/>
  <c r="M250" i="13"/>
  <c r="P250" i="13" s="1"/>
  <c r="K391" i="13"/>
  <c r="K393" i="13"/>
  <c r="L20" i="12"/>
  <c r="O20" i="12" s="1"/>
  <c r="F20" i="12"/>
  <c r="L135" i="12"/>
  <c r="O135" i="12" s="1"/>
  <c r="F135" i="12"/>
  <c r="L164" i="12"/>
  <c r="O164" i="12" s="1"/>
  <c r="F164" i="12"/>
  <c r="L172" i="12"/>
  <c r="O172" i="12" s="1"/>
  <c r="F172" i="12"/>
  <c r="L103" i="12"/>
  <c r="O103" i="12" s="1"/>
  <c r="F103" i="12"/>
  <c r="F177" i="12"/>
  <c r="L177" i="12"/>
  <c r="O177" i="12" s="1"/>
  <c r="L179" i="12"/>
  <c r="O179" i="12" s="1"/>
  <c r="J179" i="12"/>
  <c r="L10" i="12"/>
  <c r="O10" i="12" s="1"/>
  <c r="F10" i="12"/>
  <c r="I405" i="12"/>
  <c r="J161" i="12"/>
  <c r="L162" i="12"/>
  <c r="O162" i="12" s="1"/>
  <c r="L388" i="12"/>
  <c r="O388" i="12" s="1"/>
  <c r="J388" i="12"/>
  <c r="F14" i="12"/>
  <c r="F133" i="12"/>
  <c r="L139" i="12"/>
  <c r="F165" i="12"/>
  <c r="L219" i="12"/>
  <c r="O219" i="12" s="1"/>
  <c r="L269" i="12"/>
  <c r="O269" i="12" s="1"/>
  <c r="F269" i="12"/>
  <c r="L291" i="12"/>
  <c r="O291" i="12" s="1"/>
  <c r="F291" i="12"/>
  <c r="L309" i="12"/>
  <c r="O309" i="12" s="1"/>
  <c r="F309" i="12"/>
  <c r="L392" i="12"/>
  <c r="O392" i="12" s="1"/>
  <c r="J392" i="12"/>
  <c r="L366" i="12"/>
  <c r="O366" i="12" s="1"/>
  <c r="J366" i="12"/>
  <c r="L344" i="12"/>
  <c r="O344" i="12" s="1"/>
  <c r="J344" i="12"/>
  <c r="F183" i="12"/>
  <c r="L293" i="12"/>
  <c r="O293" i="12" s="1"/>
  <c r="F293" i="12"/>
  <c r="L393" i="12"/>
  <c r="O393" i="12" s="1"/>
  <c r="J393" i="12"/>
  <c r="L390" i="12"/>
  <c r="O390" i="12" s="1"/>
  <c r="L244" i="12"/>
  <c r="O244" i="12" s="1"/>
  <c r="K75" i="11"/>
  <c r="K53" i="11"/>
  <c r="K54" i="11"/>
  <c r="L54" i="11" s="1"/>
  <c r="O54" i="11" s="1"/>
  <c r="K76" i="11"/>
  <c r="K92" i="11"/>
  <c r="L92" i="11" s="1"/>
  <c r="O92" i="11" s="1"/>
  <c r="K391" i="11"/>
  <c r="K326" i="11"/>
  <c r="L326" i="11" s="1"/>
  <c r="O326" i="11" s="1"/>
  <c r="L75" i="11"/>
  <c r="O75" i="11" s="1"/>
  <c r="K239" i="11"/>
  <c r="K24" i="11"/>
  <c r="K250" i="11"/>
  <c r="K8" i="11"/>
  <c r="K179" i="11"/>
  <c r="K119" i="11"/>
  <c r="K390" i="11"/>
  <c r="K180" i="11"/>
  <c r="K244" i="11"/>
  <c r="K323" i="11"/>
  <c r="K130" i="11"/>
  <c r="L130" i="11" s="1"/>
  <c r="O130" i="11" s="1"/>
  <c r="K388" i="11"/>
  <c r="N405" i="11"/>
  <c r="M405" i="11"/>
  <c r="L404" i="11"/>
  <c r="O404" i="11" s="1"/>
  <c r="L403" i="11"/>
  <c r="L402" i="11"/>
  <c r="O402" i="11" s="1"/>
  <c r="J402" i="11"/>
  <c r="L401" i="11"/>
  <c r="O401" i="11" s="1"/>
  <c r="J401" i="11"/>
  <c r="L400" i="11"/>
  <c r="O400" i="11" s="1"/>
  <c r="J400" i="11"/>
  <c r="L399" i="11"/>
  <c r="O399" i="11" s="1"/>
  <c r="J399" i="11"/>
  <c r="L398" i="11"/>
  <c r="O398" i="11" s="1"/>
  <c r="J398" i="11"/>
  <c r="L397" i="11"/>
  <c r="O397" i="11" s="1"/>
  <c r="J397" i="11"/>
  <c r="L396" i="11"/>
  <c r="O396" i="11" s="1"/>
  <c r="J396" i="11"/>
  <c r="L395" i="11"/>
  <c r="O395" i="11" s="1"/>
  <c r="J395" i="11"/>
  <c r="L394" i="11"/>
  <c r="O394" i="11" s="1"/>
  <c r="J394" i="11"/>
  <c r="H393" i="11"/>
  <c r="L393" i="11" s="1"/>
  <c r="O393" i="11" s="1"/>
  <c r="H392" i="11"/>
  <c r="L392" i="11" s="1"/>
  <c r="O392" i="11" s="1"/>
  <c r="H391" i="11"/>
  <c r="J391" i="11" s="1"/>
  <c r="H390" i="11"/>
  <c r="J390" i="11" s="1"/>
  <c r="K389" i="11"/>
  <c r="H389" i="11"/>
  <c r="H388" i="11"/>
  <c r="J388" i="11" s="1"/>
  <c r="L387" i="11"/>
  <c r="O387" i="11" s="1"/>
  <c r="L386" i="11"/>
  <c r="O386" i="11" s="1"/>
  <c r="L385" i="11"/>
  <c r="O385" i="11" s="1"/>
  <c r="L384" i="11"/>
  <c r="O384" i="11" s="1"/>
  <c r="J384" i="11"/>
  <c r="L383" i="11"/>
  <c r="O383" i="11" s="1"/>
  <c r="J383" i="11"/>
  <c r="L382" i="11"/>
  <c r="O382" i="11" s="1"/>
  <c r="J382" i="11"/>
  <c r="L381" i="11"/>
  <c r="O381" i="11" s="1"/>
  <c r="J381" i="11"/>
  <c r="L380" i="11"/>
  <c r="O380" i="11" s="1"/>
  <c r="J380" i="11"/>
  <c r="L379" i="11"/>
  <c r="O379" i="11" s="1"/>
  <c r="J379" i="11"/>
  <c r="L378" i="11"/>
  <c r="O378" i="11" s="1"/>
  <c r="J378" i="11"/>
  <c r="L377" i="11"/>
  <c r="O377" i="11" s="1"/>
  <c r="J377" i="11"/>
  <c r="L376" i="11"/>
  <c r="O376" i="11" s="1"/>
  <c r="J376" i="11"/>
  <c r="L375" i="11"/>
  <c r="O375" i="11" s="1"/>
  <c r="J375" i="11"/>
  <c r="L374" i="11"/>
  <c r="O374" i="11" s="1"/>
  <c r="J374" i="11"/>
  <c r="L373" i="11"/>
  <c r="O373" i="11" s="1"/>
  <c r="J373" i="11"/>
  <c r="L372" i="11"/>
  <c r="O372" i="11" s="1"/>
  <c r="J372" i="11"/>
  <c r="L371" i="11"/>
  <c r="O371" i="11" s="1"/>
  <c r="J371" i="11"/>
  <c r="L370" i="11"/>
  <c r="O370" i="11" s="1"/>
  <c r="J370" i="11"/>
  <c r="L369" i="11"/>
  <c r="O369" i="11" s="1"/>
  <c r="J369" i="11"/>
  <c r="L368" i="11"/>
  <c r="O368" i="11" s="1"/>
  <c r="J368" i="11"/>
  <c r="L367" i="11"/>
  <c r="O367" i="11" s="1"/>
  <c r="J367" i="11"/>
  <c r="H366" i="11"/>
  <c r="L366" i="11" s="1"/>
  <c r="O366" i="11" s="1"/>
  <c r="L365" i="11"/>
  <c r="O365" i="11" s="1"/>
  <c r="J365" i="11"/>
  <c r="L364" i="11"/>
  <c r="O364" i="11" s="1"/>
  <c r="J364" i="11"/>
  <c r="L363" i="11"/>
  <c r="O363" i="11" s="1"/>
  <c r="J363" i="11"/>
  <c r="L362" i="11"/>
  <c r="O362" i="11" s="1"/>
  <c r="J362" i="11"/>
  <c r="O361" i="11"/>
  <c r="L361" i="11"/>
  <c r="J361" i="11"/>
  <c r="L360" i="11"/>
  <c r="O360" i="11" s="1"/>
  <c r="J360" i="11"/>
  <c r="L359" i="11"/>
  <c r="O359" i="11" s="1"/>
  <c r="J359" i="11"/>
  <c r="L358" i="11"/>
  <c r="O358" i="11" s="1"/>
  <c r="J358" i="11"/>
  <c r="L357" i="11"/>
  <c r="O357" i="11" s="1"/>
  <c r="J357" i="11"/>
  <c r="L356" i="11"/>
  <c r="O356" i="11" s="1"/>
  <c r="J356" i="11"/>
  <c r="L355" i="11"/>
  <c r="O355" i="11" s="1"/>
  <c r="J355" i="11"/>
  <c r="L354" i="11"/>
  <c r="O354" i="11" s="1"/>
  <c r="J354" i="11"/>
  <c r="L353" i="11"/>
  <c r="O353" i="11" s="1"/>
  <c r="J353" i="11"/>
  <c r="L352" i="11"/>
  <c r="O352" i="11" s="1"/>
  <c r="J352" i="11"/>
  <c r="L351" i="11"/>
  <c r="O351" i="11" s="1"/>
  <c r="J351" i="11"/>
  <c r="O350" i="11"/>
  <c r="L350" i="11"/>
  <c r="J350" i="11"/>
  <c r="L349" i="11"/>
  <c r="O349" i="11" s="1"/>
  <c r="J349" i="11"/>
  <c r="L348" i="11"/>
  <c r="O348" i="11" s="1"/>
  <c r="J348" i="11"/>
  <c r="L347" i="11"/>
  <c r="O347" i="11" s="1"/>
  <c r="J347" i="11"/>
  <c r="L346" i="11"/>
  <c r="O346" i="11" s="1"/>
  <c r="J346" i="11"/>
  <c r="O345" i="11"/>
  <c r="L345" i="11"/>
  <c r="J345" i="11"/>
  <c r="K344" i="11"/>
  <c r="H344" i="11"/>
  <c r="K343" i="11"/>
  <c r="L343" i="11" s="1"/>
  <c r="O343" i="11" s="1"/>
  <c r="J343" i="11"/>
  <c r="L342" i="11"/>
  <c r="O342" i="11" s="1"/>
  <c r="J342" i="11"/>
  <c r="L341" i="11"/>
  <c r="I341" i="11"/>
  <c r="J341" i="11" s="1"/>
  <c r="L340" i="11"/>
  <c r="O340" i="11" s="1"/>
  <c r="I340" i="11"/>
  <c r="J340" i="11" s="1"/>
  <c r="L339" i="11"/>
  <c r="I339" i="11"/>
  <c r="J339" i="11" s="1"/>
  <c r="L338" i="11"/>
  <c r="I338" i="11"/>
  <c r="J338" i="11" s="1"/>
  <c r="L337" i="11"/>
  <c r="I337" i="11"/>
  <c r="J337" i="11" s="1"/>
  <c r="L336" i="11"/>
  <c r="I336" i="11"/>
  <c r="J336" i="11" s="1"/>
  <c r="L335" i="11"/>
  <c r="I335" i="11"/>
  <c r="J335" i="11" s="1"/>
  <c r="L334" i="11"/>
  <c r="O334" i="11" s="1"/>
  <c r="I334" i="11"/>
  <c r="J334" i="11" s="1"/>
  <c r="L333" i="11"/>
  <c r="I333" i="11"/>
  <c r="J333" i="11" s="1"/>
  <c r="L332" i="11"/>
  <c r="I332" i="11"/>
  <c r="J332" i="11" s="1"/>
  <c r="K331" i="11"/>
  <c r="L331" i="11" s="1"/>
  <c r="O331" i="11" s="1"/>
  <c r="J331" i="11"/>
  <c r="L330" i="11"/>
  <c r="O330" i="11" s="1"/>
  <c r="K329" i="11"/>
  <c r="L329" i="11" s="1"/>
  <c r="O329" i="11" s="1"/>
  <c r="J329" i="11"/>
  <c r="K328" i="11"/>
  <c r="L328" i="11" s="1"/>
  <c r="O328" i="11" s="1"/>
  <c r="J328" i="11"/>
  <c r="K327" i="11"/>
  <c r="L327" i="11" s="1"/>
  <c r="O327" i="11" s="1"/>
  <c r="J327" i="11"/>
  <c r="K325" i="11"/>
  <c r="L325" i="11" s="1"/>
  <c r="O325" i="11" s="1"/>
  <c r="L324" i="11"/>
  <c r="O324" i="11" s="1"/>
  <c r="H323" i="11"/>
  <c r="L322" i="11"/>
  <c r="O322" i="11" s="1"/>
  <c r="L321" i="11"/>
  <c r="O321" i="11" s="1"/>
  <c r="L320" i="11"/>
  <c r="O320" i="11" s="1"/>
  <c r="L319" i="11"/>
  <c r="O319" i="11" s="1"/>
  <c r="F319" i="11"/>
  <c r="K318" i="11"/>
  <c r="L318" i="11" s="1"/>
  <c r="O318" i="11" s="1"/>
  <c r="K317" i="11"/>
  <c r="L317" i="11" s="1"/>
  <c r="O317" i="11" s="1"/>
  <c r="K316" i="11"/>
  <c r="L316" i="11" s="1"/>
  <c r="O316" i="11" s="1"/>
  <c r="L315" i="11"/>
  <c r="O315" i="11" s="1"/>
  <c r="D314" i="11"/>
  <c r="L314" i="11" s="1"/>
  <c r="O314" i="11" s="1"/>
  <c r="L313" i="11"/>
  <c r="O313" i="11" s="1"/>
  <c r="L312" i="11"/>
  <c r="O312" i="11" s="1"/>
  <c r="L311" i="11"/>
  <c r="O311" i="11" s="1"/>
  <c r="F311" i="11"/>
  <c r="L310" i="11"/>
  <c r="O310" i="11" s="1"/>
  <c r="F310" i="11"/>
  <c r="D309" i="11"/>
  <c r="L309" i="11" s="1"/>
  <c r="O309" i="11" s="1"/>
  <c r="L308" i="11"/>
  <c r="O308" i="11" s="1"/>
  <c r="F308" i="11"/>
  <c r="L307" i="11"/>
  <c r="O307" i="11" s="1"/>
  <c r="F307" i="11"/>
  <c r="L306" i="11"/>
  <c r="O306" i="11" s="1"/>
  <c r="F306" i="11"/>
  <c r="L305" i="11"/>
  <c r="O305" i="11" s="1"/>
  <c r="F305" i="11"/>
  <c r="L304" i="11"/>
  <c r="O304" i="11" s="1"/>
  <c r="F304" i="11"/>
  <c r="K303" i="11"/>
  <c r="L303" i="11" s="1"/>
  <c r="O303" i="11" s="1"/>
  <c r="J303" i="11"/>
  <c r="F303" i="11"/>
  <c r="L302" i="11"/>
  <c r="O302" i="11" s="1"/>
  <c r="F302" i="11"/>
  <c r="L301" i="11"/>
  <c r="O301" i="11" s="1"/>
  <c r="F301" i="11"/>
  <c r="L300" i="11"/>
  <c r="O300" i="11" s="1"/>
  <c r="F300" i="11"/>
  <c r="L299" i="11"/>
  <c r="O299" i="11" s="1"/>
  <c r="F299" i="11"/>
  <c r="L298" i="11"/>
  <c r="O298" i="11" s="1"/>
  <c r="F298" i="11"/>
  <c r="L297" i="11"/>
  <c r="O297" i="11" s="1"/>
  <c r="F297" i="11"/>
  <c r="D296" i="11"/>
  <c r="L296" i="11" s="1"/>
  <c r="O296" i="11" s="1"/>
  <c r="L295" i="11"/>
  <c r="O295" i="11" s="1"/>
  <c r="F295" i="11"/>
  <c r="L294" i="11"/>
  <c r="O294" i="11" s="1"/>
  <c r="F294" i="11"/>
  <c r="F293" i="11"/>
  <c r="D293" i="11"/>
  <c r="L293" i="11" s="1"/>
  <c r="O293" i="11" s="1"/>
  <c r="L292" i="11"/>
  <c r="O292" i="11" s="1"/>
  <c r="F292" i="11"/>
  <c r="K291" i="11"/>
  <c r="D291" i="11"/>
  <c r="L290" i="11"/>
  <c r="O290" i="11" s="1"/>
  <c r="F290" i="11"/>
  <c r="L289" i="11"/>
  <c r="O289" i="11" s="1"/>
  <c r="J289" i="11"/>
  <c r="L288" i="11"/>
  <c r="O288" i="11" s="1"/>
  <c r="L287" i="11"/>
  <c r="O287" i="11" s="1"/>
  <c r="L286" i="11"/>
  <c r="O286" i="11" s="1"/>
  <c r="F286" i="11"/>
  <c r="L285" i="11"/>
  <c r="O285" i="11" s="1"/>
  <c r="F285" i="11"/>
  <c r="L284" i="11"/>
  <c r="O284" i="11" s="1"/>
  <c r="F284" i="11"/>
  <c r="L283" i="11"/>
  <c r="O283" i="11" s="1"/>
  <c r="F283" i="11"/>
  <c r="L282" i="11"/>
  <c r="O282" i="11" s="1"/>
  <c r="F282" i="11"/>
  <c r="L281" i="11"/>
  <c r="O281" i="11" s="1"/>
  <c r="F281" i="11"/>
  <c r="L280" i="11"/>
  <c r="O280" i="11" s="1"/>
  <c r="F280" i="11"/>
  <c r="L279" i="11"/>
  <c r="O279" i="11" s="1"/>
  <c r="F279" i="11"/>
  <c r="L278" i="11"/>
  <c r="O278" i="11" s="1"/>
  <c r="F278" i="11"/>
  <c r="L277" i="11"/>
  <c r="O277" i="11" s="1"/>
  <c r="F277" i="11"/>
  <c r="L276" i="11"/>
  <c r="O276" i="11" s="1"/>
  <c r="F276" i="11"/>
  <c r="L275" i="11"/>
  <c r="O275" i="11" s="1"/>
  <c r="J275" i="11"/>
  <c r="F275" i="11"/>
  <c r="L274" i="11"/>
  <c r="O274" i="11" s="1"/>
  <c r="F274" i="11"/>
  <c r="L273" i="11"/>
  <c r="O273" i="11" s="1"/>
  <c r="K272" i="11"/>
  <c r="L272" i="11" s="1"/>
  <c r="O272" i="11" s="1"/>
  <c r="F272" i="11"/>
  <c r="L271" i="11"/>
  <c r="O271" i="11" s="1"/>
  <c r="F271" i="11"/>
  <c r="H270" i="11"/>
  <c r="J270" i="11" s="1"/>
  <c r="F270" i="11"/>
  <c r="D269" i="11"/>
  <c r="L269" i="11" s="1"/>
  <c r="O269" i="11" s="1"/>
  <c r="L268" i="11"/>
  <c r="O268" i="11" s="1"/>
  <c r="J268" i="11"/>
  <c r="F268" i="11"/>
  <c r="L267" i="11"/>
  <c r="O267" i="11" s="1"/>
  <c r="J267" i="11"/>
  <c r="F267" i="11"/>
  <c r="L266" i="11"/>
  <c r="O266" i="11" s="1"/>
  <c r="F266" i="11"/>
  <c r="L265" i="11"/>
  <c r="O265" i="11" s="1"/>
  <c r="F265" i="11"/>
  <c r="O264" i="11"/>
  <c r="L264" i="11"/>
  <c r="F264" i="11"/>
  <c r="L263" i="11"/>
  <c r="O263" i="11" s="1"/>
  <c r="F263" i="11"/>
  <c r="L262" i="11"/>
  <c r="O262" i="11" s="1"/>
  <c r="F262" i="11"/>
  <c r="L261" i="11"/>
  <c r="O261" i="11" s="1"/>
  <c r="F261" i="11"/>
  <c r="L260" i="11"/>
  <c r="O260" i="11" s="1"/>
  <c r="F260" i="11"/>
  <c r="L259" i="11"/>
  <c r="O259" i="11" s="1"/>
  <c r="F259" i="11"/>
  <c r="L258" i="11"/>
  <c r="O258" i="11" s="1"/>
  <c r="F258" i="11"/>
  <c r="L257" i="11"/>
  <c r="O257" i="11" s="1"/>
  <c r="F257" i="11"/>
  <c r="L256" i="11"/>
  <c r="O256" i="11" s="1"/>
  <c r="F256" i="11"/>
  <c r="L255" i="11"/>
  <c r="O255" i="11" s="1"/>
  <c r="F255" i="11"/>
  <c r="L254" i="11"/>
  <c r="O254" i="11" s="1"/>
  <c r="F254" i="11"/>
  <c r="L253" i="11"/>
  <c r="O253" i="11" s="1"/>
  <c r="F253" i="11"/>
  <c r="L252" i="11"/>
  <c r="O252" i="11" s="1"/>
  <c r="F252" i="11"/>
  <c r="K251" i="11"/>
  <c r="L251" i="11" s="1"/>
  <c r="O251" i="11" s="1"/>
  <c r="J251" i="11"/>
  <c r="F251" i="11"/>
  <c r="H250" i="11"/>
  <c r="F250" i="11"/>
  <c r="L249" i="11"/>
  <c r="O249" i="11" s="1"/>
  <c r="J249" i="11"/>
  <c r="F249" i="11"/>
  <c r="L248" i="11"/>
  <c r="O248" i="11" s="1"/>
  <c r="J248" i="11"/>
  <c r="F248" i="11"/>
  <c r="L247" i="11"/>
  <c r="O247" i="11" s="1"/>
  <c r="J247" i="11"/>
  <c r="F247" i="11"/>
  <c r="L246" i="11"/>
  <c r="O246" i="11" s="1"/>
  <c r="J246" i="11"/>
  <c r="F246" i="11"/>
  <c r="L245" i="11"/>
  <c r="O245" i="11" s="1"/>
  <c r="J245" i="11"/>
  <c r="F245" i="11"/>
  <c r="I244" i="11"/>
  <c r="J244" i="11" s="1"/>
  <c r="H244" i="11"/>
  <c r="F244" i="11"/>
  <c r="L243" i="11"/>
  <c r="O243" i="11" s="1"/>
  <c r="J243" i="11"/>
  <c r="F243" i="11"/>
  <c r="L242" i="11"/>
  <c r="O242" i="11" s="1"/>
  <c r="J242" i="11"/>
  <c r="F242" i="11"/>
  <c r="L241" i="11"/>
  <c r="O241" i="11" s="1"/>
  <c r="H241" i="11"/>
  <c r="J241" i="11" s="1"/>
  <c r="F241" i="11"/>
  <c r="L240" i="11"/>
  <c r="O240" i="11" s="1"/>
  <c r="J240" i="11"/>
  <c r="F240" i="11"/>
  <c r="H239" i="11"/>
  <c r="F239" i="11"/>
  <c r="L238" i="11"/>
  <c r="O238" i="11" s="1"/>
  <c r="F238" i="11"/>
  <c r="L237" i="11"/>
  <c r="O237" i="11" s="1"/>
  <c r="F237" i="11"/>
  <c r="L236" i="11"/>
  <c r="O236" i="11" s="1"/>
  <c r="F236" i="11"/>
  <c r="L235" i="11"/>
  <c r="O235" i="11" s="1"/>
  <c r="F235" i="11"/>
  <c r="L234" i="11"/>
  <c r="O234" i="11" s="1"/>
  <c r="F234" i="11"/>
  <c r="L233" i="11"/>
  <c r="O233" i="11" s="1"/>
  <c r="J233" i="11"/>
  <c r="F233" i="11"/>
  <c r="L232" i="11"/>
  <c r="O232" i="11" s="1"/>
  <c r="F232" i="11"/>
  <c r="L231" i="11"/>
  <c r="O231" i="11" s="1"/>
  <c r="F231" i="11"/>
  <c r="L230" i="11"/>
  <c r="O230" i="11" s="1"/>
  <c r="F230" i="11"/>
  <c r="L229" i="11"/>
  <c r="O229" i="11" s="1"/>
  <c r="F229" i="11"/>
  <c r="L228" i="11"/>
  <c r="O228" i="11" s="1"/>
  <c r="F228" i="11"/>
  <c r="L227" i="11"/>
  <c r="O227" i="11" s="1"/>
  <c r="F227" i="11"/>
  <c r="L226" i="11"/>
  <c r="O226" i="11" s="1"/>
  <c r="F226" i="11"/>
  <c r="L225" i="11"/>
  <c r="O225" i="11" s="1"/>
  <c r="F225" i="11"/>
  <c r="L224" i="11"/>
  <c r="O224" i="11" s="1"/>
  <c r="F224" i="11"/>
  <c r="L223" i="11"/>
  <c r="O223" i="11" s="1"/>
  <c r="F223" i="11"/>
  <c r="L222" i="11"/>
  <c r="O222" i="11" s="1"/>
  <c r="F222" i="11"/>
  <c r="L221" i="11"/>
  <c r="O221" i="11" s="1"/>
  <c r="F221" i="11"/>
  <c r="L220" i="11"/>
  <c r="O220" i="11" s="1"/>
  <c r="F220" i="11"/>
  <c r="L219" i="11"/>
  <c r="O219" i="11" s="1"/>
  <c r="F219" i="11"/>
  <c r="D219" i="11"/>
  <c r="D218" i="11"/>
  <c r="L218" i="11" s="1"/>
  <c r="O218" i="11" s="1"/>
  <c r="L217" i="11"/>
  <c r="O217" i="11" s="1"/>
  <c r="F217" i="11"/>
  <c r="L216" i="11"/>
  <c r="O216" i="11" s="1"/>
  <c r="F216" i="11"/>
  <c r="L215" i="11"/>
  <c r="O215" i="11" s="1"/>
  <c r="F215" i="11"/>
  <c r="L214" i="11"/>
  <c r="O214" i="11" s="1"/>
  <c r="F214" i="11"/>
  <c r="L213" i="11"/>
  <c r="O213" i="11" s="1"/>
  <c r="F213" i="11"/>
  <c r="L212" i="11"/>
  <c r="O212" i="11" s="1"/>
  <c r="F212" i="11"/>
  <c r="L211" i="11"/>
  <c r="O211" i="11" s="1"/>
  <c r="F211" i="11"/>
  <c r="L210" i="11"/>
  <c r="O210" i="11" s="1"/>
  <c r="F210" i="11"/>
  <c r="L209" i="11"/>
  <c r="O209" i="11" s="1"/>
  <c r="F209" i="11"/>
  <c r="L208" i="11"/>
  <c r="O208" i="11" s="1"/>
  <c r="F208" i="11"/>
  <c r="L207" i="11"/>
  <c r="O207" i="11" s="1"/>
  <c r="F207" i="11"/>
  <c r="L206" i="11"/>
  <c r="O206" i="11" s="1"/>
  <c r="F206" i="11"/>
  <c r="L205" i="11"/>
  <c r="O205" i="11" s="1"/>
  <c r="F205" i="11"/>
  <c r="L204" i="11"/>
  <c r="O204" i="11" s="1"/>
  <c r="F204" i="11"/>
  <c r="L203" i="11"/>
  <c r="O203" i="11" s="1"/>
  <c r="F203" i="11"/>
  <c r="L202" i="11"/>
  <c r="O202" i="11" s="1"/>
  <c r="F202" i="11"/>
  <c r="L201" i="11"/>
  <c r="O201" i="11" s="1"/>
  <c r="L200" i="11"/>
  <c r="O200" i="11" s="1"/>
  <c r="J200" i="11"/>
  <c r="F200" i="11"/>
  <c r="L199" i="11"/>
  <c r="O199" i="11" s="1"/>
  <c r="L198" i="11"/>
  <c r="O198" i="11" s="1"/>
  <c r="J198" i="11"/>
  <c r="F198" i="11"/>
  <c r="L197" i="11"/>
  <c r="O197" i="11" s="1"/>
  <c r="F197" i="11"/>
  <c r="L196" i="11"/>
  <c r="O196" i="11" s="1"/>
  <c r="F196" i="11"/>
  <c r="L195" i="11"/>
  <c r="O195" i="11" s="1"/>
  <c r="F195" i="11"/>
  <c r="L194" i="11"/>
  <c r="O194" i="11" s="1"/>
  <c r="F194" i="11"/>
  <c r="D193" i="11"/>
  <c r="L193" i="11" s="1"/>
  <c r="O193" i="11" s="1"/>
  <c r="L192" i="11"/>
  <c r="O192" i="11" s="1"/>
  <c r="F192" i="11"/>
  <c r="L191" i="11"/>
  <c r="O191" i="11" s="1"/>
  <c r="F191" i="11"/>
  <c r="L190" i="11"/>
  <c r="O190" i="11" s="1"/>
  <c r="F190" i="11"/>
  <c r="L189" i="11"/>
  <c r="O189" i="11" s="1"/>
  <c r="F189" i="11"/>
  <c r="L188" i="11"/>
  <c r="O188" i="11" s="1"/>
  <c r="F188" i="11"/>
  <c r="L187" i="11"/>
  <c r="O187" i="11" s="1"/>
  <c r="F187" i="11"/>
  <c r="L186" i="11"/>
  <c r="O186" i="11" s="1"/>
  <c r="F186" i="11"/>
  <c r="L185" i="11"/>
  <c r="O185" i="11" s="1"/>
  <c r="F185" i="11"/>
  <c r="L184" i="11"/>
  <c r="O184" i="11" s="1"/>
  <c r="F184" i="11"/>
  <c r="D183" i="11"/>
  <c r="L183" i="11" s="1"/>
  <c r="O183" i="11" s="1"/>
  <c r="D182" i="11"/>
  <c r="L182" i="11" s="1"/>
  <c r="O182" i="11" s="1"/>
  <c r="L181" i="11"/>
  <c r="O181" i="11" s="1"/>
  <c r="F181" i="11"/>
  <c r="H180" i="11"/>
  <c r="F180" i="11"/>
  <c r="H179" i="11"/>
  <c r="L179" i="11" s="1"/>
  <c r="O179" i="11" s="1"/>
  <c r="F179" i="11"/>
  <c r="L178" i="11"/>
  <c r="O178" i="11" s="1"/>
  <c r="F178" i="11"/>
  <c r="D177" i="11"/>
  <c r="F177" i="11" s="1"/>
  <c r="L176" i="11"/>
  <c r="O176" i="11" s="1"/>
  <c r="F176" i="11"/>
  <c r="L175" i="11"/>
  <c r="O175" i="11" s="1"/>
  <c r="F175" i="11"/>
  <c r="L174" i="11"/>
  <c r="O174" i="11" s="1"/>
  <c r="F174" i="11"/>
  <c r="L173" i="11"/>
  <c r="O173" i="11" s="1"/>
  <c r="F173" i="11"/>
  <c r="D172" i="11"/>
  <c r="L172" i="11" s="1"/>
  <c r="O172" i="11" s="1"/>
  <c r="L171" i="11"/>
  <c r="O171" i="11" s="1"/>
  <c r="F171" i="11"/>
  <c r="K170" i="11"/>
  <c r="L170" i="11" s="1"/>
  <c r="O170" i="11" s="1"/>
  <c r="F170" i="11"/>
  <c r="L169" i="11"/>
  <c r="O169" i="11" s="1"/>
  <c r="J169" i="11"/>
  <c r="F169" i="11"/>
  <c r="K168" i="11"/>
  <c r="L168" i="11" s="1"/>
  <c r="O168" i="11" s="1"/>
  <c r="F168" i="11"/>
  <c r="L167" i="11"/>
  <c r="O167" i="11" s="1"/>
  <c r="L166" i="11"/>
  <c r="O166" i="11" s="1"/>
  <c r="D165" i="11"/>
  <c r="L165" i="11" s="1"/>
  <c r="O165" i="11" s="1"/>
  <c r="K164" i="11"/>
  <c r="D164" i="11"/>
  <c r="K163" i="11"/>
  <c r="D163" i="11"/>
  <c r="F163" i="11" s="1"/>
  <c r="H162" i="11"/>
  <c r="J162" i="11" s="1"/>
  <c r="D162" i="11"/>
  <c r="F162" i="11" s="1"/>
  <c r="K161" i="11"/>
  <c r="I161" i="11"/>
  <c r="H161" i="11"/>
  <c r="F161" i="11"/>
  <c r="L160" i="11"/>
  <c r="O160" i="11" s="1"/>
  <c r="D160" i="11"/>
  <c r="F160" i="11" s="1"/>
  <c r="L159" i="11"/>
  <c r="O159" i="11" s="1"/>
  <c r="F159" i="11"/>
  <c r="L158" i="11"/>
  <c r="O158" i="11" s="1"/>
  <c r="F158" i="11"/>
  <c r="K157" i="11"/>
  <c r="H157" i="11"/>
  <c r="L157" i="11" s="1"/>
  <c r="O157" i="11" s="1"/>
  <c r="F157" i="11"/>
  <c r="L156" i="11"/>
  <c r="O156" i="11" s="1"/>
  <c r="F156" i="11"/>
  <c r="L155" i="11"/>
  <c r="O155" i="11" s="1"/>
  <c r="F155" i="11"/>
  <c r="O154" i="11"/>
  <c r="L154" i="11"/>
  <c r="F154" i="11"/>
  <c r="L153" i="11"/>
  <c r="O153" i="11" s="1"/>
  <c r="F153" i="11"/>
  <c r="L152" i="11"/>
  <c r="O152" i="11" s="1"/>
  <c r="L151" i="11"/>
  <c r="O151" i="11" s="1"/>
  <c r="F151" i="11"/>
  <c r="L150" i="11"/>
  <c r="O150" i="11" s="1"/>
  <c r="F150" i="11"/>
  <c r="L149" i="11"/>
  <c r="O149" i="11" s="1"/>
  <c r="D148" i="11"/>
  <c r="L148" i="11" s="1"/>
  <c r="O148" i="11" s="1"/>
  <c r="L147" i="11"/>
  <c r="O147" i="11" s="1"/>
  <c r="F147" i="11"/>
  <c r="L146" i="11"/>
  <c r="O146" i="11" s="1"/>
  <c r="F146" i="11"/>
  <c r="L145" i="11"/>
  <c r="O145" i="11" s="1"/>
  <c r="L144" i="11"/>
  <c r="O144" i="11" s="1"/>
  <c r="L143" i="11"/>
  <c r="O143" i="11" s="1"/>
  <c r="F143" i="11"/>
  <c r="L142" i="11"/>
  <c r="O142" i="11" s="1"/>
  <c r="L141" i="11"/>
  <c r="O141" i="11" s="1"/>
  <c r="F141" i="11"/>
  <c r="L140" i="11"/>
  <c r="O140" i="11" s="1"/>
  <c r="F140" i="11"/>
  <c r="K139" i="11"/>
  <c r="O139" i="11" s="1"/>
  <c r="H139" i="11"/>
  <c r="F139" i="11"/>
  <c r="D138" i="11"/>
  <c r="L138" i="11" s="1"/>
  <c r="O138" i="11" s="1"/>
  <c r="L137" i="11"/>
  <c r="O137" i="11" s="1"/>
  <c r="F137" i="11"/>
  <c r="L136" i="11"/>
  <c r="O136" i="11" s="1"/>
  <c r="F136" i="11"/>
  <c r="D135" i="11"/>
  <c r="L135" i="11" s="1"/>
  <c r="O135" i="11" s="1"/>
  <c r="L134" i="11"/>
  <c r="O134" i="11" s="1"/>
  <c r="F134" i="11"/>
  <c r="D133" i="11"/>
  <c r="F133" i="11" s="1"/>
  <c r="L132" i="11"/>
  <c r="O132" i="11" s="1"/>
  <c r="F132" i="11"/>
  <c r="L131" i="11"/>
  <c r="O131" i="11" s="1"/>
  <c r="F131" i="11"/>
  <c r="F130" i="11"/>
  <c r="L129" i="11"/>
  <c r="O129" i="11" s="1"/>
  <c r="F129" i="11"/>
  <c r="L128" i="11"/>
  <c r="O128" i="11" s="1"/>
  <c r="F128" i="11"/>
  <c r="L127" i="11"/>
  <c r="O127" i="11" s="1"/>
  <c r="F127" i="11"/>
  <c r="L126" i="11"/>
  <c r="O126" i="11" s="1"/>
  <c r="F126" i="11"/>
  <c r="L125" i="11"/>
  <c r="O125" i="11" s="1"/>
  <c r="F125" i="11"/>
  <c r="K124" i="11"/>
  <c r="L124" i="11" s="1"/>
  <c r="O124" i="11" s="1"/>
  <c r="F124" i="11"/>
  <c r="L123" i="11"/>
  <c r="O123" i="11" s="1"/>
  <c r="F123" i="11"/>
  <c r="L122" i="11"/>
  <c r="O122" i="11" s="1"/>
  <c r="F122" i="11"/>
  <c r="L121" i="11"/>
  <c r="O121" i="11" s="1"/>
  <c r="J121" i="11"/>
  <c r="F121" i="11"/>
  <c r="L120" i="11"/>
  <c r="O120" i="11" s="1"/>
  <c r="F120" i="11"/>
  <c r="L119" i="11"/>
  <c r="O119" i="11" s="1"/>
  <c r="F119" i="11"/>
  <c r="K118" i="11"/>
  <c r="L118" i="11" s="1"/>
  <c r="O118" i="11" s="1"/>
  <c r="F118" i="11"/>
  <c r="L117" i="11"/>
  <c r="O117" i="11" s="1"/>
  <c r="F117" i="11"/>
  <c r="L116" i="11"/>
  <c r="O116" i="11" s="1"/>
  <c r="F116" i="11"/>
  <c r="O115" i="11"/>
  <c r="L115" i="11"/>
  <c r="F115" i="11"/>
  <c r="L114" i="11"/>
  <c r="O114" i="11" s="1"/>
  <c r="F114" i="11"/>
  <c r="L113" i="11"/>
  <c r="O113" i="11" s="1"/>
  <c r="F113" i="11"/>
  <c r="L112" i="11"/>
  <c r="O112" i="11" s="1"/>
  <c r="F112" i="11"/>
  <c r="L111" i="11"/>
  <c r="O111" i="11" s="1"/>
  <c r="F111" i="11"/>
  <c r="L110" i="11"/>
  <c r="O110" i="11" s="1"/>
  <c r="F110" i="11"/>
  <c r="L109" i="11"/>
  <c r="O109" i="11" s="1"/>
  <c r="F109" i="11"/>
  <c r="L108" i="11"/>
  <c r="O108" i="11" s="1"/>
  <c r="F108" i="11"/>
  <c r="L107" i="11"/>
  <c r="O107" i="11" s="1"/>
  <c r="F107" i="11"/>
  <c r="D106" i="11"/>
  <c r="L106" i="11" s="1"/>
  <c r="O106" i="11" s="1"/>
  <c r="L105" i="11"/>
  <c r="O105" i="11" s="1"/>
  <c r="F105" i="11"/>
  <c r="L104" i="11"/>
  <c r="O104" i="11" s="1"/>
  <c r="F104" i="11"/>
  <c r="D103" i="11"/>
  <c r="L103" i="11" s="1"/>
  <c r="O103" i="11" s="1"/>
  <c r="L102" i="11"/>
  <c r="O102" i="11" s="1"/>
  <c r="F102" i="11"/>
  <c r="L101" i="11"/>
  <c r="O101" i="11" s="1"/>
  <c r="F101" i="11"/>
  <c r="L100" i="11"/>
  <c r="O100" i="11" s="1"/>
  <c r="F100" i="11"/>
  <c r="L99" i="11"/>
  <c r="O99" i="11" s="1"/>
  <c r="F99" i="11"/>
  <c r="L98" i="11"/>
  <c r="O98" i="11" s="1"/>
  <c r="F98" i="11"/>
  <c r="L97" i="11"/>
  <c r="O97" i="11" s="1"/>
  <c r="F97" i="11"/>
  <c r="L96" i="11"/>
  <c r="O96" i="11" s="1"/>
  <c r="F96" i="11"/>
  <c r="D95" i="11"/>
  <c r="L95" i="11" s="1"/>
  <c r="O95" i="11" s="1"/>
  <c r="D94" i="11"/>
  <c r="L94" i="11" s="1"/>
  <c r="O94" i="11" s="1"/>
  <c r="L93" i="11"/>
  <c r="O93" i="11" s="1"/>
  <c r="F93" i="11"/>
  <c r="F92" i="11"/>
  <c r="L91" i="11"/>
  <c r="O91" i="11" s="1"/>
  <c r="F91" i="11"/>
  <c r="L90" i="11"/>
  <c r="O90" i="11" s="1"/>
  <c r="F90" i="11"/>
  <c r="H89" i="11"/>
  <c r="J89" i="11" s="1"/>
  <c r="F89" i="11"/>
  <c r="L88" i="11"/>
  <c r="O88" i="11" s="1"/>
  <c r="L87" i="11"/>
  <c r="O87" i="11" s="1"/>
  <c r="J87" i="11"/>
  <c r="F87" i="11"/>
  <c r="L86" i="11"/>
  <c r="O86" i="11" s="1"/>
  <c r="F86" i="11"/>
  <c r="L85" i="11"/>
  <c r="O85" i="11" s="1"/>
  <c r="F85" i="11"/>
  <c r="L84" i="11"/>
  <c r="O84" i="11" s="1"/>
  <c r="F84" i="11"/>
  <c r="L83" i="11"/>
  <c r="O83" i="11" s="1"/>
  <c r="F83" i="11"/>
  <c r="L82" i="11"/>
  <c r="O82" i="11" s="1"/>
  <c r="F82" i="11"/>
  <c r="L81" i="11"/>
  <c r="O81" i="11" s="1"/>
  <c r="F81" i="11"/>
  <c r="L80" i="11"/>
  <c r="O80" i="11" s="1"/>
  <c r="J80" i="11"/>
  <c r="F80" i="11"/>
  <c r="L79" i="11"/>
  <c r="O79" i="11" s="1"/>
  <c r="F79" i="11"/>
  <c r="L78" i="11"/>
  <c r="O78" i="11" s="1"/>
  <c r="F78" i="11"/>
  <c r="L77" i="11"/>
  <c r="O77" i="11" s="1"/>
  <c r="F77" i="11"/>
  <c r="L76" i="11"/>
  <c r="O76" i="11" s="1"/>
  <c r="F76" i="11"/>
  <c r="F75" i="11"/>
  <c r="L74" i="11"/>
  <c r="O74" i="11" s="1"/>
  <c r="F74" i="11"/>
  <c r="L73" i="11"/>
  <c r="O73" i="11" s="1"/>
  <c r="F73" i="11"/>
  <c r="L72" i="11"/>
  <c r="O72" i="11" s="1"/>
  <c r="F72" i="11"/>
  <c r="L71" i="11"/>
  <c r="O71" i="11" s="1"/>
  <c r="F71" i="11"/>
  <c r="L70" i="11"/>
  <c r="O70" i="11" s="1"/>
  <c r="F70" i="11"/>
  <c r="L69" i="11"/>
  <c r="O69" i="11" s="1"/>
  <c r="F69" i="11"/>
  <c r="L68" i="11"/>
  <c r="O68" i="11" s="1"/>
  <c r="F68" i="11"/>
  <c r="L67" i="11"/>
  <c r="O67" i="11" s="1"/>
  <c r="F67" i="11"/>
  <c r="L66" i="11"/>
  <c r="O66" i="11" s="1"/>
  <c r="F66" i="11"/>
  <c r="L65" i="11"/>
  <c r="O65" i="11" s="1"/>
  <c r="J65" i="11"/>
  <c r="F65" i="11"/>
  <c r="L64" i="11"/>
  <c r="O64" i="11" s="1"/>
  <c r="J64" i="11"/>
  <c r="L63" i="11"/>
  <c r="O63" i="11" s="1"/>
  <c r="J63" i="11"/>
  <c r="L62" i="11"/>
  <c r="O62" i="11" s="1"/>
  <c r="J62" i="11"/>
  <c r="L61" i="11"/>
  <c r="O61" i="11" s="1"/>
  <c r="J61" i="11"/>
  <c r="F61" i="11"/>
  <c r="L60" i="11"/>
  <c r="O60" i="11" s="1"/>
  <c r="J60" i="11"/>
  <c r="F60" i="11"/>
  <c r="L59" i="11"/>
  <c r="O59" i="11" s="1"/>
  <c r="J59" i="11"/>
  <c r="F59" i="11"/>
  <c r="L58" i="11"/>
  <c r="O58" i="11" s="1"/>
  <c r="J58" i="11"/>
  <c r="F58" i="11"/>
  <c r="L57" i="11"/>
  <c r="O57" i="11" s="1"/>
  <c r="J57" i="11"/>
  <c r="F57" i="11"/>
  <c r="L56" i="11"/>
  <c r="O56" i="11" s="1"/>
  <c r="J56" i="11"/>
  <c r="F56" i="11"/>
  <c r="K55" i="11"/>
  <c r="L55" i="11" s="1"/>
  <c r="O55" i="11" s="1"/>
  <c r="J55" i="11"/>
  <c r="F55" i="11"/>
  <c r="F54" i="11"/>
  <c r="D53" i="11"/>
  <c r="L53" i="11" s="1"/>
  <c r="O53" i="11" s="1"/>
  <c r="L52" i="11"/>
  <c r="O52" i="11" s="1"/>
  <c r="F52" i="11"/>
  <c r="L51" i="11"/>
  <c r="O51" i="11" s="1"/>
  <c r="F51" i="11"/>
  <c r="L50" i="11"/>
  <c r="O50" i="11" s="1"/>
  <c r="F50" i="11"/>
  <c r="L49" i="11"/>
  <c r="O49" i="11" s="1"/>
  <c r="F49" i="11"/>
  <c r="L48" i="11"/>
  <c r="O48" i="11" s="1"/>
  <c r="F48" i="11"/>
  <c r="L47" i="11"/>
  <c r="O47" i="11" s="1"/>
  <c r="F47" i="11"/>
  <c r="L46" i="11"/>
  <c r="O46" i="11" s="1"/>
  <c r="F46" i="11"/>
  <c r="L45" i="11"/>
  <c r="O45" i="11" s="1"/>
  <c r="F45" i="11"/>
  <c r="L44" i="11"/>
  <c r="O44" i="11" s="1"/>
  <c r="F44" i="11"/>
  <c r="K43" i="11"/>
  <c r="L43" i="11" s="1"/>
  <c r="O43" i="11" s="1"/>
  <c r="F43" i="11"/>
  <c r="L42" i="11"/>
  <c r="O42" i="11" s="1"/>
  <c r="F42" i="11"/>
  <c r="L41" i="11"/>
  <c r="O41" i="11" s="1"/>
  <c r="J41" i="11"/>
  <c r="F41" i="11"/>
  <c r="L40" i="11"/>
  <c r="O40" i="11" s="1"/>
  <c r="F40" i="11"/>
  <c r="L39" i="11"/>
  <c r="O39" i="11" s="1"/>
  <c r="F39" i="11"/>
  <c r="L38" i="11"/>
  <c r="O38" i="11" s="1"/>
  <c r="F38" i="11"/>
  <c r="L37" i="11"/>
  <c r="O37" i="11" s="1"/>
  <c r="F37" i="11"/>
  <c r="L36" i="11"/>
  <c r="O36" i="11" s="1"/>
  <c r="F36" i="11"/>
  <c r="L35" i="11"/>
  <c r="O35" i="11" s="1"/>
  <c r="F35" i="11"/>
  <c r="D34" i="11"/>
  <c r="L34" i="11" s="1"/>
  <c r="O34" i="11" s="1"/>
  <c r="L33" i="11"/>
  <c r="O33" i="11" s="1"/>
  <c r="F33" i="11"/>
  <c r="L32" i="11"/>
  <c r="O32" i="11" s="1"/>
  <c r="F32" i="11"/>
  <c r="L31" i="11"/>
  <c r="O31" i="11" s="1"/>
  <c r="F31" i="11"/>
  <c r="L30" i="11"/>
  <c r="O30" i="11" s="1"/>
  <c r="F30" i="11"/>
  <c r="L29" i="11"/>
  <c r="O29" i="11" s="1"/>
  <c r="F29" i="11"/>
  <c r="L28" i="11"/>
  <c r="O28" i="11" s="1"/>
  <c r="F28" i="11"/>
  <c r="L27" i="11"/>
  <c r="O27" i="11" s="1"/>
  <c r="F27" i="11"/>
  <c r="L26" i="11"/>
  <c r="O26" i="11" s="1"/>
  <c r="F26" i="11"/>
  <c r="L25" i="11"/>
  <c r="O25" i="11" s="1"/>
  <c r="L24" i="11"/>
  <c r="O24" i="11" s="1"/>
  <c r="L23" i="11"/>
  <c r="O23" i="11" s="1"/>
  <c r="F23" i="11"/>
  <c r="L22" i="11"/>
  <c r="O22" i="11" s="1"/>
  <c r="F22" i="11"/>
  <c r="L21" i="11"/>
  <c r="O21" i="11" s="1"/>
  <c r="F21" i="11"/>
  <c r="D20" i="11"/>
  <c r="L20" i="11" s="1"/>
  <c r="O20" i="11" s="1"/>
  <c r="L19" i="11"/>
  <c r="O19" i="11" s="1"/>
  <c r="F19" i="11"/>
  <c r="L18" i="11"/>
  <c r="O18" i="11" s="1"/>
  <c r="F18" i="11"/>
  <c r="L17" i="11"/>
  <c r="O17" i="11" s="1"/>
  <c r="F17" i="11"/>
  <c r="L16" i="11"/>
  <c r="O16" i="11" s="1"/>
  <c r="F16" i="11"/>
  <c r="L15" i="11"/>
  <c r="O15" i="11" s="1"/>
  <c r="F15" i="11"/>
  <c r="F14" i="11"/>
  <c r="D14" i="11"/>
  <c r="L14" i="11" s="1"/>
  <c r="O14" i="11" s="1"/>
  <c r="L13" i="11"/>
  <c r="O13" i="11" s="1"/>
  <c r="F13" i="11"/>
  <c r="L12" i="11"/>
  <c r="O12" i="11" s="1"/>
  <c r="F12" i="11"/>
  <c r="L11" i="11"/>
  <c r="O11" i="11" s="1"/>
  <c r="F11" i="11"/>
  <c r="F10" i="11"/>
  <c r="D10" i="11"/>
  <c r="L10" i="11" s="1"/>
  <c r="O10" i="11" s="1"/>
  <c r="L9" i="11"/>
  <c r="O9" i="11" s="1"/>
  <c r="K9" i="11"/>
  <c r="F9" i="11"/>
  <c r="F8" i="11"/>
  <c r="D8" i="11"/>
  <c r="L8" i="11" s="1"/>
  <c r="O8" i="11" s="1"/>
  <c r="K388" i="10"/>
  <c r="K389" i="10"/>
  <c r="K391" i="10"/>
  <c r="K180" i="10"/>
  <c r="K316" i="10"/>
  <c r="L316" i="10" s="1"/>
  <c r="O316" i="10" s="1"/>
  <c r="K244" i="10"/>
  <c r="K54" i="10"/>
  <c r="L54" i="10" s="1"/>
  <c r="O54" i="10" s="1"/>
  <c r="K250" i="10"/>
  <c r="K139" i="10"/>
  <c r="O139" i="10" s="1"/>
  <c r="K130" i="10"/>
  <c r="K8" i="10"/>
  <c r="K119" i="10"/>
  <c r="L119" i="10" s="1"/>
  <c r="O119" i="10" s="1"/>
  <c r="K92" i="10"/>
  <c r="L290" i="10"/>
  <c r="O290" i="10" s="1"/>
  <c r="F290" i="10"/>
  <c r="L290" i="9"/>
  <c r="O290" i="9" s="1"/>
  <c r="F290" i="9"/>
  <c r="O326" i="7"/>
  <c r="O55" i="7"/>
  <c r="K323" i="10"/>
  <c r="K179" i="10"/>
  <c r="K76" i="10"/>
  <c r="K75" i="10"/>
  <c r="J402" i="10"/>
  <c r="L402" i="10"/>
  <c r="O402" i="10" s="1"/>
  <c r="J401" i="10"/>
  <c r="L401" i="10"/>
  <c r="O401" i="10" s="1"/>
  <c r="J400" i="10"/>
  <c r="L400" i="10"/>
  <c r="O400" i="10" s="1"/>
  <c r="J399" i="10"/>
  <c r="L399" i="10"/>
  <c r="O399" i="10" s="1"/>
  <c r="J398" i="10"/>
  <c r="J397" i="10"/>
  <c r="J396" i="10"/>
  <c r="L394" i="10"/>
  <c r="O394" i="10" s="1"/>
  <c r="L395" i="10"/>
  <c r="O395" i="10" s="1"/>
  <c r="L396" i="10"/>
  <c r="O396" i="10" s="1"/>
  <c r="L397" i="10"/>
  <c r="O397" i="10" s="1"/>
  <c r="L398" i="10"/>
  <c r="O398" i="10" s="1"/>
  <c r="L403" i="10"/>
  <c r="L404" i="10"/>
  <c r="O404" i="10" s="1"/>
  <c r="J394" i="10"/>
  <c r="J395" i="10"/>
  <c r="H393" i="10"/>
  <c r="J393" i="10" s="1"/>
  <c r="H392" i="10"/>
  <c r="J392" i="10" s="1"/>
  <c r="H344" i="10"/>
  <c r="H250" i="10"/>
  <c r="H391" i="10"/>
  <c r="J391" i="10" s="1"/>
  <c r="H390" i="10"/>
  <c r="L390" i="10" s="1"/>
  <c r="O390" i="10" s="1"/>
  <c r="H179" i="10"/>
  <c r="J179" i="10" s="1"/>
  <c r="H180" i="10"/>
  <c r="H389" i="10"/>
  <c r="L389" i="10" s="1"/>
  <c r="O389" i="10" s="1"/>
  <c r="H388" i="10"/>
  <c r="L388" i="10" s="1"/>
  <c r="O388" i="10" s="1"/>
  <c r="N405" i="10"/>
  <c r="M405" i="10"/>
  <c r="L387" i="10"/>
  <c r="O387" i="10" s="1"/>
  <c r="L386" i="10"/>
  <c r="O386" i="10" s="1"/>
  <c r="L385" i="10"/>
  <c r="O385" i="10" s="1"/>
  <c r="L384" i="10"/>
  <c r="O384" i="10" s="1"/>
  <c r="J384" i="10"/>
  <c r="L383" i="10"/>
  <c r="O383" i="10" s="1"/>
  <c r="J383" i="10"/>
  <c r="L382" i="10"/>
  <c r="O382" i="10" s="1"/>
  <c r="J382" i="10"/>
  <c r="L381" i="10"/>
  <c r="O381" i="10" s="1"/>
  <c r="J381" i="10"/>
  <c r="L380" i="10"/>
  <c r="O380" i="10" s="1"/>
  <c r="J380" i="10"/>
  <c r="L379" i="10"/>
  <c r="O379" i="10" s="1"/>
  <c r="J379" i="10"/>
  <c r="L378" i="10"/>
  <c r="O378" i="10" s="1"/>
  <c r="J378" i="10"/>
  <c r="L377" i="10"/>
  <c r="O377" i="10" s="1"/>
  <c r="J377" i="10"/>
  <c r="L376" i="10"/>
  <c r="O376" i="10" s="1"/>
  <c r="J376" i="10"/>
  <c r="L375" i="10"/>
  <c r="O375" i="10" s="1"/>
  <c r="J375" i="10"/>
  <c r="L374" i="10"/>
  <c r="O374" i="10" s="1"/>
  <c r="J374" i="10"/>
  <c r="L373" i="10"/>
  <c r="O373" i="10" s="1"/>
  <c r="J373" i="10"/>
  <c r="L372" i="10"/>
  <c r="O372" i="10" s="1"/>
  <c r="J372" i="10"/>
  <c r="L371" i="10"/>
  <c r="O371" i="10" s="1"/>
  <c r="J371" i="10"/>
  <c r="L370" i="10"/>
  <c r="O370" i="10" s="1"/>
  <c r="J370" i="10"/>
  <c r="L369" i="10"/>
  <c r="O369" i="10" s="1"/>
  <c r="J369" i="10"/>
  <c r="L368" i="10"/>
  <c r="O368" i="10" s="1"/>
  <c r="J368" i="10"/>
  <c r="L367" i="10"/>
  <c r="O367" i="10" s="1"/>
  <c r="J367" i="10"/>
  <c r="H366" i="10"/>
  <c r="J366" i="10" s="1"/>
  <c r="L365" i="10"/>
  <c r="O365" i="10" s="1"/>
  <c r="J365" i="10"/>
  <c r="L364" i="10"/>
  <c r="O364" i="10" s="1"/>
  <c r="J364" i="10"/>
  <c r="L363" i="10"/>
  <c r="O363" i="10" s="1"/>
  <c r="J363" i="10"/>
  <c r="L362" i="10"/>
  <c r="O362" i="10" s="1"/>
  <c r="J362" i="10"/>
  <c r="L361" i="10"/>
  <c r="O361" i="10" s="1"/>
  <c r="J361" i="10"/>
  <c r="L360" i="10"/>
  <c r="O360" i="10" s="1"/>
  <c r="J360" i="10"/>
  <c r="L359" i="10"/>
  <c r="O359" i="10" s="1"/>
  <c r="J359" i="10"/>
  <c r="L358" i="10"/>
  <c r="O358" i="10" s="1"/>
  <c r="J358" i="10"/>
  <c r="L357" i="10"/>
  <c r="O357" i="10" s="1"/>
  <c r="J357" i="10"/>
  <c r="L356" i="10"/>
  <c r="O356" i="10" s="1"/>
  <c r="J356" i="10"/>
  <c r="L355" i="10"/>
  <c r="O355" i="10" s="1"/>
  <c r="J355" i="10"/>
  <c r="L354" i="10"/>
  <c r="O354" i="10" s="1"/>
  <c r="J354" i="10"/>
  <c r="L353" i="10"/>
  <c r="O353" i="10" s="1"/>
  <c r="J353" i="10"/>
  <c r="L352" i="10"/>
  <c r="O352" i="10" s="1"/>
  <c r="J352" i="10"/>
  <c r="L351" i="10"/>
  <c r="O351" i="10" s="1"/>
  <c r="J351" i="10"/>
  <c r="L350" i="10"/>
  <c r="O350" i="10" s="1"/>
  <c r="J350" i="10"/>
  <c r="L349" i="10"/>
  <c r="O349" i="10" s="1"/>
  <c r="J349" i="10"/>
  <c r="L348" i="10"/>
  <c r="O348" i="10" s="1"/>
  <c r="J348" i="10"/>
  <c r="L347" i="10"/>
  <c r="O347" i="10" s="1"/>
  <c r="J347" i="10"/>
  <c r="L346" i="10"/>
  <c r="O346" i="10" s="1"/>
  <c r="J346" i="10"/>
  <c r="L345" i="10"/>
  <c r="O345" i="10" s="1"/>
  <c r="J345" i="10"/>
  <c r="K344" i="10"/>
  <c r="L344" i="10" s="1"/>
  <c r="O344" i="10" s="1"/>
  <c r="J344" i="10"/>
  <c r="K343" i="10"/>
  <c r="L343" i="10" s="1"/>
  <c r="O343" i="10" s="1"/>
  <c r="J343" i="10"/>
  <c r="L342" i="10"/>
  <c r="O342" i="10" s="1"/>
  <c r="J342" i="10"/>
  <c r="L341" i="10"/>
  <c r="I341" i="10"/>
  <c r="J341" i="10" s="1"/>
  <c r="L340" i="10"/>
  <c r="I340" i="10"/>
  <c r="J340" i="10" s="1"/>
  <c r="L339" i="10"/>
  <c r="I339" i="10"/>
  <c r="J339" i="10" s="1"/>
  <c r="L338" i="10"/>
  <c r="I338" i="10"/>
  <c r="J338" i="10" s="1"/>
  <c r="L337" i="10"/>
  <c r="I337" i="10"/>
  <c r="J337" i="10" s="1"/>
  <c r="L336" i="10"/>
  <c r="I336" i="10"/>
  <c r="J336" i="10" s="1"/>
  <c r="L335" i="10"/>
  <c r="I335" i="10"/>
  <c r="J335" i="10" s="1"/>
  <c r="L334" i="10"/>
  <c r="I334" i="10"/>
  <c r="J334" i="10" s="1"/>
  <c r="L333" i="10"/>
  <c r="I333" i="10"/>
  <c r="J333" i="10" s="1"/>
  <c r="L332" i="10"/>
  <c r="I332" i="10"/>
  <c r="J332" i="10" s="1"/>
  <c r="K331" i="10"/>
  <c r="L331" i="10" s="1"/>
  <c r="O331" i="10" s="1"/>
  <c r="J331" i="10"/>
  <c r="L330" i="10"/>
  <c r="O330" i="10" s="1"/>
  <c r="K329" i="10"/>
  <c r="L329" i="10" s="1"/>
  <c r="O329" i="10" s="1"/>
  <c r="J329" i="10"/>
  <c r="K328" i="10"/>
  <c r="L328" i="10" s="1"/>
  <c r="O328" i="10" s="1"/>
  <c r="J328" i="10"/>
  <c r="K327" i="10"/>
  <c r="L327" i="10" s="1"/>
  <c r="O327" i="10" s="1"/>
  <c r="J327" i="10"/>
  <c r="K326" i="10"/>
  <c r="L326" i="10" s="1"/>
  <c r="O326" i="10" s="1"/>
  <c r="K325" i="10"/>
  <c r="L325" i="10" s="1"/>
  <c r="O325" i="10" s="1"/>
  <c r="L324" i="10"/>
  <c r="O324" i="10" s="1"/>
  <c r="H323" i="10"/>
  <c r="I323" i="10" s="1"/>
  <c r="L322" i="10"/>
  <c r="O322" i="10" s="1"/>
  <c r="L321" i="10"/>
  <c r="O321" i="10" s="1"/>
  <c r="L320" i="10"/>
  <c r="O320" i="10" s="1"/>
  <c r="L319" i="10"/>
  <c r="O319" i="10" s="1"/>
  <c r="F319" i="10"/>
  <c r="K318" i="10"/>
  <c r="L318" i="10" s="1"/>
  <c r="O318" i="10" s="1"/>
  <c r="K317" i="10"/>
  <c r="L317" i="10" s="1"/>
  <c r="O317" i="10" s="1"/>
  <c r="L315" i="10"/>
  <c r="O315" i="10" s="1"/>
  <c r="D314" i="10"/>
  <c r="L314" i="10" s="1"/>
  <c r="O314" i="10" s="1"/>
  <c r="L313" i="10"/>
  <c r="O313" i="10" s="1"/>
  <c r="L312" i="10"/>
  <c r="O312" i="10" s="1"/>
  <c r="L311" i="10"/>
  <c r="O311" i="10" s="1"/>
  <c r="F311" i="10"/>
  <c r="L310" i="10"/>
  <c r="O310" i="10" s="1"/>
  <c r="F310" i="10"/>
  <c r="D309" i="10"/>
  <c r="F309" i="10" s="1"/>
  <c r="L308" i="10"/>
  <c r="O308" i="10" s="1"/>
  <c r="F308" i="10"/>
  <c r="L307" i="10"/>
  <c r="O307" i="10" s="1"/>
  <c r="F307" i="10"/>
  <c r="L306" i="10"/>
  <c r="O306" i="10" s="1"/>
  <c r="F306" i="10"/>
  <c r="L305" i="10"/>
  <c r="O305" i="10" s="1"/>
  <c r="F305" i="10"/>
  <c r="L304" i="10"/>
  <c r="O304" i="10" s="1"/>
  <c r="F304" i="10"/>
  <c r="K303" i="10"/>
  <c r="L303" i="10" s="1"/>
  <c r="O303" i="10" s="1"/>
  <c r="J303" i="10"/>
  <c r="F303" i="10"/>
  <c r="L302" i="10"/>
  <c r="O302" i="10" s="1"/>
  <c r="F302" i="10"/>
  <c r="L301" i="10"/>
  <c r="O301" i="10" s="1"/>
  <c r="F301" i="10"/>
  <c r="L300" i="10"/>
  <c r="O300" i="10" s="1"/>
  <c r="F300" i="10"/>
  <c r="L299" i="10"/>
  <c r="O299" i="10" s="1"/>
  <c r="F299" i="10"/>
  <c r="L298" i="10"/>
  <c r="O298" i="10" s="1"/>
  <c r="F298" i="10"/>
  <c r="L297" i="10"/>
  <c r="O297" i="10" s="1"/>
  <c r="F297" i="10"/>
  <c r="D296" i="10"/>
  <c r="L296" i="10" s="1"/>
  <c r="O296" i="10" s="1"/>
  <c r="L295" i="10"/>
  <c r="O295" i="10" s="1"/>
  <c r="F295" i="10"/>
  <c r="L294" i="10"/>
  <c r="O294" i="10" s="1"/>
  <c r="F294" i="10"/>
  <c r="D293" i="10"/>
  <c r="L293" i="10" s="1"/>
  <c r="O293" i="10" s="1"/>
  <c r="L292" i="10"/>
  <c r="O292" i="10" s="1"/>
  <c r="F292" i="10"/>
  <c r="K291" i="10"/>
  <c r="D291" i="10"/>
  <c r="L289" i="10"/>
  <c r="O289" i="10" s="1"/>
  <c r="J289" i="10"/>
  <c r="L288" i="10"/>
  <c r="O288" i="10" s="1"/>
  <c r="L287" i="10"/>
  <c r="O287" i="10" s="1"/>
  <c r="L286" i="10"/>
  <c r="O286" i="10" s="1"/>
  <c r="F286" i="10"/>
  <c r="L285" i="10"/>
  <c r="O285" i="10" s="1"/>
  <c r="F285" i="10"/>
  <c r="L284" i="10"/>
  <c r="O284" i="10" s="1"/>
  <c r="F284" i="10"/>
  <c r="L283" i="10"/>
  <c r="O283" i="10" s="1"/>
  <c r="F283" i="10"/>
  <c r="L282" i="10"/>
  <c r="O282" i="10" s="1"/>
  <c r="F282" i="10"/>
  <c r="L281" i="10"/>
  <c r="O281" i="10" s="1"/>
  <c r="F281" i="10"/>
  <c r="L280" i="10"/>
  <c r="O280" i="10" s="1"/>
  <c r="F280" i="10"/>
  <c r="L279" i="10"/>
  <c r="O279" i="10" s="1"/>
  <c r="F279" i="10"/>
  <c r="L278" i="10"/>
  <c r="O278" i="10" s="1"/>
  <c r="F278" i="10"/>
  <c r="L277" i="10"/>
  <c r="O277" i="10" s="1"/>
  <c r="F277" i="10"/>
  <c r="L276" i="10"/>
  <c r="O276" i="10" s="1"/>
  <c r="F276" i="10"/>
  <c r="L275" i="10"/>
  <c r="O275" i="10" s="1"/>
  <c r="J275" i="10"/>
  <c r="F275" i="10"/>
  <c r="L274" i="10"/>
  <c r="O274" i="10" s="1"/>
  <c r="F274" i="10"/>
  <c r="L273" i="10"/>
  <c r="O273" i="10" s="1"/>
  <c r="K272" i="10"/>
  <c r="L272" i="10" s="1"/>
  <c r="O272" i="10" s="1"/>
  <c r="F272" i="10"/>
  <c r="L271" i="10"/>
  <c r="O271" i="10" s="1"/>
  <c r="F271" i="10"/>
  <c r="H270" i="10"/>
  <c r="J270" i="10" s="1"/>
  <c r="F270" i="10"/>
  <c r="F269" i="10"/>
  <c r="D269" i="10"/>
  <c r="L269" i="10" s="1"/>
  <c r="O269" i="10" s="1"/>
  <c r="L268" i="10"/>
  <c r="O268" i="10" s="1"/>
  <c r="J268" i="10"/>
  <c r="F268" i="10"/>
  <c r="L267" i="10"/>
  <c r="O267" i="10" s="1"/>
  <c r="J267" i="10"/>
  <c r="F267" i="10"/>
  <c r="L266" i="10"/>
  <c r="O266" i="10" s="1"/>
  <c r="F266" i="10"/>
  <c r="L265" i="10"/>
  <c r="O265" i="10" s="1"/>
  <c r="F265" i="10"/>
  <c r="L264" i="10"/>
  <c r="O264" i="10" s="1"/>
  <c r="F264" i="10"/>
  <c r="L263" i="10"/>
  <c r="O263" i="10" s="1"/>
  <c r="F263" i="10"/>
  <c r="L262" i="10"/>
  <c r="O262" i="10" s="1"/>
  <c r="F262" i="10"/>
  <c r="L261" i="10"/>
  <c r="O261" i="10" s="1"/>
  <c r="F261" i="10"/>
  <c r="L260" i="10"/>
  <c r="O260" i="10" s="1"/>
  <c r="F260" i="10"/>
  <c r="L259" i="10"/>
  <c r="O259" i="10" s="1"/>
  <c r="F259" i="10"/>
  <c r="L258" i="10"/>
  <c r="O258" i="10" s="1"/>
  <c r="F258" i="10"/>
  <c r="L257" i="10"/>
  <c r="O257" i="10" s="1"/>
  <c r="F257" i="10"/>
  <c r="L256" i="10"/>
  <c r="O256" i="10" s="1"/>
  <c r="F256" i="10"/>
  <c r="L255" i="10"/>
  <c r="O255" i="10" s="1"/>
  <c r="F255" i="10"/>
  <c r="L254" i="10"/>
  <c r="O254" i="10" s="1"/>
  <c r="F254" i="10"/>
  <c r="L253" i="10"/>
  <c r="O253" i="10" s="1"/>
  <c r="F253" i="10"/>
  <c r="O252" i="10"/>
  <c r="L252" i="10"/>
  <c r="F252" i="10"/>
  <c r="K251" i="10"/>
  <c r="L251" i="10" s="1"/>
  <c r="O251" i="10" s="1"/>
  <c r="J251" i="10"/>
  <c r="F251" i="10"/>
  <c r="J250" i="10"/>
  <c r="F250" i="10"/>
  <c r="L249" i="10"/>
  <c r="O249" i="10" s="1"/>
  <c r="J249" i="10"/>
  <c r="F249" i="10"/>
  <c r="L248" i="10"/>
  <c r="O248" i="10" s="1"/>
  <c r="J248" i="10"/>
  <c r="F248" i="10"/>
  <c r="L247" i="10"/>
  <c r="O247" i="10" s="1"/>
  <c r="J247" i="10"/>
  <c r="F247" i="10"/>
  <c r="L246" i="10"/>
  <c r="O246" i="10" s="1"/>
  <c r="J246" i="10"/>
  <c r="F246" i="10"/>
  <c r="L245" i="10"/>
  <c r="O245" i="10" s="1"/>
  <c r="J245" i="10"/>
  <c r="F245" i="10"/>
  <c r="H244" i="10"/>
  <c r="I244" i="10" s="1"/>
  <c r="F244" i="10"/>
  <c r="L243" i="10"/>
  <c r="O243" i="10" s="1"/>
  <c r="J243" i="10"/>
  <c r="F243" i="10"/>
  <c r="L242" i="10"/>
  <c r="O242" i="10" s="1"/>
  <c r="J242" i="10"/>
  <c r="F242" i="10"/>
  <c r="H241" i="10"/>
  <c r="L241" i="10" s="1"/>
  <c r="O241" i="10" s="1"/>
  <c r="F241" i="10"/>
  <c r="L240" i="10"/>
  <c r="O240" i="10" s="1"/>
  <c r="J240" i="10"/>
  <c r="F240" i="10"/>
  <c r="K239" i="10"/>
  <c r="H239" i="10"/>
  <c r="F239" i="10"/>
  <c r="L238" i="10"/>
  <c r="O238" i="10" s="1"/>
  <c r="F238" i="10"/>
  <c r="L237" i="10"/>
  <c r="O237" i="10" s="1"/>
  <c r="F237" i="10"/>
  <c r="L236" i="10"/>
  <c r="O236" i="10" s="1"/>
  <c r="F236" i="10"/>
  <c r="L235" i="10"/>
  <c r="O235" i="10" s="1"/>
  <c r="F235" i="10"/>
  <c r="L234" i="10"/>
  <c r="O234" i="10" s="1"/>
  <c r="F234" i="10"/>
  <c r="L233" i="10"/>
  <c r="O233" i="10" s="1"/>
  <c r="J233" i="10"/>
  <c r="F233" i="10"/>
  <c r="L232" i="10"/>
  <c r="O232" i="10" s="1"/>
  <c r="F232" i="10"/>
  <c r="L231" i="10"/>
  <c r="O231" i="10" s="1"/>
  <c r="F231" i="10"/>
  <c r="L230" i="10"/>
  <c r="O230" i="10" s="1"/>
  <c r="F230" i="10"/>
  <c r="L229" i="10"/>
  <c r="O229" i="10" s="1"/>
  <c r="F229" i="10"/>
  <c r="L228" i="10"/>
  <c r="O228" i="10" s="1"/>
  <c r="F228" i="10"/>
  <c r="L227" i="10"/>
  <c r="O227" i="10" s="1"/>
  <c r="F227" i="10"/>
  <c r="L226" i="10"/>
  <c r="O226" i="10" s="1"/>
  <c r="F226" i="10"/>
  <c r="L225" i="10"/>
  <c r="O225" i="10" s="1"/>
  <c r="F225" i="10"/>
  <c r="L224" i="10"/>
  <c r="O224" i="10" s="1"/>
  <c r="F224" i="10"/>
  <c r="L223" i="10"/>
  <c r="O223" i="10" s="1"/>
  <c r="F223" i="10"/>
  <c r="L222" i="10"/>
  <c r="O222" i="10" s="1"/>
  <c r="F222" i="10"/>
  <c r="L221" i="10"/>
  <c r="O221" i="10" s="1"/>
  <c r="F221" i="10"/>
  <c r="L220" i="10"/>
  <c r="O220" i="10" s="1"/>
  <c r="F220" i="10"/>
  <c r="D219" i="10"/>
  <c r="L219" i="10" s="1"/>
  <c r="O219" i="10" s="1"/>
  <c r="D218" i="10"/>
  <c r="L218" i="10" s="1"/>
  <c r="O218" i="10" s="1"/>
  <c r="L217" i="10"/>
  <c r="O217" i="10" s="1"/>
  <c r="F217" i="10"/>
  <c r="L216" i="10"/>
  <c r="O216" i="10" s="1"/>
  <c r="F216" i="10"/>
  <c r="L215" i="10"/>
  <c r="O215" i="10" s="1"/>
  <c r="F215" i="10"/>
  <c r="L214" i="10"/>
  <c r="O214" i="10" s="1"/>
  <c r="F214" i="10"/>
  <c r="L213" i="10"/>
  <c r="O213" i="10" s="1"/>
  <c r="F213" i="10"/>
  <c r="L212" i="10"/>
  <c r="O212" i="10" s="1"/>
  <c r="F212" i="10"/>
  <c r="L211" i="10"/>
  <c r="O211" i="10" s="1"/>
  <c r="F211" i="10"/>
  <c r="L210" i="10"/>
  <c r="O210" i="10" s="1"/>
  <c r="F210" i="10"/>
  <c r="L209" i="10"/>
  <c r="O209" i="10" s="1"/>
  <c r="F209" i="10"/>
  <c r="L208" i="10"/>
  <c r="O208" i="10" s="1"/>
  <c r="F208" i="10"/>
  <c r="L207" i="10"/>
  <c r="O207" i="10" s="1"/>
  <c r="F207" i="10"/>
  <c r="L206" i="10"/>
  <c r="O206" i="10" s="1"/>
  <c r="F206" i="10"/>
  <c r="L205" i="10"/>
  <c r="O205" i="10" s="1"/>
  <c r="F205" i="10"/>
  <c r="L204" i="10"/>
  <c r="O204" i="10" s="1"/>
  <c r="F204" i="10"/>
  <c r="L203" i="10"/>
  <c r="O203" i="10" s="1"/>
  <c r="F203" i="10"/>
  <c r="L202" i="10"/>
  <c r="O202" i="10" s="1"/>
  <c r="F202" i="10"/>
  <c r="L201" i="10"/>
  <c r="O201" i="10" s="1"/>
  <c r="L200" i="10"/>
  <c r="O200" i="10" s="1"/>
  <c r="J200" i="10"/>
  <c r="F200" i="10"/>
  <c r="L199" i="10"/>
  <c r="O199" i="10" s="1"/>
  <c r="L198" i="10"/>
  <c r="O198" i="10" s="1"/>
  <c r="J198" i="10"/>
  <c r="F198" i="10"/>
  <c r="L197" i="10"/>
  <c r="O197" i="10" s="1"/>
  <c r="F197" i="10"/>
  <c r="O196" i="10"/>
  <c r="L196" i="10"/>
  <c r="F196" i="10"/>
  <c r="L195" i="10"/>
  <c r="O195" i="10" s="1"/>
  <c r="F195" i="10"/>
  <c r="L194" i="10"/>
  <c r="O194" i="10" s="1"/>
  <c r="F194" i="10"/>
  <c r="D193" i="10"/>
  <c r="L193" i="10" s="1"/>
  <c r="O193" i="10" s="1"/>
  <c r="L192" i="10"/>
  <c r="O192" i="10" s="1"/>
  <c r="F192" i="10"/>
  <c r="L191" i="10"/>
  <c r="O191" i="10" s="1"/>
  <c r="F191" i="10"/>
  <c r="L190" i="10"/>
  <c r="O190" i="10" s="1"/>
  <c r="F190" i="10"/>
  <c r="L189" i="10"/>
  <c r="O189" i="10" s="1"/>
  <c r="F189" i="10"/>
  <c r="L188" i="10"/>
  <c r="O188" i="10" s="1"/>
  <c r="F188" i="10"/>
  <c r="L187" i="10"/>
  <c r="O187" i="10" s="1"/>
  <c r="F187" i="10"/>
  <c r="L186" i="10"/>
  <c r="O186" i="10" s="1"/>
  <c r="F186" i="10"/>
  <c r="L185" i="10"/>
  <c r="O185" i="10" s="1"/>
  <c r="F185" i="10"/>
  <c r="L184" i="10"/>
  <c r="O184" i="10" s="1"/>
  <c r="F184" i="10"/>
  <c r="D183" i="10"/>
  <c r="L183" i="10" s="1"/>
  <c r="O183" i="10" s="1"/>
  <c r="D182" i="10"/>
  <c r="L182" i="10" s="1"/>
  <c r="O182" i="10" s="1"/>
  <c r="L181" i="10"/>
  <c r="O181" i="10" s="1"/>
  <c r="F181" i="10"/>
  <c r="F180" i="10"/>
  <c r="F179" i="10"/>
  <c r="L178" i="10"/>
  <c r="O178" i="10" s="1"/>
  <c r="F178" i="10"/>
  <c r="D177" i="10"/>
  <c r="F177" i="10" s="1"/>
  <c r="L176" i="10"/>
  <c r="O176" i="10" s="1"/>
  <c r="F176" i="10"/>
  <c r="L175" i="10"/>
  <c r="O175" i="10" s="1"/>
  <c r="F175" i="10"/>
  <c r="L174" i="10"/>
  <c r="O174" i="10" s="1"/>
  <c r="F174" i="10"/>
  <c r="L173" i="10"/>
  <c r="O173" i="10" s="1"/>
  <c r="F173" i="10"/>
  <c r="D172" i="10"/>
  <c r="L172" i="10" s="1"/>
  <c r="O172" i="10" s="1"/>
  <c r="L171" i="10"/>
  <c r="O171" i="10" s="1"/>
  <c r="F171" i="10"/>
  <c r="K170" i="10"/>
  <c r="L170" i="10" s="1"/>
  <c r="O170" i="10" s="1"/>
  <c r="F170" i="10"/>
  <c r="L169" i="10"/>
  <c r="O169" i="10" s="1"/>
  <c r="J169" i="10"/>
  <c r="F169" i="10"/>
  <c r="K168" i="10"/>
  <c r="L168" i="10" s="1"/>
  <c r="O168" i="10" s="1"/>
  <c r="F168" i="10"/>
  <c r="L167" i="10"/>
  <c r="O167" i="10" s="1"/>
  <c r="L166" i="10"/>
  <c r="O166" i="10" s="1"/>
  <c r="D165" i="10"/>
  <c r="F165" i="10" s="1"/>
  <c r="K164" i="10"/>
  <c r="D164" i="10"/>
  <c r="F164" i="10" s="1"/>
  <c r="K163" i="10"/>
  <c r="D163" i="10"/>
  <c r="F163" i="10" s="1"/>
  <c r="H162" i="10"/>
  <c r="L162" i="10" s="1"/>
  <c r="O162" i="10" s="1"/>
  <c r="D162" i="10"/>
  <c r="F162" i="10" s="1"/>
  <c r="K161" i="10"/>
  <c r="I161" i="10"/>
  <c r="H161" i="10"/>
  <c r="F161" i="10"/>
  <c r="D160" i="10"/>
  <c r="L160" i="10" s="1"/>
  <c r="O160" i="10" s="1"/>
  <c r="L159" i="10"/>
  <c r="O159" i="10" s="1"/>
  <c r="F159" i="10"/>
  <c r="L158" i="10"/>
  <c r="O158" i="10" s="1"/>
  <c r="F158" i="10"/>
  <c r="K157" i="10"/>
  <c r="L157" i="10" s="1"/>
  <c r="O157" i="10" s="1"/>
  <c r="H157" i="10"/>
  <c r="J157" i="10" s="1"/>
  <c r="F157" i="10"/>
  <c r="L156" i="10"/>
  <c r="O156" i="10" s="1"/>
  <c r="F156" i="10"/>
  <c r="L155" i="10"/>
  <c r="O155" i="10" s="1"/>
  <c r="F155" i="10"/>
  <c r="L154" i="10"/>
  <c r="O154" i="10" s="1"/>
  <c r="F154" i="10"/>
  <c r="L153" i="10"/>
  <c r="O153" i="10" s="1"/>
  <c r="F153" i="10"/>
  <c r="L152" i="10"/>
  <c r="O152" i="10" s="1"/>
  <c r="L151" i="10"/>
  <c r="O151" i="10" s="1"/>
  <c r="F151" i="10"/>
  <c r="L150" i="10"/>
  <c r="O150" i="10" s="1"/>
  <c r="F150" i="10"/>
  <c r="L149" i="10"/>
  <c r="O149" i="10" s="1"/>
  <c r="D148" i="10"/>
  <c r="L148" i="10" s="1"/>
  <c r="O148" i="10" s="1"/>
  <c r="L147" i="10"/>
  <c r="O147" i="10" s="1"/>
  <c r="F147" i="10"/>
  <c r="L146" i="10"/>
  <c r="O146" i="10" s="1"/>
  <c r="F146" i="10"/>
  <c r="L145" i="10"/>
  <c r="O145" i="10" s="1"/>
  <c r="L144" i="10"/>
  <c r="O144" i="10" s="1"/>
  <c r="L143" i="10"/>
  <c r="O143" i="10" s="1"/>
  <c r="F143" i="10"/>
  <c r="L142" i="10"/>
  <c r="O142" i="10" s="1"/>
  <c r="L141" i="10"/>
  <c r="O141" i="10" s="1"/>
  <c r="F141" i="10"/>
  <c r="L140" i="10"/>
  <c r="O140" i="10" s="1"/>
  <c r="F140" i="10"/>
  <c r="H139" i="10"/>
  <c r="F139" i="10"/>
  <c r="D138" i="10"/>
  <c r="L138" i="10" s="1"/>
  <c r="O138" i="10" s="1"/>
  <c r="L137" i="10"/>
  <c r="O137" i="10" s="1"/>
  <c r="F137" i="10"/>
  <c r="L136" i="10"/>
  <c r="O136" i="10" s="1"/>
  <c r="F136" i="10"/>
  <c r="D135" i="10"/>
  <c r="L135" i="10" s="1"/>
  <c r="O135" i="10" s="1"/>
  <c r="L134" i="10"/>
  <c r="O134" i="10" s="1"/>
  <c r="F134" i="10"/>
  <c r="D133" i="10"/>
  <c r="L133" i="10" s="1"/>
  <c r="O133" i="10" s="1"/>
  <c r="L132" i="10"/>
  <c r="O132" i="10" s="1"/>
  <c r="F132" i="10"/>
  <c r="L131" i="10"/>
  <c r="O131" i="10" s="1"/>
  <c r="F131" i="10"/>
  <c r="L130" i="10"/>
  <c r="O130" i="10" s="1"/>
  <c r="F130" i="10"/>
  <c r="L129" i="10"/>
  <c r="O129" i="10" s="1"/>
  <c r="F129" i="10"/>
  <c r="L128" i="10"/>
  <c r="O128" i="10" s="1"/>
  <c r="F128" i="10"/>
  <c r="L127" i="10"/>
  <c r="O127" i="10" s="1"/>
  <c r="F127" i="10"/>
  <c r="L126" i="10"/>
  <c r="O126" i="10" s="1"/>
  <c r="F126" i="10"/>
  <c r="L125" i="10"/>
  <c r="O125" i="10" s="1"/>
  <c r="F125" i="10"/>
  <c r="K124" i="10"/>
  <c r="L124" i="10" s="1"/>
  <c r="O124" i="10" s="1"/>
  <c r="F124" i="10"/>
  <c r="L123" i="10"/>
  <c r="O123" i="10" s="1"/>
  <c r="F123" i="10"/>
  <c r="L122" i="10"/>
  <c r="O122" i="10" s="1"/>
  <c r="F122" i="10"/>
  <c r="L121" i="10"/>
  <c r="O121" i="10" s="1"/>
  <c r="J121" i="10"/>
  <c r="F121" i="10"/>
  <c r="L120" i="10"/>
  <c r="O120" i="10" s="1"/>
  <c r="F120" i="10"/>
  <c r="F119" i="10"/>
  <c r="K118" i="10"/>
  <c r="L118" i="10" s="1"/>
  <c r="O118" i="10" s="1"/>
  <c r="F118" i="10"/>
  <c r="L117" i="10"/>
  <c r="O117" i="10" s="1"/>
  <c r="F117" i="10"/>
  <c r="L116" i="10"/>
  <c r="O116" i="10" s="1"/>
  <c r="F116" i="10"/>
  <c r="L115" i="10"/>
  <c r="O115" i="10" s="1"/>
  <c r="F115" i="10"/>
  <c r="L114" i="10"/>
  <c r="O114" i="10" s="1"/>
  <c r="F114" i="10"/>
  <c r="L113" i="10"/>
  <c r="O113" i="10" s="1"/>
  <c r="F113" i="10"/>
  <c r="L112" i="10"/>
  <c r="O112" i="10" s="1"/>
  <c r="F112" i="10"/>
  <c r="L111" i="10"/>
  <c r="O111" i="10" s="1"/>
  <c r="F111" i="10"/>
  <c r="L110" i="10"/>
  <c r="O110" i="10" s="1"/>
  <c r="F110" i="10"/>
  <c r="L109" i="10"/>
  <c r="O109" i="10" s="1"/>
  <c r="F109" i="10"/>
  <c r="L108" i="10"/>
  <c r="O108" i="10" s="1"/>
  <c r="F108" i="10"/>
  <c r="L107" i="10"/>
  <c r="O107" i="10" s="1"/>
  <c r="F107" i="10"/>
  <c r="D106" i="10"/>
  <c r="L106" i="10" s="1"/>
  <c r="O106" i="10" s="1"/>
  <c r="L105" i="10"/>
  <c r="O105" i="10" s="1"/>
  <c r="F105" i="10"/>
  <c r="L104" i="10"/>
  <c r="O104" i="10" s="1"/>
  <c r="F104" i="10"/>
  <c r="D103" i="10"/>
  <c r="L103" i="10" s="1"/>
  <c r="O103" i="10" s="1"/>
  <c r="L102" i="10"/>
  <c r="O102" i="10" s="1"/>
  <c r="F102" i="10"/>
  <c r="L101" i="10"/>
  <c r="O101" i="10" s="1"/>
  <c r="F101" i="10"/>
  <c r="L100" i="10"/>
  <c r="O100" i="10" s="1"/>
  <c r="F100" i="10"/>
  <c r="L99" i="10"/>
  <c r="O99" i="10" s="1"/>
  <c r="F99" i="10"/>
  <c r="L98" i="10"/>
  <c r="O98" i="10" s="1"/>
  <c r="F98" i="10"/>
  <c r="L97" i="10"/>
  <c r="O97" i="10" s="1"/>
  <c r="F97" i="10"/>
  <c r="L96" i="10"/>
  <c r="O96" i="10" s="1"/>
  <c r="F96" i="10"/>
  <c r="D95" i="10"/>
  <c r="L95" i="10" s="1"/>
  <c r="O95" i="10" s="1"/>
  <c r="D94" i="10"/>
  <c r="L94" i="10" s="1"/>
  <c r="O94" i="10" s="1"/>
  <c r="L93" i="10"/>
  <c r="O93" i="10" s="1"/>
  <c r="F93" i="10"/>
  <c r="L92" i="10"/>
  <c r="O92" i="10" s="1"/>
  <c r="F92" i="10"/>
  <c r="L91" i="10"/>
  <c r="O91" i="10" s="1"/>
  <c r="F91" i="10"/>
  <c r="L90" i="10"/>
  <c r="O90" i="10" s="1"/>
  <c r="F90" i="10"/>
  <c r="H89" i="10"/>
  <c r="L89" i="10" s="1"/>
  <c r="O89" i="10" s="1"/>
  <c r="F89" i="10"/>
  <c r="L88" i="10"/>
  <c r="O88" i="10" s="1"/>
  <c r="L87" i="10"/>
  <c r="O87" i="10" s="1"/>
  <c r="J87" i="10"/>
  <c r="F87" i="10"/>
  <c r="L86" i="10"/>
  <c r="O86" i="10" s="1"/>
  <c r="F86" i="10"/>
  <c r="L85" i="10"/>
  <c r="O85" i="10" s="1"/>
  <c r="F85" i="10"/>
  <c r="L84" i="10"/>
  <c r="O84" i="10" s="1"/>
  <c r="F84" i="10"/>
  <c r="L83" i="10"/>
  <c r="O83" i="10" s="1"/>
  <c r="F83" i="10"/>
  <c r="L82" i="10"/>
  <c r="O82" i="10" s="1"/>
  <c r="F82" i="10"/>
  <c r="L81" i="10"/>
  <c r="O81" i="10" s="1"/>
  <c r="F81" i="10"/>
  <c r="L80" i="10"/>
  <c r="O80" i="10" s="1"/>
  <c r="J80" i="10"/>
  <c r="F80" i="10"/>
  <c r="L79" i="10"/>
  <c r="O79" i="10" s="1"/>
  <c r="F79" i="10"/>
  <c r="L78" i="10"/>
  <c r="O78" i="10" s="1"/>
  <c r="F78" i="10"/>
  <c r="L77" i="10"/>
  <c r="O77" i="10" s="1"/>
  <c r="F77" i="10"/>
  <c r="L76" i="10"/>
  <c r="O76" i="10" s="1"/>
  <c r="F76" i="10"/>
  <c r="L75" i="10"/>
  <c r="O75" i="10" s="1"/>
  <c r="F75" i="10"/>
  <c r="L74" i="10"/>
  <c r="O74" i="10" s="1"/>
  <c r="F74" i="10"/>
  <c r="L73" i="10"/>
  <c r="O73" i="10" s="1"/>
  <c r="F73" i="10"/>
  <c r="L72" i="10"/>
  <c r="O72" i="10" s="1"/>
  <c r="F72" i="10"/>
  <c r="L71" i="10"/>
  <c r="O71" i="10" s="1"/>
  <c r="F71" i="10"/>
  <c r="L70" i="10"/>
  <c r="O70" i="10" s="1"/>
  <c r="F70" i="10"/>
  <c r="L69" i="10"/>
  <c r="O69" i="10" s="1"/>
  <c r="F69" i="10"/>
  <c r="L68" i="10"/>
  <c r="O68" i="10" s="1"/>
  <c r="F68" i="10"/>
  <c r="L67" i="10"/>
  <c r="O67" i="10" s="1"/>
  <c r="F67" i="10"/>
  <c r="L66" i="10"/>
  <c r="O66" i="10" s="1"/>
  <c r="F66" i="10"/>
  <c r="L65" i="10"/>
  <c r="O65" i="10" s="1"/>
  <c r="J65" i="10"/>
  <c r="F65" i="10"/>
  <c r="L64" i="10"/>
  <c r="O64" i="10" s="1"/>
  <c r="J64" i="10"/>
  <c r="L63" i="10"/>
  <c r="O63" i="10" s="1"/>
  <c r="J63" i="10"/>
  <c r="L62" i="10"/>
  <c r="O62" i="10" s="1"/>
  <c r="J62" i="10"/>
  <c r="L61" i="10"/>
  <c r="O61" i="10" s="1"/>
  <c r="J61" i="10"/>
  <c r="F61" i="10"/>
  <c r="L60" i="10"/>
  <c r="O60" i="10" s="1"/>
  <c r="J60" i="10"/>
  <c r="F60" i="10"/>
  <c r="L59" i="10"/>
  <c r="O59" i="10" s="1"/>
  <c r="J59" i="10"/>
  <c r="F59" i="10"/>
  <c r="L58" i="10"/>
  <c r="O58" i="10" s="1"/>
  <c r="J58" i="10"/>
  <c r="F58" i="10"/>
  <c r="L57" i="10"/>
  <c r="O57" i="10" s="1"/>
  <c r="J57" i="10"/>
  <c r="F57" i="10"/>
  <c r="L56" i="10"/>
  <c r="O56" i="10" s="1"/>
  <c r="J56" i="10"/>
  <c r="F56" i="10"/>
  <c r="K55" i="10"/>
  <c r="L55" i="10" s="1"/>
  <c r="O55" i="10" s="1"/>
  <c r="J55" i="10"/>
  <c r="F55" i="10"/>
  <c r="F54" i="10"/>
  <c r="D53" i="10"/>
  <c r="L53" i="10" s="1"/>
  <c r="O53" i="10" s="1"/>
  <c r="L52" i="10"/>
  <c r="O52" i="10" s="1"/>
  <c r="F52" i="10"/>
  <c r="L51" i="10"/>
  <c r="O51" i="10" s="1"/>
  <c r="F51" i="10"/>
  <c r="L50" i="10"/>
  <c r="O50" i="10" s="1"/>
  <c r="F50" i="10"/>
  <c r="L49" i="10"/>
  <c r="O49" i="10" s="1"/>
  <c r="F49" i="10"/>
  <c r="L48" i="10"/>
  <c r="O48" i="10" s="1"/>
  <c r="F48" i="10"/>
  <c r="L47" i="10"/>
  <c r="O47" i="10" s="1"/>
  <c r="F47" i="10"/>
  <c r="L46" i="10"/>
  <c r="O46" i="10" s="1"/>
  <c r="F46" i="10"/>
  <c r="L45" i="10"/>
  <c r="O45" i="10" s="1"/>
  <c r="F45" i="10"/>
  <c r="L44" i="10"/>
  <c r="O44" i="10" s="1"/>
  <c r="F44" i="10"/>
  <c r="K43" i="10"/>
  <c r="L43" i="10" s="1"/>
  <c r="O43" i="10" s="1"/>
  <c r="F43" i="10"/>
  <c r="L42" i="10"/>
  <c r="O42" i="10" s="1"/>
  <c r="F42" i="10"/>
  <c r="L41" i="10"/>
  <c r="O41" i="10" s="1"/>
  <c r="J41" i="10"/>
  <c r="F41" i="10"/>
  <c r="L40" i="10"/>
  <c r="O40" i="10" s="1"/>
  <c r="F40" i="10"/>
  <c r="L39" i="10"/>
  <c r="O39" i="10" s="1"/>
  <c r="F39" i="10"/>
  <c r="L38" i="10"/>
  <c r="O38" i="10" s="1"/>
  <c r="F38" i="10"/>
  <c r="L37" i="10"/>
  <c r="O37" i="10" s="1"/>
  <c r="F37" i="10"/>
  <c r="L36" i="10"/>
  <c r="O36" i="10" s="1"/>
  <c r="F36" i="10"/>
  <c r="L35" i="10"/>
  <c r="O35" i="10" s="1"/>
  <c r="F35" i="10"/>
  <c r="D34" i="10"/>
  <c r="L34" i="10" s="1"/>
  <c r="O34" i="10" s="1"/>
  <c r="L33" i="10"/>
  <c r="O33" i="10" s="1"/>
  <c r="F33" i="10"/>
  <c r="L32" i="10"/>
  <c r="O32" i="10" s="1"/>
  <c r="F32" i="10"/>
  <c r="L31" i="10"/>
  <c r="O31" i="10" s="1"/>
  <c r="F31" i="10"/>
  <c r="L30" i="10"/>
  <c r="O30" i="10" s="1"/>
  <c r="F30" i="10"/>
  <c r="L29" i="10"/>
  <c r="O29" i="10" s="1"/>
  <c r="F29" i="10"/>
  <c r="L28" i="10"/>
  <c r="O28" i="10" s="1"/>
  <c r="F28" i="10"/>
  <c r="L27" i="10"/>
  <c r="O27" i="10" s="1"/>
  <c r="F27" i="10"/>
  <c r="L26" i="10"/>
  <c r="O26" i="10" s="1"/>
  <c r="F26" i="10"/>
  <c r="L25" i="10"/>
  <c r="O25" i="10" s="1"/>
  <c r="K24" i="10"/>
  <c r="L24" i="10" s="1"/>
  <c r="O24" i="10" s="1"/>
  <c r="L23" i="10"/>
  <c r="O23" i="10" s="1"/>
  <c r="F23" i="10"/>
  <c r="L22" i="10"/>
  <c r="O22" i="10" s="1"/>
  <c r="F22" i="10"/>
  <c r="L21" i="10"/>
  <c r="O21" i="10" s="1"/>
  <c r="F21" i="10"/>
  <c r="D20" i="10"/>
  <c r="F20" i="10" s="1"/>
  <c r="L19" i="10"/>
  <c r="O19" i="10" s="1"/>
  <c r="F19" i="10"/>
  <c r="L18" i="10"/>
  <c r="O18" i="10" s="1"/>
  <c r="F18" i="10"/>
  <c r="L17" i="10"/>
  <c r="O17" i="10" s="1"/>
  <c r="F17" i="10"/>
  <c r="L16" i="10"/>
  <c r="O16" i="10" s="1"/>
  <c r="F16" i="10"/>
  <c r="L15" i="10"/>
  <c r="O15" i="10" s="1"/>
  <c r="F15" i="10"/>
  <c r="D14" i="10"/>
  <c r="L14" i="10" s="1"/>
  <c r="O14" i="10" s="1"/>
  <c r="L13" i="10"/>
  <c r="O13" i="10" s="1"/>
  <c r="F13" i="10"/>
  <c r="L12" i="10"/>
  <c r="O12" i="10" s="1"/>
  <c r="F12" i="10"/>
  <c r="L11" i="10"/>
  <c r="O11" i="10" s="1"/>
  <c r="F11" i="10"/>
  <c r="D10" i="10"/>
  <c r="F10" i="10" s="1"/>
  <c r="K9" i="10"/>
  <c r="L9" i="10" s="1"/>
  <c r="O9" i="10" s="1"/>
  <c r="F9" i="10"/>
  <c r="F8" i="10"/>
  <c r="D8" i="10"/>
  <c r="L383" i="9"/>
  <c r="O383" i="9" s="1"/>
  <c r="J383" i="9"/>
  <c r="L382" i="9"/>
  <c r="O382" i="9" s="1"/>
  <c r="J382" i="9"/>
  <c r="L381" i="9"/>
  <c r="O381" i="9" s="1"/>
  <c r="J381" i="9"/>
  <c r="L380" i="9"/>
  <c r="O380" i="9" s="1"/>
  <c r="J380" i="9"/>
  <c r="J382" i="8"/>
  <c r="L382" i="8"/>
  <c r="O382" i="8" s="1"/>
  <c r="J381" i="8"/>
  <c r="L381" i="8"/>
  <c r="O381" i="8" s="1"/>
  <c r="J380" i="8"/>
  <c r="L380" i="8"/>
  <c r="O380" i="8" s="1"/>
  <c r="L384" i="9"/>
  <c r="O384" i="9" s="1"/>
  <c r="J384" i="9"/>
  <c r="L385" i="9"/>
  <c r="O385" i="9" s="1"/>
  <c r="L386" i="9"/>
  <c r="O386" i="9" s="1"/>
  <c r="L387" i="9"/>
  <c r="O387" i="9" s="1"/>
  <c r="L392" i="9"/>
  <c r="O392" i="9" s="1"/>
  <c r="L379" i="9"/>
  <c r="O379" i="9" s="1"/>
  <c r="J379" i="9"/>
  <c r="L378" i="9"/>
  <c r="O378" i="9" s="1"/>
  <c r="J378" i="9"/>
  <c r="L377" i="9"/>
  <c r="O377" i="9" s="1"/>
  <c r="J377" i="9"/>
  <c r="L376" i="9"/>
  <c r="O376" i="9" s="1"/>
  <c r="J376" i="9"/>
  <c r="L375" i="9"/>
  <c r="O375" i="9" s="1"/>
  <c r="J375" i="9"/>
  <c r="L374" i="9"/>
  <c r="O374" i="9" s="1"/>
  <c r="J374" i="9"/>
  <c r="L373" i="9"/>
  <c r="O373" i="9" s="1"/>
  <c r="J373" i="9"/>
  <c r="L372" i="9"/>
  <c r="O372" i="9" s="1"/>
  <c r="J372" i="9"/>
  <c r="L371" i="9"/>
  <c r="O371" i="9" s="1"/>
  <c r="J371" i="9"/>
  <c r="L370" i="9"/>
  <c r="O370" i="9" s="1"/>
  <c r="J370" i="9"/>
  <c r="L369" i="9"/>
  <c r="O369" i="9" s="1"/>
  <c r="J369" i="9"/>
  <c r="L368" i="9"/>
  <c r="O368" i="9" s="1"/>
  <c r="J368" i="9"/>
  <c r="L367" i="9"/>
  <c r="O367" i="9" s="1"/>
  <c r="J367" i="9"/>
  <c r="H366" i="9"/>
  <c r="L366" i="9" s="1"/>
  <c r="O366" i="9" s="1"/>
  <c r="L365" i="9"/>
  <c r="O365" i="9" s="1"/>
  <c r="J365" i="9"/>
  <c r="L364" i="9"/>
  <c r="O364" i="9" s="1"/>
  <c r="J364" i="9"/>
  <c r="L363" i="9"/>
  <c r="O363" i="9" s="1"/>
  <c r="J363" i="9"/>
  <c r="J379" i="8"/>
  <c r="L379" i="8"/>
  <c r="O379" i="8" s="1"/>
  <c r="L200" i="9"/>
  <c r="O200" i="9" s="1"/>
  <c r="J200" i="9"/>
  <c r="F200" i="9"/>
  <c r="J200" i="8"/>
  <c r="J378" i="8"/>
  <c r="L378" i="8"/>
  <c r="O378" i="8" s="1"/>
  <c r="L289" i="9"/>
  <c r="O289" i="9" s="1"/>
  <c r="J289" i="9"/>
  <c r="L246" i="9"/>
  <c r="O246" i="9" s="1"/>
  <c r="J246" i="9"/>
  <c r="F246" i="9"/>
  <c r="J246" i="8"/>
  <c r="J377" i="8"/>
  <c r="J376" i="8"/>
  <c r="J374" i="8"/>
  <c r="L374" i="8"/>
  <c r="O374" i="8" s="1"/>
  <c r="J373" i="8"/>
  <c r="L373" i="8"/>
  <c r="O373" i="8" s="1"/>
  <c r="J372" i="8"/>
  <c r="L372" i="8"/>
  <c r="O372" i="8" s="1"/>
  <c r="J371" i="8"/>
  <c r="L371" i="8"/>
  <c r="O371" i="8" s="1"/>
  <c r="J370" i="8"/>
  <c r="L370" i="8"/>
  <c r="O370" i="8" s="1"/>
  <c r="L80" i="9"/>
  <c r="O80" i="9" s="1"/>
  <c r="J80" i="9"/>
  <c r="F80" i="9"/>
  <c r="J80" i="8"/>
  <c r="L248" i="8"/>
  <c r="O248" i="8" s="1"/>
  <c r="J248" i="8"/>
  <c r="F248" i="8"/>
  <c r="J245" i="9"/>
  <c r="J247" i="9"/>
  <c r="J248" i="9"/>
  <c r="J249" i="9"/>
  <c r="J250" i="9"/>
  <c r="J251" i="9"/>
  <c r="L41" i="9"/>
  <c r="O41" i="9" s="1"/>
  <c r="J41" i="9"/>
  <c r="F41" i="9"/>
  <c r="J41" i="8"/>
  <c r="J368" i="8"/>
  <c r="J369" i="8"/>
  <c r="J375" i="8"/>
  <c r="L365" i="8"/>
  <c r="O365" i="8" s="1"/>
  <c r="L367" i="8"/>
  <c r="O367" i="8" s="1"/>
  <c r="L368" i="8"/>
  <c r="O368" i="8" s="1"/>
  <c r="L369" i="8"/>
  <c r="O369" i="8" s="1"/>
  <c r="L375" i="8"/>
  <c r="O375" i="8" s="1"/>
  <c r="L376" i="8"/>
  <c r="O376" i="8" s="1"/>
  <c r="L377" i="8"/>
  <c r="O377" i="8" s="1"/>
  <c r="J367" i="8"/>
  <c r="H366" i="8"/>
  <c r="L366" i="8" s="1"/>
  <c r="O366" i="8" s="1"/>
  <c r="H89" i="9"/>
  <c r="L89" i="9" s="1"/>
  <c r="O89" i="9" s="1"/>
  <c r="F89" i="9"/>
  <c r="H89" i="8"/>
  <c r="J89" i="8" s="1"/>
  <c r="L169" i="9"/>
  <c r="O169" i="9" s="1"/>
  <c r="J169" i="9"/>
  <c r="F169" i="9"/>
  <c r="J169" i="8"/>
  <c r="L243" i="9"/>
  <c r="O243" i="9" s="1"/>
  <c r="J243" i="9"/>
  <c r="F243" i="9"/>
  <c r="J238" i="8"/>
  <c r="J365" i="8"/>
  <c r="L242" i="8"/>
  <c r="O242" i="8" s="1"/>
  <c r="J242" i="8"/>
  <c r="F242" i="8"/>
  <c r="J240" i="9"/>
  <c r="J242" i="9"/>
  <c r="L87" i="9"/>
  <c r="O87" i="9" s="1"/>
  <c r="J87" i="9"/>
  <c r="F87" i="9"/>
  <c r="J87" i="8"/>
  <c r="J289" i="8"/>
  <c r="J268" i="8"/>
  <c r="J269" i="8"/>
  <c r="J271" i="8"/>
  <c r="J272" i="8"/>
  <c r="H270" i="8"/>
  <c r="L270" i="8" s="1"/>
  <c r="O270" i="8" s="1"/>
  <c r="F270" i="8"/>
  <c r="H270" i="9"/>
  <c r="J270" i="9" s="1"/>
  <c r="L267" i="9"/>
  <c r="O267" i="9" s="1"/>
  <c r="J267" i="9"/>
  <c r="F267" i="9"/>
  <c r="J267" i="8"/>
  <c r="J364" i="8"/>
  <c r="L364" i="8"/>
  <c r="O364" i="8" s="1"/>
  <c r="K251" i="9"/>
  <c r="L251" i="9" s="1"/>
  <c r="O251" i="9" s="1"/>
  <c r="F251" i="9"/>
  <c r="J351" i="9"/>
  <c r="L351" i="9"/>
  <c r="O351" i="9" s="1"/>
  <c r="J251" i="8"/>
  <c r="K327" i="9"/>
  <c r="L327" i="9" s="1"/>
  <c r="O327" i="9" s="1"/>
  <c r="J327" i="9"/>
  <c r="J327" i="8"/>
  <c r="K329" i="9"/>
  <c r="L329" i="9" s="1"/>
  <c r="O329" i="9" s="1"/>
  <c r="J329" i="9"/>
  <c r="J329" i="8"/>
  <c r="H241" i="9"/>
  <c r="L241" i="9" s="1"/>
  <c r="O241" i="9" s="1"/>
  <c r="F241" i="9"/>
  <c r="H241" i="8"/>
  <c r="J241" i="8" s="1"/>
  <c r="K239" i="8"/>
  <c r="H239" i="8"/>
  <c r="J239" i="8" s="1"/>
  <c r="F239" i="8"/>
  <c r="H239" i="9"/>
  <c r="J239" i="9" s="1"/>
  <c r="K157" i="9"/>
  <c r="H157" i="9"/>
  <c r="J157" i="9" s="1"/>
  <c r="F157" i="9"/>
  <c r="H157" i="8"/>
  <c r="J157" i="8" s="1"/>
  <c r="J363" i="8"/>
  <c r="L363" i="8"/>
  <c r="O363" i="8" s="1"/>
  <c r="K328" i="9"/>
  <c r="L328" i="9" s="1"/>
  <c r="O328" i="9" s="1"/>
  <c r="J328" i="9"/>
  <c r="L198" i="9"/>
  <c r="O198" i="9" s="1"/>
  <c r="J198" i="9"/>
  <c r="F198" i="9"/>
  <c r="J198" i="8"/>
  <c r="J328" i="8"/>
  <c r="H193" i="8"/>
  <c r="J193" i="8" s="1"/>
  <c r="L362" i="9"/>
  <c r="O362" i="9" s="1"/>
  <c r="J362" i="9"/>
  <c r="L361" i="9"/>
  <c r="O361" i="9" s="1"/>
  <c r="J361" i="9"/>
  <c r="L360" i="9"/>
  <c r="O360" i="9" s="1"/>
  <c r="J360" i="9"/>
  <c r="L359" i="9"/>
  <c r="O359" i="9" s="1"/>
  <c r="J359" i="9"/>
  <c r="L358" i="9"/>
  <c r="O358" i="9" s="1"/>
  <c r="J358" i="9"/>
  <c r="L357" i="9"/>
  <c r="O357" i="9" s="1"/>
  <c r="J357" i="9"/>
  <c r="L356" i="9"/>
  <c r="O356" i="9" s="1"/>
  <c r="J356" i="9"/>
  <c r="L355" i="9"/>
  <c r="O355" i="9" s="1"/>
  <c r="J355" i="9"/>
  <c r="L354" i="9"/>
  <c r="O354" i="9" s="1"/>
  <c r="J354" i="9"/>
  <c r="L353" i="9"/>
  <c r="O353" i="9" s="1"/>
  <c r="J353" i="9"/>
  <c r="L352" i="9"/>
  <c r="O352" i="9" s="1"/>
  <c r="J352" i="9"/>
  <c r="L350" i="9"/>
  <c r="O350" i="9" s="1"/>
  <c r="J350" i="9"/>
  <c r="L349" i="9"/>
  <c r="O349" i="9" s="1"/>
  <c r="J349" i="9"/>
  <c r="L348" i="9"/>
  <c r="O348" i="9" s="1"/>
  <c r="J348" i="9"/>
  <c r="L347" i="9"/>
  <c r="O347" i="9" s="1"/>
  <c r="J347" i="9"/>
  <c r="L346" i="9"/>
  <c r="O346" i="9" s="1"/>
  <c r="J346" i="9"/>
  <c r="L345" i="9"/>
  <c r="O345" i="9" s="1"/>
  <c r="J345" i="9"/>
  <c r="K344" i="9"/>
  <c r="L344" i="9" s="1"/>
  <c r="O344" i="9" s="1"/>
  <c r="J344" i="9"/>
  <c r="K343" i="9"/>
  <c r="L343" i="9" s="1"/>
  <c r="O343" i="9" s="1"/>
  <c r="J343" i="9"/>
  <c r="L342" i="9"/>
  <c r="O342" i="9" s="1"/>
  <c r="J342" i="9"/>
  <c r="L341" i="9"/>
  <c r="I341" i="9"/>
  <c r="L340" i="9"/>
  <c r="I340" i="9"/>
  <c r="J340" i="9" s="1"/>
  <c r="L339" i="9"/>
  <c r="I339" i="9"/>
  <c r="L338" i="9"/>
  <c r="I338" i="9"/>
  <c r="L337" i="9"/>
  <c r="I337" i="9"/>
  <c r="J337" i="9" s="1"/>
  <c r="L336" i="9"/>
  <c r="I336" i="9"/>
  <c r="L335" i="9"/>
  <c r="I335" i="9"/>
  <c r="L334" i="9"/>
  <c r="I334" i="9"/>
  <c r="J334" i="9" s="1"/>
  <c r="L333" i="9"/>
  <c r="I333" i="9"/>
  <c r="L332" i="9"/>
  <c r="I332" i="9"/>
  <c r="K331" i="9"/>
  <c r="L331" i="9" s="1"/>
  <c r="O331" i="9" s="1"/>
  <c r="J331" i="9"/>
  <c r="L330" i="9"/>
  <c r="O330" i="9" s="1"/>
  <c r="K326" i="9"/>
  <c r="L326" i="9" s="1"/>
  <c r="O326" i="9" s="1"/>
  <c r="K325" i="9"/>
  <c r="L325" i="9" s="1"/>
  <c r="O325" i="9" s="1"/>
  <c r="L324" i="9"/>
  <c r="O324" i="9" s="1"/>
  <c r="K323" i="9"/>
  <c r="H323" i="9"/>
  <c r="I323" i="9" s="1"/>
  <c r="J323" i="9" s="1"/>
  <c r="L322" i="9"/>
  <c r="O322" i="9" s="1"/>
  <c r="L321" i="9"/>
  <c r="O321" i="9" s="1"/>
  <c r="L320" i="9"/>
  <c r="O320" i="9" s="1"/>
  <c r="L319" i="9"/>
  <c r="O319" i="9" s="1"/>
  <c r="K318" i="9"/>
  <c r="L318" i="9" s="1"/>
  <c r="O318" i="9" s="1"/>
  <c r="K317" i="9"/>
  <c r="L317" i="9" s="1"/>
  <c r="O317" i="9" s="1"/>
  <c r="K316" i="9"/>
  <c r="L316" i="9" s="1"/>
  <c r="O316" i="9" s="1"/>
  <c r="L315" i="9"/>
  <c r="O315" i="9" s="1"/>
  <c r="L313" i="9"/>
  <c r="O313" i="9" s="1"/>
  <c r="L312" i="9"/>
  <c r="O312" i="9" s="1"/>
  <c r="L311" i="9"/>
  <c r="O311" i="9" s="1"/>
  <c r="L310" i="9"/>
  <c r="O310" i="9" s="1"/>
  <c r="L308" i="9"/>
  <c r="O308" i="9" s="1"/>
  <c r="L307" i="9"/>
  <c r="O307" i="9" s="1"/>
  <c r="L306" i="9"/>
  <c r="O306" i="9" s="1"/>
  <c r="L305" i="9"/>
  <c r="O305" i="9" s="1"/>
  <c r="L304" i="9"/>
  <c r="O304" i="9" s="1"/>
  <c r="K303" i="9"/>
  <c r="L303" i="9" s="1"/>
  <c r="O303" i="9" s="1"/>
  <c r="J303" i="9"/>
  <c r="L302" i="9"/>
  <c r="O302" i="9" s="1"/>
  <c r="L301" i="9"/>
  <c r="O301" i="9" s="1"/>
  <c r="L300" i="9"/>
  <c r="O300" i="9" s="1"/>
  <c r="L299" i="9"/>
  <c r="O299" i="9" s="1"/>
  <c r="L298" i="9"/>
  <c r="O298" i="9" s="1"/>
  <c r="L297" i="9"/>
  <c r="O297" i="9" s="1"/>
  <c r="L295" i="9"/>
  <c r="O295" i="9" s="1"/>
  <c r="L294" i="9"/>
  <c r="O294" i="9" s="1"/>
  <c r="L292" i="9"/>
  <c r="O292" i="9" s="1"/>
  <c r="K291" i="9"/>
  <c r="L288" i="9"/>
  <c r="O288" i="9" s="1"/>
  <c r="L287" i="9"/>
  <c r="O287" i="9" s="1"/>
  <c r="L286" i="9"/>
  <c r="O286" i="9" s="1"/>
  <c r="L285" i="9"/>
  <c r="O285" i="9" s="1"/>
  <c r="L284" i="9"/>
  <c r="O284" i="9" s="1"/>
  <c r="L283" i="9"/>
  <c r="O283" i="9" s="1"/>
  <c r="L282" i="9"/>
  <c r="O282" i="9" s="1"/>
  <c r="L281" i="9"/>
  <c r="O281" i="9" s="1"/>
  <c r="L280" i="9"/>
  <c r="O280" i="9" s="1"/>
  <c r="L279" i="9"/>
  <c r="O279" i="9" s="1"/>
  <c r="L278" i="9"/>
  <c r="O278" i="9" s="1"/>
  <c r="L277" i="9"/>
  <c r="O277" i="9" s="1"/>
  <c r="L276" i="9"/>
  <c r="O276" i="9" s="1"/>
  <c r="L275" i="9"/>
  <c r="O275" i="9" s="1"/>
  <c r="J275" i="9"/>
  <c r="L274" i="9"/>
  <c r="O274" i="9" s="1"/>
  <c r="L273" i="9"/>
  <c r="O273" i="9" s="1"/>
  <c r="K272" i="9"/>
  <c r="L272" i="9" s="1"/>
  <c r="O272" i="9" s="1"/>
  <c r="L271" i="9"/>
  <c r="O271" i="9" s="1"/>
  <c r="L268" i="9"/>
  <c r="O268" i="9" s="1"/>
  <c r="J268" i="9"/>
  <c r="L266" i="9"/>
  <c r="O266" i="9" s="1"/>
  <c r="L265" i="9"/>
  <c r="O265" i="9" s="1"/>
  <c r="L264" i="9"/>
  <c r="O264" i="9" s="1"/>
  <c r="L263" i="9"/>
  <c r="O263" i="9" s="1"/>
  <c r="L262" i="9"/>
  <c r="O262" i="9" s="1"/>
  <c r="L261" i="9"/>
  <c r="O261" i="9" s="1"/>
  <c r="L260" i="9"/>
  <c r="O260" i="9" s="1"/>
  <c r="L259" i="9"/>
  <c r="O259" i="9" s="1"/>
  <c r="L258" i="9"/>
  <c r="O258" i="9" s="1"/>
  <c r="L257" i="9"/>
  <c r="O257" i="9" s="1"/>
  <c r="L256" i="9"/>
  <c r="O256" i="9" s="1"/>
  <c r="L255" i="9"/>
  <c r="O255" i="9" s="1"/>
  <c r="L254" i="9"/>
  <c r="O254" i="9" s="1"/>
  <c r="L253" i="9"/>
  <c r="O253" i="9" s="1"/>
  <c r="L252" i="9"/>
  <c r="O252" i="9" s="1"/>
  <c r="K250" i="9"/>
  <c r="L250" i="9" s="1"/>
  <c r="O250" i="9" s="1"/>
  <c r="L249" i="9"/>
  <c r="O249" i="9" s="1"/>
  <c r="L248" i="9"/>
  <c r="O248" i="9" s="1"/>
  <c r="L247" i="9"/>
  <c r="O247" i="9" s="1"/>
  <c r="L245" i="9"/>
  <c r="O245" i="9" s="1"/>
  <c r="K244" i="9"/>
  <c r="H244" i="9"/>
  <c r="I244" i="9" s="1"/>
  <c r="J244" i="9" s="1"/>
  <c r="L242" i="9"/>
  <c r="O242" i="9" s="1"/>
  <c r="L240" i="9"/>
  <c r="O240" i="9" s="1"/>
  <c r="K239" i="9"/>
  <c r="L238" i="9"/>
  <c r="O238" i="9" s="1"/>
  <c r="L237" i="9"/>
  <c r="O237" i="9" s="1"/>
  <c r="L236" i="9"/>
  <c r="O236" i="9" s="1"/>
  <c r="L235" i="9"/>
  <c r="O235" i="9" s="1"/>
  <c r="L234" i="9"/>
  <c r="O234" i="9" s="1"/>
  <c r="L233" i="9"/>
  <c r="O233" i="9" s="1"/>
  <c r="J233" i="9"/>
  <c r="L232" i="9"/>
  <c r="O232" i="9" s="1"/>
  <c r="L231" i="9"/>
  <c r="O231" i="9" s="1"/>
  <c r="L230" i="9"/>
  <c r="O230" i="9" s="1"/>
  <c r="L229" i="9"/>
  <c r="O229" i="9" s="1"/>
  <c r="L228" i="9"/>
  <c r="O228" i="9" s="1"/>
  <c r="L227" i="9"/>
  <c r="O227" i="9" s="1"/>
  <c r="L226" i="9"/>
  <c r="O226" i="9" s="1"/>
  <c r="L225" i="9"/>
  <c r="O225" i="9" s="1"/>
  <c r="L224" i="9"/>
  <c r="O224" i="9" s="1"/>
  <c r="L223" i="9"/>
  <c r="O223" i="9" s="1"/>
  <c r="L222" i="9"/>
  <c r="O222" i="9" s="1"/>
  <c r="L221" i="9"/>
  <c r="O221" i="9" s="1"/>
  <c r="L220" i="9"/>
  <c r="O220" i="9" s="1"/>
  <c r="L217" i="9"/>
  <c r="O217" i="9" s="1"/>
  <c r="L216" i="9"/>
  <c r="O216" i="9" s="1"/>
  <c r="L215" i="9"/>
  <c r="O215" i="9" s="1"/>
  <c r="L214" i="9"/>
  <c r="O214" i="9" s="1"/>
  <c r="L213" i="9"/>
  <c r="O213" i="9" s="1"/>
  <c r="L212" i="9"/>
  <c r="O212" i="9" s="1"/>
  <c r="L211" i="9"/>
  <c r="O211" i="9" s="1"/>
  <c r="L210" i="9"/>
  <c r="O210" i="9" s="1"/>
  <c r="L209" i="9"/>
  <c r="O209" i="9" s="1"/>
  <c r="L208" i="9"/>
  <c r="O208" i="9" s="1"/>
  <c r="L207" i="9"/>
  <c r="O207" i="9" s="1"/>
  <c r="L206" i="9"/>
  <c r="O206" i="9" s="1"/>
  <c r="L205" i="9"/>
  <c r="O205" i="9" s="1"/>
  <c r="L204" i="9"/>
  <c r="O204" i="9" s="1"/>
  <c r="L203" i="9"/>
  <c r="O203" i="9" s="1"/>
  <c r="L202" i="9"/>
  <c r="O202" i="9" s="1"/>
  <c r="L201" i="9"/>
  <c r="O201" i="9" s="1"/>
  <c r="L199" i="9"/>
  <c r="O199" i="9" s="1"/>
  <c r="L197" i="9"/>
  <c r="O197" i="9" s="1"/>
  <c r="L196" i="9"/>
  <c r="O196" i="9" s="1"/>
  <c r="L195" i="9"/>
  <c r="O195" i="9" s="1"/>
  <c r="L194" i="9"/>
  <c r="O194" i="9" s="1"/>
  <c r="L192" i="9"/>
  <c r="O192" i="9" s="1"/>
  <c r="L191" i="9"/>
  <c r="O191" i="9" s="1"/>
  <c r="L190" i="9"/>
  <c r="O190" i="9" s="1"/>
  <c r="L189" i="9"/>
  <c r="O189" i="9" s="1"/>
  <c r="L188" i="9"/>
  <c r="O188" i="9" s="1"/>
  <c r="L187" i="9"/>
  <c r="O187" i="9" s="1"/>
  <c r="L186" i="9"/>
  <c r="O186" i="9" s="1"/>
  <c r="L185" i="9"/>
  <c r="O185" i="9" s="1"/>
  <c r="L184" i="9"/>
  <c r="O184" i="9" s="1"/>
  <c r="L181" i="9"/>
  <c r="O181" i="9" s="1"/>
  <c r="K180" i="9"/>
  <c r="L180" i="9" s="1"/>
  <c r="O180" i="9" s="1"/>
  <c r="K179" i="9"/>
  <c r="L179" i="9" s="1"/>
  <c r="O179" i="9" s="1"/>
  <c r="L178" i="9"/>
  <c r="O178" i="9" s="1"/>
  <c r="L176" i="9"/>
  <c r="O176" i="9" s="1"/>
  <c r="L175" i="9"/>
  <c r="O175" i="9" s="1"/>
  <c r="L174" i="9"/>
  <c r="O174" i="9" s="1"/>
  <c r="L173" i="9"/>
  <c r="O173" i="9" s="1"/>
  <c r="L171" i="9"/>
  <c r="O171" i="9" s="1"/>
  <c r="K170" i="9"/>
  <c r="L170" i="9" s="1"/>
  <c r="O170" i="9" s="1"/>
  <c r="K168" i="9"/>
  <c r="L168" i="9" s="1"/>
  <c r="O168" i="9" s="1"/>
  <c r="L167" i="9"/>
  <c r="O167" i="9" s="1"/>
  <c r="L166" i="9"/>
  <c r="O166" i="9" s="1"/>
  <c r="K164" i="9"/>
  <c r="K163" i="9"/>
  <c r="H162" i="9"/>
  <c r="J162" i="9" s="1"/>
  <c r="K161" i="9"/>
  <c r="I161" i="9"/>
  <c r="H161" i="9"/>
  <c r="L159" i="9"/>
  <c r="O159" i="9" s="1"/>
  <c r="L158" i="9"/>
  <c r="O158" i="9" s="1"/>
  <c r="L156" i="9"/>
  <c r="O156" i="9" s="1"/>
  <c r="L155" i="9"/>
  <c r="O155" i="9" s="1"/>
  <c r="L154" i="9"/>
  <c r="O154" i="9" s="1"/>
  <c r="L153" i="9"/>
  <c r="O153" i="9" s="1"/>
  <c r="L152" i="9"/>
  <c r="O152" i="9" s="1"/>
  <c r="L151" i="9"/>
  <c r="O151" i="9" s="1"/>
  <c r="L150" i="9"/>
  <c r="O150" i="9" s="1"/>
  <c r="L149" i="9"/>
  <c r="O149" i="9" s="1"/>
  <c r="L147" i="9"/>
  <c r="O147" i="9" s="1"/>
  <c r="L146" i="9"/>
  <c r="O146" i="9" s="1"/>
  <c r="L145" i="9"/>
  <c r="O145" i="9" s="1"/>
  <c r="L144" i="9"/>
  <c r="O144" i="9" s="1"/>
  <c r="L143" i="9"/>
  <c r="O143" i="9" s="1"/>
  <c r="L142" i="9"/>
  <c r="O142" i="9" s="1"/>
  <c r="L141" i="9"/>
  <c r="O141" i="9" s="1"/>
  <c r="L140" i="9"/>
  <c r="O140" i="9" s="1"/>
  <c r="K139" i="9"/>
  <c r="O139" i="9" s="1"/>
  <c r="H139" i="9"/>
  <c r="J139" i="9" s="1"/>
  <c r="L137" i="9"/>
  <c r="O137" i="9" s="1"/>
  <c r="L136" i="9"/>
  <c r="O136" i="9" s="1"/>
  <c r="L134" i="9"/>
  <c r="O134" i="9" s="1"/>
  <c r="L132" i="9"/>
  <c r="O132" i="9" s="1"/>
  <c r="L131" i="9"/>
  <c r="O131" i="9" s="1"/>
  <c r="K130" i="9"/>
  <c r="L130" i="9" s="1"/>
  <c r="O130" i="9" s="1"/>
  <c r="L129" i="9"/>
  <c r="O129" i="9" s="1"/>
  <c r="L128" i="9"/>
  <c r="O128" i="9" s="1"/>
  <c r="L127" i="9"/>
  <c r="O127" i="9" s="1"/>
  <c r="L126" i="9"/>
  <c r="O126" i="9" s="1"/>
  <c r="L125" i="9"/>
  <c r="O125" i="9" s="1"/>
  <c r="K124" i="9"/>
  <c r="L124" i="9" s="1"/>
  <c r="O124" i="9" s="1"/>
  <c r="L123" i="9"/>
  <c r="O123" i="9" s="1"/>
  <c r="L122" i="9"/>
  <c r="O122" i="9" s="1"/>
  <c r="L121" i="9"/>
  <c r="O121" i="9" s="1"/>
  <c r="J121" i="9"/>
  <c r="L120" i="9"/>
  <c r="O120" i="9" s="1"/>
  <c r="K119" i="9"/>
  <c r="L119" i="9" s="1"/>
  <c r="O119" i="9" s="1"/>
  <c r="K118" i="9"/>
  <c r="L118" i="9" s="1"/>
  <c r="O118" i="9" s="1"/>
  <c r="L117" i="9"/>
  <c r="O117" i="9" s="1"/>
  <c r="L116" i="9"/>
  <c r="O116" i="9" s="1"/>
  <c r="L115" i="9"/>
  <c r="O115" i="9" s="1"/>
  <c r="L114" i="9"/>
  <c r="O114" i="9" s="1"/>
  <c r="L113" i="9"/>
  <c r="O113" i="9" s="1"/>
  <c r="L112" i="9"/>
  <c r="O112" i="9" s="1"/>
  <c r="L111" i="9"/>
  <c r="O111" i="9" s="1"/>
  <c r="L110" i="9"/>
  <c r="O110" i="9" s="1"/>
  <c r="L109" i="9"/>
  <c r="O109" i="9" s="1"/>
  <c r="L108" i="9"/>
  <c r="O108" i="9" s="1"/>
  <c r="L107" i="9"/>
  <c r="O107" i="9" s="1"/>
  <c r="L105" i="9"/>
  <c r="O105" i="9" s="1"/>
  <c r="L104" i="9"/>
  <c r="O104" i="9" s="1"/>
  <c r="L102" i="9"/>
  <c r="O102" i="9" s="1"/>
  <c r="L101" i="9"/>
  <c r="O101" i="9" s="1"/>
  <c r="L100" i="9"/>
  <c r="O100" i="9" s="1"/>
  <c r="L99" i="9"/>
  <c r="O99" i="9" s="1"/>
  <c r="L98" i="9"/>
  <c r="O98" i="9" s="1"/>
  <c r="L97" i="9"/>
  <c r="O97" i="9" s="1"/>
  <c r="L96" i="9"/>
  <c r="O96" i="9" s="1"/>
  <c r="L93" i="9"/>
  <c r="O93" i="9" s="1"/>
  <c r="K92" i="9"/>
  <c r="L92" i="9" s="1"/>
  <c r="O92" i="9" s="1"/>
  <c r="L91" i="9"/>
  <c r="O91" i="9" s="1"/>
  <c r="L90" i="9"/>
  <c r="O90" i="9" s="1"/>
  <c r="L88" i="9"/>
  <c r="O88" i="9" s="1"/>
  <c r="L86" i="9"/>
  <c r="O86" i="9" s="1"/>
  <c r="L85" i="9"/>
  <c r="O85" i="9" s="1"/>
  <c r="L84" i="9"/>
  <c r="O84" i="9" s="1"/>
  <c r="L83" i="9"/>
  <c r="O83" i="9" s="1"/>
  <c r="L82" i="9"/>
  <c r="O82" i="9" s="1"/>
  <c r="L81" i="9"/>
  <c r="O81" i="9" s="1"/>
  <c r="L79" i="9"/>
  <c r="O79" i="9" s="1"/>
  <c r="L78" i="9"/>
  <c r="O78" i="9" s="1"/>
  <c r="L77" i="9"/>
  <c r="O77" i="9" s="1"/>
  <c r="K76" i="9"/>
  <c r="L76" i="9" s="1"/>
  <c r="O76" i="9" s="1"/>
  <c r="K75" i="9"/>
  <c r="L75" i="9" s="1"/>
  <c r="O75" i="9" s="1"/>
  <c r="L74" i="9"/>
  <c r="O74" i="9" s="1"/>
  <c r="L73" i="9"/>
  <c r="O73" i="9" s="1"/>
  <c r="L72" i="9"/>
  <c r="O72" i="9" s="1"/>
  <c r="L71" i="9"/>
  <c r="O71" i="9" s="1"/>
  <c r="L70" i="9"/>
  <c r="O70" i="9" s="1"/>
  <c r="L69" i="9"/>
  <c r="O69" i="9" s="1"/>
  <c r="L68" i="9"/>
  <c r="O68" i="9" s="1"/>
  <c r="L67" i="9"/>
  <c r="O67" i="9" s="1"/>
  <c r="L66" i="9"/>
  <c r="O66" i="9" s="1"/>
  <c r="L65" i="9"/>
  <c r="O65" i="9" s="1"/>
  <c r="J65" i="9"/>
  <c r="L64" i="9"/>
  <c r="O64" i="9" s="1"/>
  <c r="J64" i="9"/>
  <c r="L63" i="9"/>
  <c r="O63" i="9" s="1"/>
  <c r="J63" i="9"/>
  <c r="L62" i="9"/>
  <c r="O62" i="9" s="1"/>
  <c r="J62" i="9"/>
  <c r="L61" i="9"/>
  <c r="O61" i="9" s="1"/>
  <c r="J61" i="9"/>
  <c r="L60" i="9"/>
  <c r="O60" i="9" s="1"/>
  <c r="J60" i="9"/>
  <c r="L59" i="9"/>
  <c r="O59" i="9" s="1"/>
  <c r="J59" i="9"/>
  <c r="L58" i="9"/>
  <c r="O58" i="9" s="1"/>
  <c r="J58" i="9"/>
  <c r="L57" i="9"/>
  <c r="O57" i="9" s="1"/>
  <c r="J57" i="9"/>
  <c r="L56" i="9"/>
  <c r="O56" i="9" s="1"/>
  <c r="J56" i="9"/>
  <c r="K55" i="9"/>
  <c r="L55" i="9" s="1"/>
  <c r="O55" i="9" s="1"/>
  <c r="J55" i="9"/>
  <c r="K54" i="9"/>
  <c r="L54" i="9" s="1"/>
  <c r="O54" i="9" s="1"/>
  <c r="L52" i="9"/>
  <c r="O52" i="9" s="1"/>
  <c r="L51" i="9"/>
  <c r="O51" i="9" s="1"/>
  <c r="L50" i="9"/>
  <c r="O50" i="9" s="1"/>
  <c r="L49" i="9"/>
  <c r="O49" i="9" s="1"/>
  <c r="L48" i="9"/>
  <c r="O48" i="9" s="1"/>
  <c r="L47" i="9"/>
  <c r="O47" i="9" s="1"/>
  <c r="L46" i="9"/>
  <c r="O46" i="9" s="1"/>
  <c r="L45" i="9"/>
  <c r="O45" i="9" s="1"/>
  <c r="L44" i="9"/>
  <c r="O44" i="9" s="1"/>
  <c r="K43" i="9"/>
  <c r="L43" i="9" s="1"/>
  <c r="O43" i="9" s="1"/>
  <c r="L42" i="9"/>
  <c r="O42" i="9" s="1"/>
  <c r="L40" i="9"/>
  <c r="O40" i="9" s="1"/>
  <c r="L39" i="9"/>
  <c r="O39" i="9" s="1"/>
  <c r="L38" i="9"/>
  <c r="O38" i="9" s="1"/>
  <c r="L37" i="9"/>
  <c r="O37" i="9" s="1"/>
  <c r="L36" i="9"/>
  <c r="O36" i="9" s="1"/>
  <c r="L35" i="9"/>
  <c r="O35" i="9" s="1"/>
  <c r="L33" i="9"/>
  <c r="O33" i="9" s="1"/>
  <c r="L32" i="9"/>
  <c r="O32" i="9" s="1"/>
  <c r="L31" i="9"/>
  <c r="O31" i="9" s="1"/>
  <c r="L30" i="9"/>
  <c r="O30" i="9" s="1"/>
  <c r="L29" i="9"/>
  <c r="O29" i="9" s="1"/>
  <c r="L28" i="9"/>
  <c r="O28" i="9" s="1"/>
  <c r="L27" i="9"/>
  <c r="O27" i="9" s="1"/>
  <c r="L26" i="9"/>
  <c r="O26" i="9" s="1"/>
  <c r="L25" i="9"/>
  <c r="O25" i="9" s="1"/>
  <c r="K24" i="9"/>
  <c r="L24" i="9" s="1"/>
  <c r="O24" i="9" s="1"/>
  <c r="L23" i="9"/>
  <c r="O23" i="9" s="1"/>
  <c r="L22" i="9"/>
  <c r="O22" i="9" s="1"/>
  <c r="L21" i="9"/>
  <c r="O21" i="9" s="1"/>
  <c r="L19" i="9"/>
  <c r="O19" i="9" s="1"/>
  <c r="L18" i="9"/>
  <c r="O18" i="9" s="1"/>
  <c r="L17" i="9"/>
  <c r="O17" i="9" s="1"/>
  <c r="L16" i="9"/>
  <c r="O16" i="9" s="1"/>
  <c r="L15" i="9"/>
  <c r="O15" i="9" s="1"/>
  <c r="L13" i="9"/>
  <c r="O13" i="9" s="1"/>
  <c r="L12" i="9"/>
  <c r="O12" i="9" s="1"/>
  <c r="L11" i="9"/>
  <c r="O11" i="9" s="1"/>
  <c r="K9" i="9"/>
  <c r="L9" i="9" s="1"/>
  <c r="O9" i="9" s="1"/>
  <c r="K8" i="9"/>
  <c r="J360" i="8"/>
  <c r="J361" i="8"/>
  <c r="J362" i="8"/>
  <c r="J359" i="8"/>
  <c r="J358" i="8"/>
  <c r="J357" i="8"/>
  <c r="J356" i="8"/>
  <c r="J355" i="8"/>
  <c r="L352" i="8"/>
  <c r="O352" i="8" s="1"/>
  <c r="L353" i="8"/>
  <c r="O353" i="8" s="1"/>
  <c r="L354" i="8"/>
  <c r="O354" i="8" s="1"/>
  <c r="L355" i="8"/>
  <c r="O355" i="8" s="1"/>
  <c r="L356" i="8"/>
  <c r="O356" i="8" s="1"/>
  <c r="L357" i="8"/>
  <c r="O357" i="8" s="1"/>
  <c r="L358" i="8"/>
  <c r="O358" i="8" s="1"/>
  <c r="L359" i="8"/>
  <c r="O359" i="8" s="1"/>
  <c r="L360" i="8"/>
  <c r="O360" i="8" s="1"/>
  <c r="L361" i="8"/>
  <c r="O361" i="8" s="1"/>
  <c r="L362" i="8"/>
  <c r="O362" i="8" s="1"/>
  <c r="L350" i="8"/>
  <c r="O350" i="8" s="1"/>
  <c r="L351" i="8"/>
  <c r="O351" i="8" s="1"/>
  <c r="L345" i="8"/>
  <c r="O345" i="8" s="1"/>
  <c r="L346" i="8"/>
  <c r="O346" i="8" s="1"/>
  <c r="L347" i="8"/>
  <c r="O347" i="8" s="1"/>
  <c r="L348" i="8"/>
  <c r="O348" i="8" s="1"/>
  <c r="L349" i="8"/>
  <c r="O349" i="8" s="1"/>
  <c r="J354" i="8"/>
  <c r="J353" i="8"/>
  <c r="J352" i="8"/>
  <c r="J331" i="8"/>
  <c r="J351" i="8"/>
  <c r="J233" i="8"/>
  <c r="J121" i="8"/>
  <c r="J347" i="8"/>
  <c r="J348" i="8"/>
  <c r="J349" i="8"/>
  <c r="J350" i="8"/>
  <c r="J345" i="8"/>
  <c r="J346" i="8"/>
  <c r="J65" i="8"/>
  <c r="J64" i="8"/>
  <c r="J63" i="8"/>
  <c r="J62" i="8"/>
  <c r="J61" i="8"/>
  <c r="J60" i="8"/>
  <c r="J59" i="8"/>
  <c r="J58" i="8"/>
  <c r="J57" i="8"/>
  <c r="J56" i="8"/>
  <c r="L52" i="8"/>
  <c r="O52" i="8" s="1"/>
  <c r="L56" i="8"/>
  <c r="O56" i="8" s="1"/>
  <c r="J55" i="8"/>
  <c r="I341" i="8"/>
  <c r="J341" i="8" s="1"/>
  <c r="L341" i="8"/>
  <c r="J342" i="8"/>
  <c r="J343" i="8"/>
  <c r="J344" i="8"/>
  <c r="I340" i="8"/>
  <c r="J340" i="8" s="1"/>
  <c r="L340" i="8"/>
  <c r="M393" i="9"/>
  <c r="N393" i="9"/>
  <c r="L332" i="8"/>
  <c r="L333" i="8"/>
  <c r="L334" i="8"/>
  <c r="L335" i="8"/>
  <c r="L336" i="8"/>
  <c r="L337" i="8"/>
  <c r="L338" i="8"/>
  <c r="L339" i="8"/>
  <c r="L342" i="8"/>
  <c r="O342" i="8" s="1"/>
  <c r="K130" i="8"/>
  <c r="F319" i="9"/>
  <c r="D314" i="9"/>
  <c r="L314" i="9" s="1"/>
  <c r="O314" i="9" s="1"/>
  <c r="F311" i="9"/>
  <c r="F310" i="9"/>
  <c r="D309" i="9"/>
  <c r="L309" i="9" s="1"/>
  <c r="O309" i="9" s="1"/>
  <c r="F308" i="9"/>
  <c r="F307" i="9"/>
  <c r="F306" i="9"/>
  <c r="F305" i="9"/>
  <c r="F304" i="9"/>
  <c r="F303" i="9"/>
  <c r="F302" i="9"/>
  <c r="F301" i="9"/>
  <c r="F300" i="9"/>
  <c r="F299" i="9"/>
  <c r="F298" i="9"/>
  <c r="F297" i="9"/>
  <c r="D296" i="9"/>
  <c r="L296" i="9" s="1"/>
  <c r="O296" i="9" s="1"/>
  <c r="F295" i="9"/>
  <c r="F294" i="9"/>
  <c r="D293" i="9"/>
  <c r="L293" i="9" s="1"/>
  <c r="O293" i="9" s="1"/>
  <c r="F292" i="9"/>
  <c r="D291" i="9"/>
  <c r="F291" i="9" s="1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2" i="9"/>
  <c r="F271" i="9"/>
  <c r="F270" i="9"/>
  <c r="D269" i="9"/>
  <c r="F269" i="9" s="1"/>
  <c r="F268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0" i="9"/>
  <c r="F249" i="9"/>
  <c r="F248" i="9"/>
  <c r="F247" i="9"/>
  <c r="F245" i="9"/>
  <c r="F244" i="9"/>
  <c r="F242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D219" i="9"/>
  <c r="L219" i="9" s="1"/>
  <c r="O219" i="9" s="1"/>
  <c r="D218" i="9"/>
  <c r="L218" i="9" s="1"/>
  <c r="O218" i="9" s="1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197" i="9"/>
  <c r="F196" i="9"/>
  <c r="F195" i="9"/>
  <c r="F194" i="9"/>
  <c r="D193" i="9"/>
  <c r="L193" i="9" s="1"/>
  <c r="O193" i="9" s="1"/>
  <c r="F192" i="9"/>
  <c r="F191" i="9"/>
  <c r="F190" i="9"/>
  <c r="F189" i="9"/>
  <c r="F188" i="9"/>
  <c r="F187" i="9"/>
  <c r="F186" i="9"/>
  <c r="F185" i="9"/>
  <c r="F184" i="9"/>
  <c r="D183" i="9"/>
  <c r="L183" i="9" s="1"/>
  <c r="O183" i="9" s="1"/>
  <c r="D182" i="9"/>
  <c r="L182" i="9" s="1"/>
  <c r="O182" i="9" s="1"/>
  <c r="F181" i="9"/>
  <c r="F180" i="9"/>
  <c r="F179" i="9"/>
  <c r="F178" i="9"/>
  <c r="D177" i="9"/>
  <c r="L177" i="9" s="1"/>
  <c r="O177" i="9" s="1"/>
  <c r="F176" i="9"/>
  <c r="F175" i="9"/>
  <c r="F174" i="9"/>
  <c r="F173" i="9"/>
  <c r="D172" i="9"/>
  <c r="L172" i="9" s="1"/>
  <c r="O172" i="9" s="1"/>
  <c r="F171" i="9"/>
  <c r="F170" i="9"/>
  <c r="F168" i="9"/>
  <c r="D165" i="9"/>
  <c r="L165" i="9" s="1"/>
  <c r="O165" i="9" s="1"/>
  <c r="D164" i="9"/>
  <c r="F164" i="9" s="1"/>
  <c r="D163" i="9"/>
  <c r="F163" i="9" s="1"/>
  <c r="D162" i="9"/>
  <c r="L162" i="9" s="1"/>
  <c r="O162" i="9" s="1"/>
  <c r="F161" i="9"/>
  <c r="D160" i="9"/>
  <c r="F160" i="9" s="1"/>
  <c r="F159" i="9"/>
  <c r="F158" i="9"/>
  <c r="F156" i="9"/>
  <c r="F155" i="9"/>
  <c r="F154" i="9"/>
  <c r="F153" i="9"/>
  <c r="F151" i="9"/>
  <c r="F150" i="9"/>
  <c r="D148" i="9"/>
  <c r="L148" i="9" s="1"/>
  <c r="O148" i="9" s="1"/>
  <c r="F147" i="9"/>
  <c r="F146" i="9"/>
  <c r="F143" i="9"/>
  <c r="F141" i="9"/>
  <c r="F140" i="9"/>
  <c r="F139" i="9"/>
  <c r="D138" i="9"/>
  <c r="F138" i="9" s="1"/>
  <c r="F137" i="9"/>
  <c r="F136" i="9"/>
  <c r="D135" i="9"/>
  <c r="L135" i="9" s="1"/>
  <c r="O135" i="9" s="1"/>
  <c r="F134" i="9"/>
  <c r="D133" i="9"/>
  <c r="L133" i="9" s="1"/>
  <c r="O133" i="9" s="1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D106" i="9"/>
  <c r="F106" i="9" s="1"/>
  <c r="F105" i="9"/>
  <c r="F104" i="9"/>
  <c r="D103" i="9"/>
  <c r="F103" i="9" s="1"/>
  <c r="F102" i="9"/>
  <c r="F101" i="9"/>
  <c r="F100" i="9"/>
  <c r="F99" i="9"/>
  <c r="F98" i="9"/>
  <c r="F97" i="9"/>
  <c r="F96" i="9"/>
  <c r="D95" i="9"/>
  <c r="F95" i="9" s="1"/>
  <c r="D94" i="9"/>
  <c r="L94" i="9" s="1"/>
  <c r="O94" i="9" s="1"/>
  <c r="F93" i="9"/>
  <c r="F92" i="9"/>
  <c r="F91" i="9"/>
  <c r="F90" i="9"/>
  <c r="F86" i="9"/>
  <c r="F85" i="9"/>
  <c r="F84" i="9"/>
  <c r="F83" i="9"/>
  <c r="F82" i="9"/>
  <c r="F81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1" i="9"/>
  <c r="F60" i="9"/>
  <c r="F59" i="9"/>
  <c r="F58" i="9"/>
  <c r="F57" i="9"/>
  <c r="F56" i="9"/>
  <c r="F55" i="9"/>
  <c r="F54" i="9"/>
  <c r="D53" i="9"/>
  <c r="L53" i="9" s="1"/>
  <c r="O53" i="9" s="1"/>
  <c r="F52" i="9"/>
  <c r="F51" i="9"/>
  <c r="F50" i="9"/>
  <c r="F49" i="9"/>
  <c r="F48" i="9"/>
  <c r="F47" i="9"/>
  <c r="F46" i="9"/>
  <c r="F45" i="9"/>
  <c r="F44" i="9"/>
  <c r="F43" i="9"/>
  <c r="F42" i="9"/>
  <c r="F40" i="9"/>
  <c r="F39" i="9"/>
  <c r="F38" i="9"/>
  <c r="F37" i="9"/>
  <c r="F36" i="9"/>
  <c r="F35" i="9"/>
  <c r="D34" i="9"/>
  <c r="L34" i="9" s="1"/>
  <c r="O34" i="9" s="1"/>
  <c r="F33" i="9"/>
  <c r="F32" i="9"/>
  <c r="F31" i="9"/>
  <c r="F30" i="9"/>
  <c r="F29" i="9"/>
  <c r="F28" i="9"/>
  <c r="F27" i="9"/>
  <c r="F26" i="9"/>
  <c r="F23" i="9"/>
  <c r="F22" i="9"/>
  <c r="F21" i="9"/>
  <c r="D20" i="9"/>
  <c r="F20" i="9" s="1"/>
  <c r="F19" i="9"/>
  <c r="F18" i="9"/>
  <c r="F17" i="9"/>
  <c r="F16" i="9"/>
  <c r="F15" i="9"/>
  <c r="D14" i="9"/>
  <c r="F14" i="9" s="1"/>
  <c r="F13" i="9"/>
  <c r="F12" i="9"/>
  <c r="F11" i="9"/>
  <c r="D10" i="9"/>
  <c r="L10" i="9" s="1"/>
  <c r="O10" i="9" s="1"/>
  <c r="F9" i="9"/>
  <c r="F8" i="9"/>
  <c r="D8" i="9"/>
  <c r="K244" i="8"/>
  <c r="K326" i="8"/>
  <c r="K119" i="8"/>
  <c r="K92" i="8"/>
  <c r="K344" i="8"/>
  <c r="L344" i="8" s="1"/>
  <c r="O344" i="8" s="1"/>
  <c r="K343" i="8"/>
  <c r="L343" i="8" s="1"/>
  <c r="O343" i="8" s="1"/>
  <c r="K55" i="8"/>
  <c r="L55" i="8" s="1"/>
  <c r="O55" i="8" s="1"/>
  <c r="K179" i="8"/>
  <c r="K8" i="8"/>
  <c r="K250" i="8"/>
  <c r="K118" i="8"/>
  <c r="K180" i="8"/>
  <c r="K331" i="8"/>
  <c r="K163" i="8"/>
  <c r="K323" i="8"/>
  <c r="K452" i="14" l="1"/>
  <c r="M452" i="14"/>
  <c r="P452" i="14"/>
  <c r="G452" i="14"/>
  <c r="O332" i="11"/>
  <c r="L344" i="11"/>
  <c r="O344" i="11" s="1"/>
  <c r="J157" i="11"/>
  <c r="L179" i="10"/>
  <c r="O179" i="10" s="1"/>
  <c r="L393" i="10"/>
  <c r="O393" i="10" s="1"/>
  <c r="L391" i="11"/>
  <c r="O391" i="11" s="1"/>
  <c r="L163" i="11"/>
  <c r="O163" i="11" s="1"/>
  <c r="L250" i="11"/>
  <c r="O250" i="11" s="1"/>
  <c r="O341" i="11"/>
  <c r="L239" i="11"/>
  <c r="O239" i="11" s="1"/>
  <c r="O337" i="11"/>
  <c r="O333" i="11"/>
  <c r="O338" i="11"/>
  <c r="L389" i="11"/>
  <c r="O389" i="11" s="1"/>
  <c r="F103" i="11"/>
  <c r="J366" i="8"/>
  <c r="F138" i="11"/>
  <c r="L139" i="11"/>
  <c r="F296" i="11"/>
  <c r="F218" i="10"/>
  <c r="L291" i="10"/>
  <c r="O291" i="10" s="1"/>
  <c r="J139" i="11"/>
  <c r="J161" i="11"/>
  <c r="L177" i="11"/>
  <c r="O177" i="11" s="1"/>
  <c r="F193" i="11"/>
  <c r="J393" i="11"/>
  <c r="F405" i="12"/>
  <c r="O337" i="9"/>
  <c r="O336" i="10"/>
  <c r="L89" i="11"/>
  <c r="O89" i="11" s="1"/>
  <c r="F135" i="11"/>
  <c r="L161" i="11"/>
  <c r="O161" i="11" s="1"/>
  <c r="L291" i="11"/>
  <c r="O291" i="11" s="1"/>
  <c r="O335" i="11"/>
  <c r="O339" i="11"/>
  <c r="L388" i="11"/>
  <c r="O388" i="11" s="1"/>
  <c r="L244" i="11"/>
  <c r="O244" i="11" s="1"/>
  <c r="J405" i="12"/>
  <c r="L177" i="10"/>
  <c r="O177" i="10" s="1"/>
  <c r="O337" i="10"/>
  <c r="J344" i="11"/>
  <c r="J389" i="11"/>
  <c r="K405" i="13"/>
  <c r="O336" i="11"/>
  <c r="J405" i="13"/>
  <c r="L165" i="10"/>
  <c r="O165" i="10" s="1"/>
  <c r="J366" i="11"/>
  <c r="L390" i="11"/>
  <c r="O390" i="11" s="1"/>
  <c r="L133" i="11"/>
  <c r="O133" i="11" s="1"/>
  <c r="L270" i="11"/>
  <c r="O270" i="11" s="1"/>
  <c r="P323" i="13"/>
  <c r="P405" i="13" s="1"/>
  <c r="L164" i="11"/>
  <c r="O164" i="11" s="1"/>
  <c r="G405" i="13"/>
  <c r="O405" i="12"/>
  <c r="L180" i="11"/>
  <c r="O180" i="11" s="1"/>
  <c r="L323" i="11"/>
  <c r="L162" i="11"/>
  <c r="O162" i="11" s="1"/>
  <c r="F172" i="11"/>
  <c r="J179" i="11"/>
  <c r="J239" i="11"/>
  <c r="F20" i="11"/>
  <c r="F165" i="11"/>
  <c r="F291" i="11"/>
  <c r="F309" i="11"/>
  <c r="F182" i="11"/>
  <c r="J250" i="11"/>
  <c r="I323" i="11"/>
  <c r="J323" i="11" s="1"/>
  <c r="F94" i="11"/>
  <c r="J392" i="11"/>
  <c r="F218" i="11"/>
  <c r="F269" i="11"/>
  <c r="F106" i="11"/>
  <c r="J180" i="11"/>
  <c r="F183" i="11"/>
  <c r="F34" i="11"/>
  <c r="F53" i="11"/>
  <c r="F95" i="11"/>
  <c r="F164" i="11"/>
  <c r="F182" i="10"/>
  <c r="L180" i="10"/>
  <c r="O180" i="10" s="1"/>
  <c r="J180" i="10"/>
  <c r="F172" i="10"/>
  <c r="J162" i="10"/>
  <c r="O339" i="10"/>
  <c r="L139" i="10"/>
  <c r="L239" i="10"/>
  <c r="O239" i="10" s="1"/>
  <c r="O334" i="10"/>
  <c r="L309" i="10"/>
  <c r="O309" i="10" s="1"/>
  <c r="F133" i="10"/>
  <c r="O333" i="10"/>
  <c r="L391" i="10"/>
  <c r="O391" i="10" s="1"/>
  <c r="L164" i="10"/>
  <c r="O164" i="10" s="1"/>
  <c r="F296" i="10"/>
  <c r="O340" i="10"/>
  <c r="L250" i="10"/>
  <c r="O250" i="10" s="1"/>
  <c r="J161" i="10"/>
  <c r="L161" i="10"/>
  <c r="O161" i="10" s="1"/>
  <c r="L8" i="10"/>
  <c r="O8" i="10" s="1"/>
  <c r="L366" i="10"/>
  <c r="O366" i="10" s="1"/>
  <c r="L392" i="10"/>
  <c r="O392" i="10" s="1"/>
  <c r="J390" i="10"/>
  <c r="F160" i="10"/>
  <c r="J89" i="10"/>
  <c r="F103" i="10"/>
  <c r="F293" i="10"/>
  <c r="O335" i="10"/>
  <c r="F94" i="10"/>
  <c r="J388" i="10"/>
  <c r="F138" i="10"/>
  <c r="L163" i="10"/>
  <c r="O163" i="10" s="1"/>
  <c r="F183" i="10"/>
  <c r="J239" i="10"/>
  <c r="O332" i="10"/>
  <c r="F291" i="10"/>
  <c r="L323" i="10"/>
  <c r="O323" i="10" s="1"/>
  <c r="F135" i="10"/>
  <c r="J389" i="10"/>
  <c r="F193" i="10"/>
  <c r="O341" i="10"/>
  <c r="L20" i="10"/>
  <c r="O20" i="10" s="1"/>
  <c r="O338" i="10"/>
  <c r="J323" i="10"/>
  <c r="J244" i="10"/>
  <c r="I405" i="10"/>
  <c r="L244" i="10"/>
  <c r="O244" i="10" s="1"/>
  <c r="F219" i="10"/>
  <c r="F106" i="10"/>
  <c r="L270" i="10"/>
  <c r="O270" i="10" s="1"/>
  <c r="L10" i="10"/>
  <c r="O10" i="10" s="1"/>
  <c r="F14" i="10"/>
  <c r="J241" i="10"/>
  <c r="F34" i="10"/>
  <c r="F53" i="10"/>
  <c r="F95" i="10"/>
  <c r="J139" i="10"/>
  <c r="L8" i="9"/>
  <c r="O8" i="9" s="1"/>
  <c r="L270" i="9"/>
  <c r="O270" i="9" s="1"/>
  <c r="O334" i="9"/>
  <c r="J366" i="9"/>
  <c r="L244" i="9"/>
  <c r="O244" i="9" s="1"/>
  <c r="L157" i="9"/>
  <c r="O157" i="9" s="1"/>
  <c r="O340" i="9"/>
  <c r="O335" i="9"/>
  <c r="L14" i="9"/>
  <c r="O14" i="9" s="1"/>
  <c r="L161" i="9"/>
  <c r="O161" i="9" s="1"/>
  <c r="J241" i="9"/>
  <c r="O340" i="8"/>
  <c r="O333" i="9"/>
  <c r="L163" i="9"/>
  <c r="O163" i="9" s="1"/>
  <c r="O338" i="9"/>
  <c r="L20" i="9"/>
  <c r="O20" i="9" s="1"/>
  <c r="L95" i="9"/>
  <c r="O95" i="9" s="1"/>
  <c r="L103" i="9"/>
  <c r="O103" i="9" s="1"/>
  <c r="L164" i="9"/>
  <c r="O164" i="9" s="1"/>
  <c r="O339" i="9"/>
  <c r="L160" i="9"/>
  <c r="O160" i="9" s="1"/>
  <c r="L291" i="9"/>
  <c r="O291" i="9" s="1"/>
  <c r="L239" i="9"/>
  <c r="O239" i="9" s="1"/>
  <c r="L106" i="9"/>
  <c r="O106" i="9" s="1"/>
  <c r="J161" i="9"/>
  <c r="O336" i="9"/>
  <c r="L138" i="9"/>
  <c r="O138" i="9" s="1"/>
  <c r="L269" i="9"/>
  <c r="O269" i="9" s="1"/>
  <c r="O332" i="9"/>
  <c r="O341" i="9"/>
  <c r="O341" i="8"/>
  <c r="L239" i="8"/>
  <c r="O239" i="8" s="1"/>
  <c r="J270" i="8"/>
  <c r="J89" i="9"/>
  <c r="L139" i="9"/>
  <c r="L323" i="9"/>
  <c r="O323" i="9" s="1"/>
  <c r="J332" i="9"/>
  <c r="J335" i="9"/>
  <c r="J338" i="9"/>
  <c r="J341" i="9"/>
  <c r="J333" i="9"/>
  <c r="J336" i="9"/>
  <c r="J339" i="9"/>
  <c r="F133" i="9"/>
  <c r="F177" i="9"/>
  <c r="F34" i="9"/>
  <c r="F172" i="9"/>
  <c r="F94" i="9"/>
  <c r="F183" i="9"/>
  <c r="F296" i="9"/>
  <c r="F162" i="9"/>
  <c r="F165" i="9"/>
  <c r="F218" i="9"/>
  <c r="F193" i="9"/>
  <c r="F53" i="9"/>
  <c r="F293" i="9"/>
  <c r="F10" i="9"/>
  <c r="F135" i="9"/>
  <c r="F219" i="9"/>
  <c r="F309" i="9"/>
  <c r="F182" i="9"/>
  <c r="K54" i="8"/>
  <c r="L54" i="8" s="1"/>
  <c r="O54" i="8" s="1"/>
  <c r="L119" i="8"/>
  <c r="O119" i="8" s="1"/>
  <c r="K9" i="8"/>
  <c r="K164" i="8"/>
  <c r="I339" i="8"/>
  <c r="J339" i="8" s="1"/>
  <c r="I338" i="8"/>
  <c r="I337" i="8"/>
  <c r="J337" i="8" s="1"/>
  <c r="I336" i="8"/>
  <c r="J336" i="8" s="1"/>
  <c r="I335" i="8"/>
  <c r="J335" i="8" s="1"/>
  <c r="I333" i="8"/>
  <c r="J333" i="8" s="1"/>
  <c r="I334" i="8"/>
  <c r="J334" i="8" s="1"/>
  <c r="I332" i="8"/>
  <c r="J332" i="8" s="1"/>
  <c r="K328" i="8"/>
  <c r="L328" i="8" s="1"/>
  <c r="O328" i="8" s="1"/>
  <c r="K157" i="8"/>
  <c r="L157" i="8" s="1"/>
  <c r="O157" i="8" s="1"/>
  <c r="K272" i="8"/>
  <c r="L272" i="8" s="1"/>
  <c r="O272" i="8" s="1"/>
  <c r="K327" i="8"/>
  <c r="L327" i="8" s="1"/>
  <c r="O327" i="8" s="1"/>
  <c r="L180" i="8"/>
  <c r="O180" i="8" s="1"/>
  <c r="L250" i="8"/>
  <c r="O250" i="8" s="1"/>
  <c r="L307" i="8"/>
  <c r="O307" i="8" s="1"/>
  <c r="L308" i="8"/>
  <c r="O308" i="8" s="1"/>
  <c r="L310" i="8"/>
  <c r="O310" i="8" s="1"/>
  <c r="L311" i="8"/>
  <c r="O311" i="8" s="1"/>
  <c r="L312" i="8"/>
  <c r="O312" i="8" s="1"/>
  <c r="L313" i="8"/>
  <c r="O313" i="8" s="1"/>
  <c r="L315" i="8"/>
  <c r="O315" i="8" s="1"/>
  <c r="L294" i="8"/>
  <c r="O294" i="8" s="1"/>
  <c r="L295" i="8"/>
  <c r="O295" i="8" s="1"/>
  <c r="L297" i="8"/>
  <c r="O297" i="8" s="1"/>
  <c r="L298" i="8"/>
  <c r="O298" i="8" s="1"/>
  <c r="L299" i="8"/>
  <c r="O299" i="8" s="1"/>
  <c r="L300" i="8"/>
  <c r="O300" i="8" s="1"/>
  <c r="L301" i="8"/>
  <c r="O301" i="8" s="1"/>
  <c r="L302" i="8"/>
  <c r="O302" i="8" s="1"/>
  <c r="L304" i="8"/>
  <c r="O304" i="8" s="1"/>
  <c r="L305" i="8"/>
  <c r="O305" i="8" s="1"/>
  <c r="L306" i="8"/>
  <c r="O306" i="8" s="1"/>
  <c r="L285" i="8"/>
  <c r="O285" i="8" s="1"/>
  <c r="L286" i="8"/>
  <c r="O286" i="8" s="1"/>
  <c r="L287" i="8"/>
  <c r="O287" i="8" s="1"/>
  <c r="L288" i="8"/>
  <c r="O288" i="8" s="1"/>
  <c r="L289" i="8"/>
  <c r="O289" i="8" s="1"/>
  <c r="L290" i="8"/>
  <c r="O290" i="8" s="1"/>
  <c r="L292" i="8"/>
  <c r="O292" i="8" s="1"/>
  <c r="L274" i="8"/>
  <c r="O274" i="8" s="1"/>
  <c r="L275" i="8"/>
  <c r="O275" i="8" s="1"/>
  <c r="L276" i="8"/>
  <c r="O276" i="8" s="1"/>
  <c r="L277" i="8"/>
  <c r="O277" i="8" s="1"/>
  <c r="L278" i="8"/>
  <c r="O278" i="8" s="1"/>
  <c r="L279" i="8"/>
  <c r="O279" i="8" s="1"/>
  <c r="L280" i="8"/>
  <c r="O280" i="8" s="1"/>
  <c r="L281" i="8"/>
  <c r="O281" i="8" s="1"/>
  <c r="L282" i="8"/>
  <c r="O282" i="8" s="1"/>
  <c r="L283" i="8"/>
  <c r="O283" i="8" s="1"/>
  <c r="L284" i="8"/>
  <c r="O284" i="8" s="1"/>
  <c r="L264" i="8"/>
  <c r="O264" i="8" s="1"/>
  <c r="L265" i="8"/>
  <c r="O265" i="8" s="1"/>
  <c r="L266" i="8"/>
  <c r="O266" i="8" s="1"/>
  <c r="L267" i="8"/>
  <c r="O267" i="8" s="1"/>
  <c r="L268" i="8"/>
  <c r="O268" i="8" s="1"/>
  <c r="L271" i="8"/>
  <c r="O271" i="8" s="1"/>
  <c r="L273" i="8"/>
  <c r="O273" i="8" s="1"/>
  <c r="L255" i="8"/>
  <c r="O255" i="8" s="1"/>
  <c r="L256" i="8"/>
  <c r="O256" i="8" s="1"/>
  <c r="L257" i="8"/>
  <c r="O257" i="8" s="1"/>
  <c r="L258" i="8"/>
  <c r="O258" i="8" s="1"/>
  <c r="L259" i="8"/>
  <c r="O259" i="8" s="1"/>
  <c r="L260" i="8"/>
  <c r="O260" i="8" s="1"/>
  <c r="L261" i="8"/>
  <c r="O261" i="8" s="1"/>
  <c r="L262" i="8"/>
  <c r="O262" i="8" s="1"/>
  <c r="L263" i="8"/>
  <c r="O263" i="8" s="1"/>
  <c r="L247" i="8"/>
  <c r="L249" i="8"/>
  <c r="O249" i="8" s="1"/>
  <c r="L252" i="8"/>
  <c r="O252" i="8" s="1"/>
  <c r="L253" i="8"/>
  <c r="O253" i="8" s="1"/>
  <c r="L254" i="8"/>
  <c r="O254" i="8" s="1"/>
  <c r="L234" i="8"/>
  <c r="O234" i="8" s="1"/>
  <c r="L235" i="8"/>
  <c r="O235" i="8" s="1"/>
  <c r="L236" i="8"/>
  <c r="O236" i="8" s="1"/>
  <c r="L237" i="8"/>
  <c r="O237" i="8" s="1"/>
  <c r="L238" i="8"/>
  <c r="O238" i="8" s="1"/>
  <c r="L240" i="8"/>
  <c r="O240" i="8" s="1"/>
  <c r="L241" i="8"/>
  <c r="O241" i="8" s="1"/>
  <c r="L243" i="8"/>
  <c r="O243" i="8" s="1"/>
  <c r="L245" i="8"/>
  <c r="O245" i="8" s="1"/>
  <c r="L246" i="8"/>
  <c r="O246" i="8" s="1"/>
  <c r="L214" i="8"/>
  <c r="O214" i="8" s="1"/>
  <c r="L215" i="8"/>
  <c r="O215" i="8" s="1"/>
  <c r="L216" i="8"/>
  <c r="O216" i="8" s="1"/>
  <c r="L217" i="8"/>
  <c r="O217" i="8" s="1"/>
  <c r="L220" i="8"/>
  <c r="O220" i="8" s="1"/>
  <c r="L221" i="8"/>
  <c r="O221" i="8" s="1"/>
  <c r="L222" i="8"/>
  <c r="O222" i="8" s="1"/>
  <c r="L223" i="8"/>
  <c r="O223" i="8" s="1"/>
  <c r="L224" i="8"/>
  <c r="O224" i="8" s="1"/>
  <c r="L225" i="8"/>
  <c r="O225" i="8" s="1"/>
  <c r="L226" i="8"/>
  <c r="O226" i="8" s="1"/>
  <c r="L227" i="8"/>
  <c r="O227" i="8" s="1"/>
  <c r="L228" i="8"/>
  <c r="O228" i="8" s="1"/>
  <c r="L229" i="8"/>
  <c r="O229" i="8" s="1"/>
  <c r="L230" i="8"/>
  <c r="O230" i="8" s="1"/>
  <c r="L231" i="8"/>
  <c r="O231" i="8" s="1"/>
  <c r="L232" i="8"/>
  <c r="O232" i="8" s="1"/>
  <c r="L233" i="8"/>
  <c r="O233" i="8" s="1"/>
  <c r="L202" i="8"/>
  <c r="O202" i="8" s="1"/>
  <c r="L203" i="8"/>
  <c r="O203" i="8" s="1"/>
  <c r="L204" i="8"/>
  <c r="O204" i="8" s="1"/>
  <c r="L205" i="8"/>
  <c r="O205" i="8" s="1"/>
  <c r="L206" i="8"/>
  <c r="O206" i="8" s="1"/>
  <c r="L207" i="8"/>
  <c r="O207" i="8" s="1"/>
  <c r="L208" i="8"/>
  <c r="O208" i="8" s="1"/>
  <c r="L209" i="8"/>
  <c r="O209" i="8" s="1"/>
  <c r="L210" i="8"/>
  <c r="O210" i="8" s="1"/>
  <c r="L211" i="8"/>
  <c r="O211" i="8" s="1"/>
  <c r="L212" i="8"/>
  <c r="O212" i="8" s="1"/>
  <c r="L213" i="8"/>
  <c r="O213" i="8" s="1"/>
  <c r="L194" i="8"/>
  <c r="O194" i="8" s="1"/>
  <c r="L195" i="8"/>
  <c r="O195" i="8" s="1"/>
  <c r="L196" i="8"/>
  <c r="O196" i="8" s="1"/>
  <c r="L197" i="8"/>
  <c r="O197" i="8" s="1"/>
  <c r="L198" i="8"/>
  <c r="O198" i="8" s="1"/>
  <c r="L199" i="8"/>
  <c r="O199" i="8" s="1"/>
  <c r="L200" i="8"/>
  <c r="O200" i="8" s="1"/>
  <c r="L201" i="8"/>
  <c r="O201" i="8" s="1"/>
  <c r="L185" i="8"/>
  <c r="O185" i="8" s="1"/>
  <c r="L186" i="8"/>
  <c r="O186" i="8" s="1"/>
  <c r="L187" i="8"/>
  <c r="O187" i="8" s="1"/>
  <c r="L188" i="8"/>
  <c r="O188" i="8" s="1"/>
  <c r="L189" i="8"/>
  <c r="O189" i="8" s="1"/>
  <c r="L190" i="8"/>
  <c r="O190" i="8" s="1"/>
  <c r="L191" i="8"/>
  <c r="O191" i="8" s="1"/>
  <c r="L192" i="8"/>
  <c r="O192" i="8" s="1"/>
  <c r="L175" i="8"/>
  <c r="O175" i="8" s="1"/>
  <c r="L176" i="8"/>
  <c r="O176" i="8" s="1"/>
  <c r="L178" i="8"/>
  <c r="O178" i="8" s="1"/>
  <c r="L181" i="8"/>
  <c r="O181" i="8" s="1"/>
  <c r="L184" i="8"/>
  <c r="O184" i="8" s="1"/>
  <c r="L167" i="8"/>
  <c r="O167" i="8" s="1"/>
  <c r="L169" i="8"/>
  <c r="O169" i="8" s="1"/>
  <c r="L171" i="8"/>
  <c r="O171" i="8" s="1"/>
  <c r="L173" i="8"/>
  <c r="O173" i="8" s="1"/>
  <c r="L174" i="8"/>
  <c r="O174" i="8" s="1"/>
  <c r="L152" i="8"/>
  <c r="O152" i="8" s="1"/>
  <c r="L153" i="8"/>
  <c r="O153" i="8" s="1"/>
  <c r="L154" i="8"/>
  <c r="O154" i="8" s="1"/>
  <c r="L155" i="8"/>
  <c r="O155" i="8" s="1"/>
  <c r="L156" i="8"/>
  <c r="O156" i="8" s="1"/>
  <c r="L158" i="8"/>
  <c r="O158" i="8" s="1"/>
  <c r="L159" i="8"/>
  <c r="O159" i="8" s="1"/>
  <c r="L166" i="8"/>
  <c r="O166" i="8" s="1"/>
  <c r="L140" i="8"/>
  <c r="O140" i="8" s="1"/>
  <c r="L141" i="8"/>
  <c r="O141" i="8" s="1"/>
  <c r="L142" i="8"/>
  <c r="O142" i="8" s="1"/>
  <c r="L143" i="8"/>
  <c r="O143" i="8" s="1"/>
  <c r="L144" i="8"/>
  <c r="O144" i="8" s="1"/>
  <c r="L145" i="8"/>
  <c r="O145" i="8" s="1"/>
  <c r="L146" i="8"/>
  <c r="O146" i="8" s="1"/>
  <c r="L147" i="8"/>
  <c r="O147" i="8" s="1"/>
  <c r="L149" i="8"/>
  <c r="O149" i="8" s="1"/>
  <c r="L150" i="8"/>
  <c r="O150" i="8" s="1"/>
  <c r="L151" i="8"/>
  <c r="O151" i="8" s="1"/>
  <c r="L125" i="8"/>
  <c r="O125" i="8" s="1"/>
  <c r="L126" i="8"/>
  <c r="O126" i="8" s="1"/>
  <c r="L127" i="8"/>
  <c r="O127" i="8" s="1"/>
  <c r="L128" i="8"/>
  <c r="O128" i="8" s="1"/>
  <c r="L129" i="8"/>
  <c r="O129" i="8" s="1"/>
  <c r="L131" i="8"/>
  <c r="O131" i="8" s="1"/>
  <c r="L132" i="8"/>
  <c r="O132" i="8" s="1"/>
  <c r="L134" i="8"/>
  <c r="O134" i="8" s="1"/>
  <c r="L136" i="8"/>
  <c r="O136" i="8" s="1"/>
  <c r="L137" i="8"/>
  <c r="O137" i="8" s="1"/>
  <c r="L110" i="8"/>
  <c r="O110" i="8" s="1"/>
  <c r="L111" i="8"/>
  <c r="O111" i="8" s="1"/>
  <c r="L112" i="8"/>
  <c r="O112" i="8" s="1"/>
  <c r="L113" i="8"/>
  <c r="O113" i="8" s="1"/>
  <c r="L114" i="8"/>
  <c r="O114" i="8" s="1"/>
  <c r="L115" i="8"/>
  <c r="O115" i="8" s="1"/>
  <c r="L116" i="8"/>
  <c r="O116" i="8" s="1"/>
  <c r="L117" i="8"/>
  <c r="O117" i="8" s="1"/>
  <c r="L120" i="8"/>
  <c r="O120" i="8" s="1"/>
  <c r="L121" i="8"/>
  <c r="O121" i="8" s="1"/>
  <c r="L122" i="8"/>
  <c r="O122" i="8" s="1"/>
  <c r="L123" i="8"/>
  <c r="O123" i="8" s="1"/>
  <c r="L97" i="8"/>
  <c r="O97" i="8" s="1"/>
  <c r="L98" i="8"/>
  <c r="O98" i="8" s="1"/>
  <c r="L99" i="8"/>
  <c r="O99" i="8" s="1"/>
  <c r="L100" i="8"/>
  <c r="O100" i="8" s="1"/>
  <c r="L101" i="8"/>
  <c r="O101" i="8" s="1"/>
  <c r="L102" i="8"/>
  <c r="O102" i="8" s="1"/>
  <c r="L104" i="8"/>
  <c r="O104" i="8" s="1"/>
  <c r="L105" i="8"/>
  <c r="O105" i="8" s="1"/>
  <c r="L107" i="8"/>
  <c r="O107" i="8" s="1"/>
  <c r="L108" i="8"/>
  <c r="O108" i="8" s="1"/>
  <c r="L109" i="8"/>
  <c r="O109" i="8" s="1"/>
  <c r="L83" i="8"/>
  <c r="O83" i="8" s="1"/>
  <c r="L84" i="8"/>
  <c r="O84" i="8" s="1"/>
  <c r="L85" i="8"/>
  <c r="O85" i="8" s="1"/>
  <c r="L86" i="8"/>
  <c r="O86" i="8" s="1"/>
  <c r="L87" i="8"/>
  <c r="O87" i="8" s="1"/>
  <c r="L88" i="8"/>
  <c r="O88" i="8" s="1"/>
  <c r="L89" i="8"/>
  <c r="O89" i="8" s="1"/>
  <c r="L90" i="8"/>
  <c r="O90" i="8" s="1"/>
  <c r="L91" i="8"/>
  <c r="O91" i="8" s="1"/>
  <c r="L92" i="8"/>
  <c r="O92" i="8" s="1"/>
  <c r="L93" i="8"/>
  <c r="O93" i="8" s="1"/>
  <c r="L96" i="8"/>
  <c r="O96" i="8" s="1"/>
  <c r="L77" i="8"/>
  <c r="O77" i="8" s="1"/>
  <c r="L78" i="8"/>
  <c r="O78" i="8" s="1"/>
  <c r="L79" i="8"/>
  <c r="O79" i="8" s="1"/>
  <c r="L80" i="8"/>
  <c r="O80" i="8" s="1"/>
  <c r="L81" i="8"/>
  <c r="O81" i="8" s="1"/>
  <c r="L82" i="8"/>
  <c r="O82" i="8" s="1"/>
  <c r="L57" i="8"/>
  <c r="O57" i="8" s="1"/>
  <c r="L58" i="8"/>
  <c r="O58" i="8" s="1"/>
  <c r="L59" i="8"/>
  <c r="O59" i="8" s="1"/>
  <c r="L60" i="8"/>
  <c r="O60" i="8" s="1"/>
  <c r="L61" i="8"/>
  <c r="O61" i="8" s="1"/>
  <c r="L62" i="8"/>
  <c r="O62" i="8" s="1"/>
  <c r="L63" i="8"/>
  <c r="O63" i="8" s="1"/>
  <c r="L64" i="8"/>
  <c r="O64" i="8" s="1"/>
  <c r="L65" i="8"/>
  <c r="O65" i="8" s="1"/>
  <c r="L66" i="8"/>
  <c r="O66" i="8" s="1"/>
  <c r="L67" i="8"/>
  <c r="O67" i="8" s="1"/>
  <c r="L68" i="8"/>
  <c r="O68" i="8" s="1"/>
  <c r="L69" i="8"/>
  <c r="O69" i="8" s="1"/>
  <c r="L70" i="8"/>
  <c r="O70" i="8" s="1"/>
  <c r="L71" i="8"/>
  <c r="O71" i="8" s="1"/>
  <c r="L72" i="8"/>
  <c r="O72" i="8" s="1"/>
  <c r="L73" i="8"/>
  <c r="O73" i="8" s="1"/>
  <c r="L74" i="8"/>
  <c r="O74" i="8" s="1"/>
  <c r="L9" i="8"/>
  <c r="O9" i="8" s="1"/>
  <c r="L11" i="8"/>
  <c r="O11" i="8" s="1"/>
  <c r="L12" i="8"/>
  <c r="O12" i="8" s="1"/>
  <c r="L13" i="8"/>
  <c r="O13" i="8" s="1"/>
  <c r="L15" i="8"/>
  <c r="O15" i="8" s="1"/>
  <c r="L16" i="8"/>
  <c r="O16" i="8" s="1"/>
  <c r="L17" i="8"/>
  <c r="O17" i="8" s="1"/>
  <c r="L18" i="8"/>
  <c r="O18" i="8" s="1"/>
  <c r="L19" i="8"/>
  <c r="O19" i="8" s="1"/>
  <c r="L21" i="8"/>
  <c r="O21" i="8" s="1"/>
  <c r="L22" i="8"/>
  <c r="O22" i="8" s="1"/>
  <c r="L23" i="8"/>
  <c r="O23" i="8" s="1"/>
  <c r="L25" i="8"/>
  <c r="O25" i="8" s="1"/>
  <c r="L26" i="8"/>
  <c r="O26" i="8" s="1"/>
  <c r="L27" i="8"/>
  <c r="O27" i="8" s="1"/>
  <c r="L28" i="8"/>
  <c r="O28" i="8" s="1"/>
  <c r="L29" i="8"/>
  <c r="O29" i="8" s="1"/>
  <c r="L30" i="8"/>
  <c r="O30" i="8" s="1"/>
  <c r="L31" i="8"/>
  <c r="O31" i="8" s="1"/>
  <c r="L32" i="8"/>
  <c r="O32" i="8" s="1"/>
  <c r="L33" i="8"/>
  <c r="O33" i="8" s="1"/>
  <c r="L35" i="8"/>
  <c r="O35" i="8" s="1"/>
  <c r="L36" i="8"/>
  <c r="O36" i="8" s="1"/>
  <c r="L37" i="8"/>
  <c r="O37" i="8" s="1"/>
  <c r="L38" i="8"/>
  <c r="O38" i="8" s="1"/>
  <c r="L39" i="8"/>
  <c r="O39" i="8" s="1"/>
  <c r="L40" i="8"/>
  <c r="O40" i="8" s="1"/>
  <c r="L41" i="8"/>
  <c r="O41" i="8" s="1"/>
  <c r="L42" i="8"/>
  <c r="O42" i="8" s="1"/>
  <c r="L44" i="8"/>
  <c r="O44" i="8" s="1"/>
  <c r="L45" i="8"/>
  <c r="O45" i="8" s="1"/>
  <c r="L46" i="8"/>
  <c r="O46" i="8" s="1"/>
  <c r="L47" i="8"/>
  <c r="O47" i="8" s="1"/>
  <c r="L48" i="8"/>
  <c r="O48" i="8" s="1"/>
  <c r="L49" i="8"/>
  <c r="O49" i="8" s="1"/>
  <c r="L50" i="8"/>
  <c r="O50" i="8" s="1"/>
  <c r="L51" i="8"/>
  <c r="O51" i="8" s="1"/>
  <c r="K329" i="8"/>
  <c r="L329" i="8" s="1"/>
  <c r="O329" i="8" s="1"/>
  <c r="L330" i="8"/>
  <c r="O330" i="8" s="1"/>
  <c r="L331" i="8"/>
  <c r="O331" i="8" s="1"/>
  <c r="D193" i="8"/>
  <c r="L193" i="8" s="1"/>
  <c r="O193" i="8" s="1"/>
  <c r="L326" i="8"/>
  <c r="O326" i="8" s="1"/>
  <c r="K170" i="8"/>
  <c r="L170" i="8" s="1"/>
  <c r="O170" i="8" s="1"/>
  <c r="K325" i="8"/>
  <c r="L325" i="8" s="1"/>
  <c r="O325" i="8" s="1"/>
  <c r="L324" i="8"/>
  <c r="O324" i="8" s="1"/>
  <c r="H323" i="8"/>
  <c r="L322" i="8"/>
  <c r="O322" i="8" s="1"/>
  <c r="L321" i="8"/>
  <c r="O321" i="8" s="1"/>
  <c r="L320" i="8"/>
  <c r="O320" i="8" s="1"/>
  <c r="L319" i="8"/>
  <c r="O319" i="8" s="1"/>
  <c r="F319" i="8"/>
  <c r="K318" i="8"/>
  <c r="L318" i="8" s="1"/>
  <c r="O318" i="8" s="1"/>
  <c r="K317" i="8"/>
  <c r="L317" i="8" s="1"/>
  <c r="O317" i="8" s="1"/>
  <c r="K316" i="8"/>
  <c r="L316" i="8" s="1"/>
  <c r="O316" i="8" s="1"/>
  <c r="D314" i="8"/>
  <c r="L314" i="8" s="1"/>
  <c r="O314" i="8" s="1"/>
  <c r="F311" i="8"/>
  <c r="F310" i="8"/>
  <c r="D309" i="8"/>
  <c r="L309" i="8" s="1"/>
  <c r="O309" i="8" s="1"/>
  <c r="F308" i="8"/>
  <c r="F307" i="8"/>
  <c r="F306" i="8"/>
  <c r="F305" i="8"/>
  <c r="F304" i="8"/>
  <c r="K303" i="8"/>
  <c r="L303" i="8" s="1"/>
  <c r="O303" i="8" s="1"/>
  <c r="J303" i="8"/>
  <c r="F303" i="8"/>
  <c r="F302" i="8"/>
  <c r="F301" i="8"/>
  <c r="F300" i="8"/>
  <c r="F299" i="8"/>
  <c r="F298" i="8"/>
  <c r="F297" i="8"/>
  <c r="D296" i="8"/>
  <c r="L296" i="8" s="1"/>
  <c r="O296" i="8" s="1"/>
  <c r="F295" i="8"/>
  <c r="F294" i="8"/>
  <c r="D293" i="8"/>
  <c r="L293" i="8" s="1"/>
  <c r="O293" i="8" s="1"/>
  <c r="F292" i="8"/>
  <c r="K291" i="8"/>
  <c r="D291" i="8"/>
  <c r="F290" i="8"/>
  <c r="F286" i="8"/>
  <c r="F285" i="8"/>
  <c r="F284" i="8"/>
  <c r="F283" i="8"/>
  <c r="F282" i="8"/>
  <c r="F281" i="8"/>
  <c r="F280" i="8"/>
  <c r="F279" i="8"/>
  <c r="F278" i="8"/>
  <c r="F277" i="8"/>
  <c r="F276" i="8"/>
  <c r="J275" i="8"/>
  <c r="F275" i="8"/>
  <c r="F274" i="8"/>
  <c r="F272" i="8"/>
  <c r="F271" i="8"/>
  <c r="D269" i="8"/>
  <c r="F269" i="8" s="1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K251" i="8"/>
  <c r="L251" i="8" s="1"/>
  <c r="O251" i="8" s="1"/>
  <c r="F251" i="8"/>
  <c r="F250" i="8"/>
  <c r="F249" i="8"/>
  <c r="F247" i="8"/>
  <c r="F246" i="8"/>
  <c r="F245" i="8"/>
  <c r="H244" i="8"/>
  <c r="L244" i="8" s="1"/>
  <c r="F244" i="8"/>
  <c r="F243" i="8"/>
  <c r="F241" i="8"/>
  <c r="F240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D219" i="8"/>
  <c r="D218" i="8"/>
  <c r="L218" i="8" s="1"/>
  <c r="O218" i="8" s="1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0" i="8"/>
  <c r="F198" i="8"/>
  <c r="F197" i="8"/>
  <c r="F196" i="8"/>
  <c r="F195" i="8"/>
  <c r="F194" i="8"/>
  <c r="F192" i="8"/>
  <c r="F191" i="8"/>
  <c r="F190" i="8"/>
  <c r="F189" i="8"/>
  <c r="F188" i="8"/>
  <c r="F187" i="8"/>
  <c r="F186" i="8"/>
  <c r="F185" i="8"/>
  <c r="F184" i="8"/>
  <c r="D183" i="8"/>
  <c r="F183" i="8" s="1"/>
  <c r="D182" i="8"/>
  <c r="L182" i="8" s="1"/>
  <c r="O182" i="8" s="1"/>
  <c r="F181" i="8"/>
  <c r="F180" i="8"/>
  <c r="L179" i="8"/>
  <c r="O179" i="8" s="1"/>
  <c r="F179" i="8"/>
  <c r="F178" i="8"/>
  <c r="D177" i="8"/>
  <c r="F177" i="8" s="1"/>
  <c r="F176" i="8"/>
  <c r="F175" i="8"/>
  <c r="F174" i="8"/>
  <c r="F173" i="8"/>
  <c r="D172" i="8"/>
  <c r="F172" i="8" s="1"/>
  <c r="F171" i="8"/>
  <c r="F170" i="8"/>
  <c r="F169" i="8"/>
  <c r="K168" i="8"/>
  <c r="L168" i="8" s="1"/>
  <c r="O168" i="8" s="1"/>
  <c r="F168" i="8"/>
  <c r="D165" i="8"/>
  <c r="L165" i="8" s="1"/>
  <c r="O165" i="8" s="1"/>
  <c r="D164" i="8"/>
  <c r="F164" i="8" s="1"/>
  <c r="D163" i="8"/>
  <c r="F163" i="8" s="1"/>
  <c r="H162" i="8"/>
  <c r="J162" i="8" s="1"/>
  <c r="D162" i="8"/>
  <c r="K161" i="8"/>
  <c r="I161" i="8"/>
  <c r="H161" i="8"/>
  <c r="F161" i="8"/>
  <c r="D160" i="8"/>
  <c r="L160" i="8" s="1"/>
  <c r="O160" i="8" s="1"/>
  <c r="F159" i="8"/>
  <c r="F158" i="8"/>
  <c r="F157" i="8"/>
  <c r="F156" i="8"/>
  <c r="F155" i="8"/>
  <c r="F154" i="8"/>
  <c r="F153" i="8"/>
  <c r="F151" i="8"/>
  <c r="F150" i="8"/>
  <c r="D148" i="8"/>
  <c r="L148" i="8" s="1"/>
  <c r="O148" i="8" s="1"/>
  <c r="F147" i="8"/>
  <c r="F146" i="8"/>
  <c r="F143" i="8"/>
  <c r="F141" i="8"/>
  <c r="F140" i="8"/>
  <c r="K139" i="8"/>
  <c r="O139" i="8" s="1"/>
  <c r="H139" i="8"/>
  <c r="J139" i="8" s="1"/>
  <c r="F139" i="8"/>
  <c r="D138" i="8"/>
  <c r="L138" i="8" s="1"/>
  <c r="O138" i="8" s="1"/>
  <c r="F137" i="8"/>
  <c r="F136" i="8"/>
  <c r="D135" i="8"/>
  <c r="L135" i="8" s="1"/>
  <c r="O135" i="8" s="1"/>
  <c r="F134" i="8"/>
  <c r="D133" i="8"/>
  <c r="L133" i="8" s="1"/>
  <c r="O133" i="8" s="1"/>
  <c r="F132" i="8"/>
  <c r="F131" i="8"/>
  <c r="L130" i="8"/>
  <c r="O130" i="8" s="1"/>
  <c r="F130" i="8"/>
  <c r="F129" i="8"/>
  <c r="F128" i="8"/>
  <c r="F127" i="8"/>
  <c r="F126" i="8"/>
  <c r="F125" i="8"/>
  <c r="K124" i="8"/>
  <c r="L124" i="8" s="1"/>
  <c r="O124" i="8" s="1"/>
  <c r="F124" i="8"/>
  <c r="F123" i="8"/>
  <c r="F122" i="8"/>
  <c r="F121" i="8"/>
  <c r="F120" i="8"/>
  <c r="F119" i="8"/>
  <c r="L118" i="8"/>
  <c r="O118" i="8" s="1"/>
  <c r="F118" i="8"/>
  <c r="F117" i="8"/>
  <c r="F116" i="8"/>
  <c r="F115" i="8"/>
  <c r="F114" i="8"/>
  <c r="F113" i="8"/>
  <c r="F112" i="8"/>
  <c r="F111" i="8"/>
  <c r="F110" i="8"/>
  <c r="F109" i="8"/>
  <c r="F108" i="8"/>
  <c r="F107" i="8"/>
  <c r="D106" i="8"/>
  <c r="L106" i="8" s="1"/>
  <c r="O106" i="8" s="1"/>
  <c r="F105" i="8"/>
  <c r="F104" i="8"/>
  <c r="D103" i="8"/>
  <c r="L103" i="8" s="1"/>
  <c r="O103" i="8" s="1"/>
  <c r="F102" i="8"/>
  <c r="F101" i="8"/>
  <c r="F100" i="8"/>
  <c r="F99" i="8"/>
  <c r="F98" i="8"/>
  <c r="F97" i="8"/>
  <c r="F96" i="8"/>
  <c r="D95" i="8"/>
  <c r="F95" i="8" s="1"/>
  <c r="D94" i="8"/>
  <c r="L94" i="8" s="1"/>
  <c r="O94" i="8" s="1"/>
  <c r="F93" i="8"/>
  <c r="F92" i="8"/>
  <c r="F91" i="8"/>
  <c r="F90" i="8"/>
  <c r="F89" i="8"/>
  <c r="F87" i="8"/>
  <c r="F86" i="8"/>
  <c r="F85" i="8"/>
  <c r="F84" i="8"/>
  <c r="F83" i="8"/>
  <c r="F82" i="8"/>
  <c r="F81" i="8"/>
  <c r="F80" i="8"/>
  <c r="F79" i="8"/>
  <c r="F78" i="8"/>
  <c r="F77" i="8"/>
  <c r="K76" i="8"/>
  <c r="L76" i="8" s="1"/>
  <c r="O76" i="8" s="1"/>
  <c r="F76" i="8"/>
  <c r="K75" i="8"/>
  <c r="L75" i="8" s="1"/>
  <c r="O75" i="8" s="1"/>
  <c r="F75" i="8"/>
  <c r="F74" i="8"/>
  <c r="F73" i="8"/>
  <c r="F72" i="8"/>
  <c r="F71" i="8"/>
  <c r="F70" i="8"/>
  <c r="F69" i="8"/>
  <c r="F68" i="8"/>
  <c r="F67" i="8"/>
  <c r="F66" i="8"/>
  <c r="F65" i="8"/>
  <c r="F61" i="8"/>
  <c r="F60" i="8"/>
  <c r="F59" i="8"/>
  <c r="F58" i="8"/>
  <c r="F57" i="8"/>
  <c r="F56" i="8"/>
  <c r="F55" i="8"/>
  <c r="F54" i="8"/>
  <c r="D53" i="8"/>
  <c r="L53" i="8" s="1"/>
  <c r="O53" i="8" s="1"/>
  <c r="F52" i="8"/>
  <c r="F51" i="8"/>
  <c r="F50" i="8"/>
  <c r="F49" i="8"/>
  <c r="F48" i="8"/>
  <c r="F47" i="8"/>
  <c r="F46" i="8"/>
  <c r="F45" i="8"/>
  <c r="F44" i="8"/>
  <c r="K43" i="8"/>
  <c r="L43" i="8" s="1"/>
  <c r="O43" i="8" s="1"/>
  <c r="F43" i="8"/>
  <c r="F42" i="8"/>
  <c r="F41" i="8"/>
  <c r="F40" i="8"/>
  <c r="F39" i="8"/>
  <c r="F38" i="8"/>
  <c r="F37" i="8"/>
  <c r="F36" i="8"/>
  <c r="F35" i="8"/>
  <c r="D34" i="8"/>
  <c r="F34" i="8" s="1"/>
  <c r="F33" i="8"/>
  <c r="F32" i="8"/>
  <c r="F31" i="8"/>
  <c r="F30" i="8"/>
  <c r="F29" i="8"/>
  <c r="F28" i="8"/>
  <c r="F27" i="8"/>
  <c r="F26" i="8"/>
  <c r="K24" i="8"/>
  <c r="L24" i="8" s="1"/>
  <c r="O24" i="8" s="1"/>
  <c r="F23" i="8"/>
  <c r="F22" i="8"/>
  <c r="F21" i="8"/>
  <c r="D20" i="8"/>
  <c r="L20" i="8" s="1"/>
  <c r="O20" i="8" s="1"/>
  <c r="F19" i="8"/>
  <c r="F18" i="8"/>
  <c r="F17" i="8"/>
  <c r="F16" i="8"/>
  <c r="F15" i="8"/>
  <c r="D14" i="8"/>
  <c r="F14" i="8" s="1"/>
  <c r="F13" i="8"/>
  <c r="F12" i="8"/>
  <c r="F11" i="8"/>
  <c r="D10" i="8"/>
  <c r="L10" i="8" s="1"/>
  <c r="O10" i="8" s="1"/>
  <c r="F9" i="8"/>
  <c r="F8" i="8"/>
  <c r="D8" i="8"/>
  <c r="K317" i="7"/>
  <c r="K250" i="7"/>
  <c r="L250" i="7" s="1"/>
  <c r="O250" i="7" s="1"/>
  <c r="K118" i="7"/>
  <c r="L118" i="7" s="1"/>
  <c r="O118" i="7" s="1"/>
  <c r="K92" i="7"/>
  <c r="L92" i="7" s="1"/>
  <c r="O92" i="7" s="1"/>
  <c r="K179" i="7"/>
  <c r="L179" i="7" s="1"/>
  <c r="O179" i="7" s="1"/>
  <c r="K119" i="7"/>
  <c r="L119" i="7" s="1"/>
  <c r="O119" i="7" s="1"/>
  <c r="K323" i="7"/>
  <c r="K244" i="7"/>
  <c r="K180" i="7"/>
  <c r="L180" i="7" s="1"/>
  <c r="O180" i="7" s="1"/>
  <c r="K303" i="7"/>
  <c r="L303" i="7" s="1"/>
  <c r="O303" i="7" s="1"/>
  <c r="K130" i="7"/>
  <c r="L130" i="7" s="1"/>
  <c r="O130" i="7" s="1"/>
  <c r="K54" i="7"/>
  <c r="K251" i="7"/>
  <c r="K161" i="7"/>
  <c r="K8" i="7"/>
  <c r="K291" i="7"/>
  <c r="K75" i="7"/>
  <c r="L75" i="7" s="1"/>
  <c r="O75" i="7" s="1"/>
  <c r="K325" i="7"/>
  <c r="L325" i="7" s="1"/>
  <c r="O325" i="7" s="1"/>
  <c r="L324" i="7"/>
  <c r="O324" i="7" s="1"/>
  <c r="H323" i="7"/>
  <c r="I323" i="7" s="1"/>
  <c r="J323" i="7" s="1"/>
  <c r="L322" i="7"/>
  <c r="O322" i="7" s="1"/>
  <c r="L321" i="7"/>
  <c r="O321" i="7" s="1"/>
  <c r="L320" i="7"/>
  <c r="O320" i="7" s="1"/>
  <c r="L319" i="7"/>
  <c r="O319" i="7" s="1"/>
  <c r="F319" i="7"/>
  <c r="K318" i="7"/>
  <c r="L318" i="7" s="1"/>
  <c r="O318" i="7" s="1"/>
  <c r="L317" i="7"/>
  <c r="O317" i="7" s="1"/>
  <c r="K316" i="7"/>
  <c r="L316" i="7" s="1"/>
  <c r="O316" i="7" s="1"/>
  <c r="L315" i="7"/>
  <c r="O315" i="7" s="1"/>
  <c r="D314" i="7"/>
  <c r="L314" i="7" s="1"/>
  <c r="O314" i="7" s="1"/>
  <c r="L313" i="7"/>
  <c r="O313" i="7" s="1"/>
  <c r="L312" i="7"/>
  <c r="O312" i="7" s="1"/>
  <c r="L311" i="7"/>
  <c r="O311" i="7" s="1"/>
  <c r="F311" i="7"/>
  <c r="L310" i="7"/>
  <c r="O310" i="7" s="1"/>
  <c r="F310" i="7"/>
  <c r="D309" i="7"/>
  <c r="L309" i="7" s="1"/>
  <c r="O309" i="7" s="1"/>
  <c r="L308" i="7"/>
  <c r="O308" i="7" s="1"/>
  <c r="F308" i="7"/>
  <c r="L307" i="7"/>
  <c r="O307" i="7" s="1"/>
  <c r="F307" i="7"/>
  <c r="L306" i="7"/>
  <c r="O306" i="7" s="1"/>
  <c r="F306" i="7"/>
  <c r="L305" i="7"/>
  <c r="O305" i="7" s="1"/>
  <c r="F305" i="7"/>
  <c r="L304" i="7"/>
  <c r="O304" i="7" s="1"/>
  <c r="F304" i="7"/>
  <c r="J303" i="7"/>
  <c r="F303" i="7"/>
  <c r="L302" i="7"/>
  <c r="O302" i="7" s="1"/>
  <c r="F302" i="7"/>
  <c r="L301" i="7"/>
  <c r="O301" i="7" s="1"/>
  <c r="F301" i="7"/>
  <c r="L300" i="7"/>
  <c r="O300" i="7" s="1"/>
  <c r="F300" i="7"/>
  <c r="L299" i="7"/>
  <c r="O299" i="7" s="1"/>
  <c r="F299" i="7"/>
  <c r="L298" i="7"/>
  <c r="O298" i="7" s="1"/>
  <c r="F298" i="7"/>
  <c r="L297" i="7"/>
  <c r="O297" i="7" s="1"/>
  <c r="F297" i="7"/>
  <c r="D296" i="7"/>
  <c r="L296" i="7" s="1"/>
  <c r="O296" i="7" s="1"/>
  <c r="L295" i="7"/>
  <c r="O295" i="7" s="1"/>
  <c r="F295" i="7"/>
  <c r="L294" i="7"/>
  <c r="O294" i="7" s="1"/>
  <c r="F294" i="7"/>
  <c r="D293" i="7"/>
  <c r="L293" i="7" s="1"/>
  <c r="O293" i="7" s="1"/>
  <c r="L292" i="7"/>
  <c r="O292" i="7" s="1"/>
  <c r="F292" i="7"/>
  <c r="D291" i="7"/>
  <c r="F291" i="7" s="1"/>
  <c r="L290" i="7"/>
  <c r="O290" i="7" s="1"/>
  <c r="F290" i="7"/>
  <c r="L289" i="7"/>
  <c r="O289" i="7" s="1"/>
  <c r="L288" i="7"/>
  <c r="O288" i="7" s="1"/>
  <c r="L287" i="7"/>
  <c r="O287" i="7" s="1"/>
  <c r="L286" i="7"/>
  <c r="O286" i="7" s="1"/>
  <c r="F286" i="7"/>
  <c r="L285" i="7"/>
  <c r="O285" i="7" s="1"/>
  <c r="F285" i="7"/>
  <c r="L284" i="7"/>
  <c r="O284" i="7" s="1"/>
  <c r="F284" i="7"/>
  <c r="L283" i="7"/>
  <c r="O283" i="7" s="1"/>
  <c r="F283" i="7"/>
  <c r="L282" i="7"/>
  <c r="O282" i="7" s="1"/>
  <c r="F282" i="7"/>
  <c r="L281" i="7"/>
  <c r="O281" i="7" s="1"/>
  <c r="F281" i="7"/>
  <c r="L280" i="7"/>
  <c r="O280" i="7" s="1"/>
  <c r="F280" i="7"/>
  <c r="L279" i="7"/>
  <c r="O279" i="7" s="1"/>
  <c r="F279" i="7"/>
  <c r="L278" i="7"/>
  <c r="O278" i="7" s="1"/>
  <c r="F278" i="7"/>
  <c r="L277" i="7"/>
  <c r="O277" i="7" s="1"/>
  <c r="F277" i="7"/>
  <c r="L276" i="7"/>
  <c r="O276" i="7" s="1"/>
  <c r="F276" i="7"/>
  <c r="L275" i="7"/>
  <c r="O275" i="7" s="1"/>
  <c r="J275" i="7"/>
  <c r="F275" i="7"/>
  <c r="L274" i="7"/>
  <c r="O274" i="7" s="1"/>
  <c r="F274" i="7"/>
  <c r="L273" i="7"/>
  <c r="O273" i="7" s="1"/>
  <c r="L272" i="7"/>
  <c r="O272" i="7" s="1"/>
  <c r="F272" i="7"/>
  <c r="L271" i="7"/>
  <c r="O271" i="7" s="1"/>
  <c r="F271" i="7"/>
  <c r="L270" i="7"/>
  <c r="O270" i="7" s="1"/>
  <c r="F270" i="7"/>
  <c r="D269" i="7"/>
  <c r="L269" i="7" s="1"/>
  <c r="O269" i="7" s="1"/>
  <c r="L268" i="7"/>
  <c r="O268" i="7" s="1"/>
  <c r="F268" i="7"/>
  <c r="L267" i="7"/>
  <c r="O267" i="7" s="1"/>
  <c r="F267" i="7"/>
  <c r="L266" i="7"/>
  <c r="O266" i="7" s="1"/>
  <c r="F266" i="7"/>
  <c r="L265" i="7"/>
  <c r="O265" i="7" s="1"/>
  <c r="F265" i="7"/>
  <c r="L264" i="7"/>
  <c r="O264" i="7" s="1"/>
  <c r="F264" i="7"/>
  <c r="L263" i="7"/>
  <c r="O263" i="7" s="1"/>
  <c r="F263" i="7"/>
  <c r="L262" i="7"/>
  <c r="O262" i="7" s="1"/>
  <c r="F262" i="7"/>
  <c r="L261" i="7"/>
  <c r="O261" i="7" s="1"/>
  <c r="F261" i="7"/>
  <c r="L260" i="7"/>
  <c r="O260" i="7" s="1"/>
  <c r="F260" i="7"/>
  <c r="L259" i="7"/>
  <c r="O259" i="7" s="1"/>
  <c r="F259" i="7"/>
  <c r="L258" i="7"/>
  <c r="O258" i="7" s="1"/>
  <c r="F258" i="7"/>
  <c r="L257" i="7"/>
  <c r="O257" i="7" s="1"/>
  <c r="F257" i="7"/>
  <c r="L256" i="7"/>
  <c r="O256" i="7" s="1"/>
  <c r="F256" i="7"/>
  <c r="L255" i="7"/>
  <c r="O255" i="7" s="1"/>
  <c r="F255" i="7"/>
  <c r="L254" i="7"/>
  <c r="O254" i="7" s="1"/>
  <c r="F254" i="7"/>
  <c r="L253" i="7"/>
  <c r="O253" i="7" s="1"/>
  <c r="F253" i="7"/>
  <c r="L252" i="7"/>
  <c r="O252" i="7" s="1"/>
  <c r="F252" i="7"/>
  <c r="L251" i="7"/>
  <c r="O251" i="7" s="1"/>
  <c r="F251" i="7"/>
  <c r="F250" i="7"/>
  <c r="L249" i="7"/>
  <c r="O249" i="7" s="1"/>
  <c r="F249" i="7"/>
  <c r="L248" i="7"/>
  <c r="O248" i="7" s="1"/>
  <c r="F248" i="7"/>
  <c r="L247" i="7"/>
  <c r="O247" i="7" s="1"/>
  <c r="F247" i="7"/>
  <c r="L246" i="7"/>
  <c r="O246" i="7" s="1"/>
  <c r="F246" i="7"/>
  <c r="L245" i="7"/>
  <c r="O245" i="7" s="1"/>
  <c r="F245" i="7"/>
  <c r="H244" i="7"/>
  <c r="I244" i="7" s="1"/>
  <c r="J244" i="7" s="1"/>
  <c r="F244" i="7"/>
  <c r="L243" i="7"/>
  <c r="O243" i="7" s="1"/>
  <c r="F243" i="7"/>
  <c r="L242" i="7"/>
  <c r="O242" i="7" s="1"/>
  <c r="F242" i="7"/>
  <c r="L241" i="7"/>
  <c r="O241" i="7" s="1"/>
  <c r="F241" i="7"/>
  <c r="L240" i="7"/>
  <c r="O240" i="7" s="1"/>
  <c r="F240" i="7"/>
  <c r="L239" i="7"/>
  <c r="O239" i="7" s="1"/>
  <c r="F239" i="7"/>
  <c r="L238" i="7"/>
  <c r="O238" i="7" s="1"/>
  <c r="F238" i="7"/>
  <c r="L237" i="7"/>
  <c r="O237" i="7" s="1"/>
  <c r="F237" i="7"/>
  <c r="L236" i="7"/>
  <c r="O236" i="7" s="1"/>
  <c r="F236" i="7"/>
  <c r="L235" i="7"/>
  <c r="O235" i="7" s="1"/>
  <c r="F235" i="7"/>
  <c r="L234" i="7"/>
  <c r="O234" i="7" s="1"/>
  <c r="F234" i="7"/>
  <c r="L233" i="7"/>
  <c r="O233" i="7" s="1"/>
  <c r="F233" i="7"/>
  <c r="L232" i="7"/>
  <c r="O232" i="7" s="1"/>
  <c r="F232" i="7"/>
  <c r="L231" i="7"/>
  <c r="O231" i="7" s="1"/>
  <c r="F231" i="7"/>
  <c r="L230" i="7"/>
  <c r="O230" i="7" s="1"/>
  <c r="F230" i="7"/>
  <c r="L229" i="7"/>
  <c r="O229" i="7" s="1"/>
  <c r="F229" i="7"/>
  <c r="L228" i="7"/>
  <c r="O228" i="7" s="1"/>
  <c r="F228" i="7"/>
  <c r="L227" i="7"/>
  <c r="O227" i="7" s="1"/>
  <c r="F227" i="7"/>
  <c r="L226" i="7"/>
  <c r="O226" i="7" s="1"/>
  <c r="F226" i="7"/>
  <c r="L225" i="7"/>
  <c r="O225" i="7" s="1"/>
  <c r="F225" i="7"/>
  <c r="L224" i="7"/>
  <c r="O224" i="7" s="1"/>
  <c r="F224" i="7"/>
  <c r="L223" i="7"/>
  <c r="O223" i="7" s="1"/>
  <c r="F223" i="7"/>
  <c r="L222" i="7"/>
  <c r="O222" i="7" s="1"/>
  <c r="F222" i="7"/>
  <c r="L221" i="7"/>
  <c r="O221" i="7" s="1"/>
  <c r="F221" i="7"/>
  <c r="L220" i="7"/>
  <c r="O220" i="7" s="1"/>
  <c r="F220" i="7"/>
  <c r="D219" i="7"/>
  <c r="L219" i="7" s="1"/>
  <c r="O219" i="7" s="1"/>
  <c r="D218" i="7"/>
  <c r="L218" i="7" s="1"/>
  <c r="O218" i="7" s="1"/>
  <c r="L217" i="7"/>
  <c r="O217" i="7" s="1"/>
  <c r="F217" i="7"/>
  <c r="L216" i="7"/>
  <c r="O216" i="7" s="1"/>
  <c r="F216" i="7"/>
  <c r="L215" i="7"/>
  <c r="O215" i="7" s="1"/>
  <c r="F215" i="7"/>
  <c r="L214" i="7"/>
  <c r="O214" i="7" s="1"/>
  <c r="F214" i="7"/>
  <c r="L213" i="7"/>
  <c r="O213" i="7" s="1"/>
  <c r="F213" i="7"/>
  <c r="L212" i="7"/>
  <c r="O212" i="7" s="1"/>
  <c r="F212" i="7"/>
  <c r="L211" i="7"/>
  <c r="O211" i="7" s="1"/>
  <c r="F211" i="7"/>
  <c r="L210" i="7"/>
  <c r="O210" i="7" s="1"/>
  <c r="F210" i="7"/>
  <c r="L209" i="7"/>
  <c r="O209" i="7" s="1"/>
  <c r="F209" i="7"/>
  <c r="L208" i="7"/>
  <c r="O208" i="7" s="1"/>
  <c r="F208" i="7"/>
  <c r="L207" i="7"/>
  <c r="O207" i="7" s="1"/>
  <c r="F207" i="7"/>
  <c r="L206" i="7"/>
  <c r="O206" i="7" s="1"/>
  <c r="F206" i="7"/>
  <c r="L205" i="7"/>
  <c r="O205" i="7" s="1"/>
  <c r="F205" i="7"/>
  <c r="L204" i="7"/>
  <c r="O204" i="7" s="1"/>
  <c r="F204" i="7"/>
  <c r="L203" i="7"/>
  <c r="O203" i="7" s="1"/>
  <c r="F203" i="7"/>
  <c r="L202" i="7"/>
  <c r="O202" i="7" s="1"/>
  <c r="F202" i="7"/>
  <c r="L201" i="7"/>
  <c r="O201" i="7" s="1"/>
  <c r="L200" i="7"/>
  <c r="O200" i="7" s="1"/>
  <c r="F200" i="7"/>
  <c r="L199" i="7"/>
  <c r="O199" i="7" s="1"/>
  <c r="L198" i="7"/>
  <c r="O198" i="7" s="1"/>
  <c r="F198" i="7"/>
  <c r="L197" i="7"/>
  <c r="O197" i="7" s="1"/>
  <c r="F197" i="7"/>
  <c r="L196" i="7"/>
  <c r="O196" i="7" s="1"/>
  <c r="F196" i="7"/>
  <c r="L195" i="7"/>
  <c r="O195" i="7" s="1"/>
  <c r="F195" i="7"/>
  <c r="L194" i="7"/>
  <c r="O194" i="7" s="1"/>
  <c r="F194" i="7"/>
  <c r="L193" i="7"/>
  <c r="O193" i="7" s="1"/>
  <c r="F193" i="7"/>
  <c r="L192" i="7"/>
  <c r="O192" i="7" s="1"/>
  <c r="F192" i="7"/>
  <c r="L191" i="7"/>
  <c r="O191" i="7" s="1"/>
  <c r="F191" i="7"/>
  <c r="L190" i="7"/>
  <c r="O190" i="7" s="1"/>
  <c r="F190" i="7"/>
  <c r="L189" i="7"/>
  <c r="O189" i="7" s="1"/>
  <c r="F189" i="7"/>
  <c r="L188" i="7"/>
  <c r="O188" i="7" s="1"/>
  <c r="F188" i="7"/>
  <c r="L187" i="7"/>
  <c r="O187" i="7" s="1"/>
  <c r="F187" i="7"/>
  <c r="L186" i="7"/>
  <c r="O186" i="7" s="1"/>
  <c r="F186" i="7"/>
  <c r="L185" i="7"/>
  <c r="O185" i="7" s="1"/>
  <c r="F185" i="7"/>
  <c r="L184" i="7"/>
  <c r="O184" i="7" s="1"/>
  <c r="F184" i="7"/>
  <c r="D183" i="7"/>
  <c r="L183" i="7" s="1"/>
  <c r="O183" i="7" s="1"/>
  <c r="D182" i="7"/>
  <c r="F182" i="7" s="1"/>
  <c r="L181" i="7"/>
  <c r="O181" i="7" s="1"/>
  <c r="F181" i="7"/>
  <c r="F180" i="7"/>
  <c r="F179" i="7"/>
  <c r="L178" i="7"/>
  <c r="O178" i="7" s="1"/>
  <c r="F178" i="7"/>
  <c r="D177" i="7"/>
  <c r="F177" i="7" s="1"/>
  <c r="L176" i="7"/>
  <c r="O176" i="7" s="1"/>
  <c r="F176" i="7"/>
  <c r="L175" i="7"/>
  <c r="O175" i="7" s="1"/>
  <c r="F175" i="7"/>
  <c r="L174" i="7"/>
  <c r="O174" i="7" s="1"/>
  <c r="F174" i="7"/>
  <c r="L173" i="7"/>
  <c r="O173" i="7" s="1"/>
  <c r="F173" i="7"/>
  <c r="D172" i="7"/>
  <c r="L172" i="7" s="1"/>
  <c r="O172" i="7" s="1"/>
  <c r="L171" i="7"/>
  <c r="O171" i="7" s="1"/>
  <c r="F171" i="7"/>
  <c r="L170" i="7"/>
  <c r="O170" i="7" s="1"/>
  <c r="F170" i="7"/>
  <c r="L169" i="7"/>
  <c r="O169" i="7" s="1"/>
  <c r="F169" i="7"/>
  <c r="K168" i="7"/>
  <c r="L168" i="7" s="1"/>
  <c r="O168" i="7" s="1"/>
  <c r="F168" i="7"/>
  <c r="L167" i="7"/>
  <c r="O167" i="7" s="1"/>
  <c r="L166" i="7"/>
  <c r="O166" i="7" s="1"/>
  <c r="D165" i="7"/>
  <c r="F165" i="7" s="1"/>
  <c r="K164" i="7"/>
  <c r="D164" i="7"/>
  <c r="F164" i="7" s="1"/>
  <c r="D163" i="7"/>
  <c r="L163" i="7" s="1"/>
  <c r="O163" i="7" s="1"/>
  <c r="H162" i="7"/>
  <c r="J162" i="7" s="1"/>
  <c r="D162" i="7"/>
  <c r="F162" i="7" s="1"/>
  <c r="I161" i="7"/>
  <c r="H161" i="7"/>
  <c r="F161" i="7"/>
  <c r="D160" i="7"/>
  <c r="L160" i="7" s="1"/>
  <c r="O160" i="7" s="1"/>
  <c r="L159" i="7"/>
  <c r="O159" i="7" s="1"/>
  <c r="F159" i="7"/>
  <c r="L158" i="7"/>
  <c r="O158" i="7" s="1"/>
  <c r="F158" i="7"/>
  <c r="L157" i="7"/>
  <c r="O157" i="7" s="1"/>
  <c r="F157" i="7"/>
  <c r="L156" i="7"/>
  <c r="O156" i="7" s="1"/>
  <c r="F156" i="7"/>
  <c r="L155" i="7"/>
  <c r="O155" i="7" s="1"/>
  <c r="F155" i="7"/>
  <c r="L154" i="7"/>
  <c r="O154" i="7" s="1"/>
  <c r="F154" i="7"/>
  <c r="L153" i="7"/>
  <c r="O153" i="7" s="1"/>
  <c r="F153" i="7"/>
  <c r="L152" i="7"/>
  <c r="O152" i="7" s="1"/>
  <c r="L151" i="7"/>
  <c r="O151" i="7" s="1"/>
  <c r="F151" i="7"/>
  <c r="L150" i="7"/>
  <c r="O150" i="7" s="1"/>
  <c r="F150" i="7"/>
  <c r="L149" i="7"/>
  <c r="O149" i="7" s="1"/>
  <c r="D148" i="7"/>
  <c r="L148" i="7" s="1"/>
  <c r="O148" i="7" s="1"/>
  <c r="L147" i="7"/>
  <c r="O147" i="7" s="1"/>
  <c r="F147" i="7"/>
  <c r="L146" i="7"/>
  <c r="O146" i="7" s="1"/>
  <c r="F146" i="7"/>
  <c r="L145" i="7"/>
  <c r="O145" i="7" s="1"/>
  <c r="L144" i="7"/>
  <c r="O144" i="7" s="1"/>
  <c r="L143" i="7"/>
  <c r="O143" i="7" s="1"/>
  <c r="F143" i="7"/>
  <c r="L142" i="7"/>
  <c r="O142" i="7" s="1"/>
  <c r="L141" i="7"/>
  <c r="O141" i="7" s="1"/>
  <c r="F141" i="7"/>
  <c r="L140" i="7"/>
  <c r="O140" i="7" s="1"/>
  <c r="F140" i="7"/>
  <c r="K139" i="7"/>
  <c r="H139" i="7"/>
  <c r="J139" i="7" s="1"/>
  <c r="F139" i="7"/>
  <c r="D138" i="7"/>
  <c r="L138" i="7" s="1"/>
  <c r="O138" i="7" s="1"/>
  <c r="L137" i="7"/>
  <c r="O137" i="7" s="1"/>
  <c r="F137" i="7"/>
  <c r="L136" i="7"/>
  <c r="O136" i="7" s="1"/>
  <c r="F136" i="7"/>
  <c r="D135" i="7"/>
  <c r="L135" i="7" s="1"/>
  <c r="O135" i="7" s="1"/>
  <c r="L134" i="7"/>
  <c r="O134" i="7" s="1"/>
  <c r="F134" i="7"/>
  <c r="D133" i="7"/>
  <c r="L133" i="7" s="1"/>
  <c r="O133" i="7" s="1"/>
  <c r="L132" i="7"/>
  <c r="O132" i="7" s="1"/>
  <c r="F132" i="7"/>
  <c r="L131" i="7"/>
  <c r="O131" i="7" s="1"/>
  <c r="F131" i="7"/>
  <c r="F130" i="7"/>
  <c r="L129" i="7"/>
  <c r="O129" i="7" s="1"/>
  <c r="F129" i="7"/>
  <c r="L128" i="7"/>
  <c r="O128" i="7" s="1"/>
  <c r="F128" i="7"/>
  <c r="L127" i="7"/>
  <c r="O127" i="7" s="1"/>
  <c r="F127" i="7"/>
  <c r="L126" i="7"/>
  <c r="O126" i="7" s="1"/>
  <c r="F126" i="7"/>
  <c r="L125" i="7"/>
  <c r="O125" i="7" s="1"/>
  <c r="F125" i="7"/>
  <c r="K124" i="7"/>
  <c r="L124" i="7" s="1"/>
  <c r="O124" i="7" s="1"/>
  <c r="F124" i="7"/>
  <c r="L123" i="7"/>
  <c r="O123" i="7" s="1"/>
  <c r="F123" i="7"/>
  <c r="L122" i="7"/>
  <c r="O122" i="7" s="1"/>
  <c r="F122" i="7"/>
  <c r="L121" i="7"/>
  <c r="O121" i="7" s="1"/>
  <c r="F121" i="7"/>
  <c r="L120" i="7"/>
  <c r="O120" i="7" s="1"/>
  <c r="F120" i="7"/>
  <c r="F119" i="7"/>
  <c r="F118" i="7"/>
  <c r="L117" i="7"/>
  <c r="O117" i="7" s="1"/>
  <c r="F117" i="7"/>
  <c r="L116" i="7"/>
  <c r="O116" i="7" s="1"/>
  <c r="F116" i="7"/>
  <c r="L115" i="7"/>
  <c r="O115" i="7" s="1"/>
  <c r="F115" i="7"/>
  <c r="L114" i="7"/>
  <c r="O114" i="7" s="1"/>
  <c r="F114" i="7"/>
  <c r="L113" i="7"/>
  <c r="O113" i="7" s="1"/>
  <c r="F113" i="7"/>
  <c r="L112" i="7"/>
  <c r="O112" i="7" s="1"/>
  <c r="F112" i="7"/>
  <c r="L111" i="7"/>
  <c r="O111" i="7" s="1"/>
  <c r="F111" i="7"/>
  <c r="L110" i="7"/>
  <c r="O110" i="7" s="1"/>
  <c r="F110" i="7"/>
  <c r="L109" i="7"/>
  <c r="O109" i="7" s="1"/>
  <c r="F109" i="7"/>
  <c r="L108" i="7"/>
  <c r="O108" i="7" s="1"/>
  <c r="F108" i="7"/>
  <c r="L107" i="7"/>
  <c r="O107" i="7" s="1"/>
  <c r="F107" i="7"/>
  <c r="D106" i="7"/>
  <c r="L106" i="7" s="1"/>
  <c r="O106" i="7" s="1"/>
  <c r="L105" i="7"/>
  <c r="O105" i="7" s="1"/>
  <c r="F105" i="7"/>
  <c r="L104" i="7"/>
  <c r="O104" i="7" s="1"/>
  <c r="F104" i="7"/>
  <c r="D103" i="7"/>
  <c r="F103" i="7" s="1"/>
  <c r="L102" i="7"/>
  <c r="O102" i="7" s="1"/>
  <c r="F102" i="7"/>
  <c r="L101" i="7"/>
  <c r="O101" i="7" s="1"/>
  <c r="F101" i="7"/>
  <c r="L100" i="7"/>
  <c r="O100" i="7" s="1"/>
  <c r="F100" i="7"/>
  <c r="L99" i="7"/>
  <c r="O99" i="7" s="1"/>
  <c r="F99" i="7"/>
  <c r="L98" i="7"/>
  <c r="O98" i="7" s="1"/>
  <c r="F98" i="7"/>
  <c r="L97" i="7"/>
  <c r="O97" i="7" s="1"/>
  <c r="F97" i="7"/>
  <c r="L96" i="7"/>
  <c r="O96" i="7" s="1"/>
  <c r="F96" i="7"/>
  <c r="D95" i="7"/>
  <c r="F95" i="7" s="1"/>
  <c r="D94" i="7"/>
  <c r="L94" i="7" s="1"/>
  <c r="O94" i="7" s="1"/>
  <c r="L93" i="7"/>
  <c r="O93" i="7" s="1"/>
  <c r="F93" i="7"/>
  <c r="F92" i="7"/>
  <c r="L91" i="7"/>
  <c r="O91" i="7" s="1"/>
  <c r="F91" i="7"/>
  <c r="L90" i="7"/>
  <c r="O90" i="7" s="1"/>
  <c r="F90" i="7"/>
  <c r="L89" i="7"/>
  <c r="O89" i="7" s="1"/>
  <c r="F89" i="7"/>
  <c r="L88" i="7"/>
  <c r="O88" i="7" s="1"/>
  <c r="L87" i="7"/>
  <c r="O87" i="7" s="1"/>
  <c r="F87" i="7"/>
  <c r="L86" i="7"/>
  <c r="O86" i="7" s="1"/>
  <c r="F86" i="7"/>
  <c r="L85" i="7"/>
  <c r="O85" i="7" s="1"/>
  <c r="F85" i="7"/>
  <c r="L84" i="7"/>
  <c r="O84" i="7" s="1"/>
  <c r="F84" i="7"/>
  <c r="L83" i="7"/>
  <c r="O83" i="7" s="1"/>
  <c r="F83" i="7"/>
  <c r="L82" i="7"/>
  <c r="O82" i="7" s="1"/>
  <c r="F82" i="7"/>
  <c r="L81" i="7"/>
  <c r="O81" i="7" s="1"/>
  <c r="F81" i="7"/>
  <c r="L80" i="7"/>
  <c r="O80" i="7" s="1"/>
  <c r="F80" i="7"/>
  <c r="L79" i="7"/>
  <c r="O79" i="7" s="1"/>
  <c r="F79" i="7"/>
  <c r="L78" i="7"/>
  <c r="O78" i="7" s="1"/>
  <c r="F78" i="7"/>
  <c r="L77" i="7"/>
  <c r="O77" i="7" s="1"/>
  <c r="F77" i="7"/>
  <c r="K76" i="7"/>
  <c r="L76" i="7" s="1"/>
  <c r="O76" i="7" s="1"/>
  <c r="F76" i="7"/>
  <c r="F75" i="7"/>
  <c r="L74" i="7"/>
  <c r="O74" i="7" s="1"/>
  <c r="F74" i="7"/>
  <c r="L73" i="7"/>
  <c r="O73" i="7" s="1"/>
  <c r="F73" i="7"/>
  <c r="L72" i="7"/>
  <c r="O72" i="7" s="1"/>
  <c r="F72" i="7"/>
  <c r="L71" i="7"/>
  <c r="O71" i="7" s="1"/>
  <c r="F71" i="7"/>
  <c r="L70" i="7"/>
  <c r="O70" i="7" s="1"/>
  <c r="F70" i="7"/>
  <c r="L69" i="7"/>
  <c r="O69" i="7" s="1"/>
  <c r="F69" i="7"/>
  <c r="L68" i="7"/>
  <c r="O68" i="7" s="1"/>
  <c r="F68" i="7"/>
  <c r="L67" i="7"/>
  <c r="O67" i="7" s="1"/>
  <c r="F67" i="7"/>
  <c r="L66" i="7"/>
  <c r="O66" i="7" s="1"/>
  <c r="F66" i="7"/>
  <c r="L65" i="7"/>
  <c r="O65" i="7" s="1"/>
  <c r="F65" i="7"/>
  <c r="L64" i="7"/>
  <c r="O64" i="7" s="1"/>
  <c r="L63" i="7"/>
  <c r="O63" i="7" s="1"/>
  <c r="L62" i="7"/>
  <c r="O62" i="7" s="1"/>
  <c r="L61" i="7"/>
  <c r="O61" i="7" s="1"/>
  <c r="F61" i="7"/>
  <c r="L60" i="7"/>
  <c r="O60" i="7" s="1"/>
  <c r="F60" i="7"/>
  <c r="L59" i="7"/>
  <c r="O59" i="7" s="1"/>
  <c r="F59" i="7"/>
  <c r="L58" i="7"/>
  <c r="O58" i="7" s="1"/>
  <c r="F58" i="7"/>
  <c r="L57" i="7"/>
  <c r="O57" i="7" s="1"/>
  <c r="F57" i="7"/>
  <c r="L56" i="7"/>
  <c r="O56" i="7" s="1"/>
  <c r="F56" i="7"/>
  <c r="F55" i="7"/>
  <c r="L54" i="7"/>
  <c r="O54" i="7" s="1"/>
  <c r="F54" i="7"/>
  <c r="D53" i="7"/>
  <c r="F53" i="7" s="1"/>
  <c r="L52" i="7"/>
  <c r="O52" i="7" s="1"/>
  <c r="F52" i="7"/>
  <c r="L51" i="7"/>
  <c r="O51" i="7" s="1"/>
  <c r="F51" i="7"/>
  <c r="L50" i="7"/>
  <c r="O50" i="7" s="1"/>
  <c r="F50" i="7"/>
  <c r="L49" i="7"/>
  <c r="O49" i="7" s="1"/>
  <c r="F49" i="7"/>
  <c r="L48" i="7"/>
  <c r="O48" i="7" s="1"/>
  <c r="F48" i="7"/>
  <c r="L47" i="7"/>
  <c r="O47" i="7" s="1"/>
  <c r="F47" i="7"/>
  <c r="L46" i="7"/>
  <c r="O46" i="7" s="1"/>
  <c r="F46" i="7"/>
  <c r="L45" i="7"/>
  <c r="O45" i="7" s="1"/>
  <c r="F45" i="7"/>
  <c r="L44" i="7"/>
  <c r="O44" i="7" s="1"/>
  <c r="F44" i="7"/>
  <c r="K43" i="7"/>
  <c r="L43" i="7" s="1"/>
  <c r="O43" i="7" s="1"/>
  <c r="F43" i="7"/>
  <c r="L42" i="7"/>
  <c r="O42" i="7" s="1"/>
  <c r="F42" i="7"/>
  <c r="L41" i="7"/>
  <c r="O41" i="7" s="1"/>
  <c r="F41" i="7"/>
  <c r="L40" i="7"/>
  <c r="O40" i="7" s="1"/>
  <c r="F40" i="7"/>
  <c r="L39" i="7"/>
  <c r="O39" i="7" s="1"/>
  <c r="F39" i="7"/>
  <c r="L38" i="7"/>
  <c r="O38" i="7" s="1"/>
  <c r="F38" i="7"/>
  <c r="L37" i="7"/>
  <c r="O37" i="7" s="1"/>
  <c r="F37" i="7"/>
  <c r="L36" i="7"/>
  <c r="O36" i="7" s="1"/>
  <c r="F36" i="7"/>
  <c r="L35" i="7"/>
  <c r="O35" i="7" s="1"/>
  <c r="F35" i="7"/>
  <c r="D34" i="7"/>
  <c r="F34" i="7" s="1"/>
  <c r="L33" i="7"/>
  <c r="O33" i="7" s="1"/>
  <c r="F33" i="7"/>
  <c r="L32" i="7"/>
  <c r="O32" i="7" s="1"/>
  <c r="F32" i="7"/>
  <c r="L31" i="7"/>
  <c r="O31" i="7" s="1"/>
  <c r="F31" i="7"/>
  <c r="L30" i="7"/>
  <c r="O30" i="7" s="1"/>
  <c r="F30" i="7"/>
  <c r="L29" i="7"/>
  <c r="O29" i="7" s="1"/>
  <c r="F29" i="7"/>
  <c r="L28" i="7"/>
  <c r="O28" i="7" s="1"/>
  <c r="F28" i="7"/>
  <c r="L27" i="7"/>
  <c r="O27" i="7" s="1"/>
  <c r="F27" i="7"/>
  <c r="L26" i="7"/>
  <c r="O26" i="7" s="1"/>
  <c r="F26" i="7"/>
  <c r="L25" i="7"/>
  <c r="O25" i="7" s="1"/>
  <c r="K24" i="7"/>
  <c r="L24" i="7" s="1"/>
  <c r="O24" i="7" s="1"/>
  <c r="L23" i="7"/>
  <c r="O23" i="7" s="1"/>
  <c r="F23" i="7"/>
  <c r="L22" i="7"/>
  <c r="O22" i="7" s="1"/>
  <c r="F22" i="7"/>
  <c r="L21" i="7"/>
  <c r="O21" i="7" s="1"/>
  <c r="F21" i="7"/>
  <c r="D20" i="7"/>
  <c r="L20" i="7" s="1"/>
  <c r="O20" i="7" s="1"/>
  <c r="L19" i="7"/>
  <c r="O19" i="7" s="1"/>
  <c r="F19" i="7"/>
  <c r="L18" i="7"/>
  <c r="O18" i="7" s="1"/>
  <c r="F18" i="7"/>
  <c r="L17" i="7"/>
  <c r="O17" i="7" s="1"/>
  <c r="F17" i="7"/>
  <c r="L16" i="7"/>
  <c r="O16" i="7" s="1"/>
  <c r="F16" i="7"/>
  <c r="L15" i="7"/>
  <c r="O15" i="7" s="1"/>
  <c r="F15" i="7"/>
  <c r="D14" i="7"/>
  <c r="L14" i="7" s="1"/>
  <c r="O14" i="7" s="1"/>
  <c r="L13" i="7"/>
  <c r="O13" i="7" s="1"/>
  <c r="F13" i="7"/>
  <c r="L12" i="7"/>
  <c r="O12" i="7" s="1"/>
  <c r="F12" i="7"/>
  <c r="L11" i="7"/>
  <c r="O11" i="7" s="1"/>
  <c r="F11" i="7"/>
  <c r="D10" i="7"/>
  <c r="L10" i="7" s="1"/>
  <c r="O10" i="7" s="1"/>
  <c r="L9" i="7"/>
  <c r="O9" i="7" s="1"/>
  <c r="F9" i="7"/>
  <c r="F8" i="7"/>
  <c r="D8" i="7"/>
  <c r="L8" i="7" s="1"/>
  <c r="O8" i="7" s="1"/>
  <c r="F138" i="7" l="1"/>
  <c r="F405" i="11"/>
  <c r="L53" i="7"/>
  <c r="O53" i="7" s="1"/>
  <c r="F172" i="7"/>
  <c r="F133" i="7"/>
  <c r="L165" i="7"/>
  <c r="O165" i="7" s="1"/>
  <c r="J161" i="7"/>
  <c r="I405" i="11"/>
  <c r="F20" i="7"/>
  <c r="L103" i="7"/>
  <c r="O103" i="7" s="1"/>
  <c r="J405" i="11"/>
  <c r="O323" i="11"/>
  <c r="O405" i="11" s="1"/>
  <c r="O329" i="7"/>
  <c r="J405" i="10"/>
  <c r="F405" i="10"/>
  <c r="O405" i="10"/>
  <c r="O393" i="9"/>
  <c r="J393" i="9"/>
  <c r="O332" i="8"/>
  <c r="J338" i="8"/>
  <c r="O338" i="8"/>
  <c r="O335" i="8"/>
  <c r="O333" i="8"/>
  <c r="O334" i="8"/>
  <c r="O336" i="8"/>
  <c r="O337" i="8"/>
  <c r="O339" i="8"/>
  <c r="L291" i="8"/>
  <c r="O291" i="8" s="1"/>
  <c r="F393" i="9"/>
  <c r="I393" i="9"/>
  <c r="L161" i="8"/>
  <c r="O161" i="8" s="1"/>
  <c r="L162" i="8"/>
  <c r="O162" i="8" s="1"/>
  <c r="F20" i="8"/>
  <c r="L95" i="8"/>
  <c r="O95" i="8" s="1"/>
  <c r="L183" i="8"/>
  <c r="O183" i="8" s="1"/>
  <c r="F296" i="8"/>
  <c r="F53" i="8"/>
  <c r="L14" i="8"/>
  <c r="O14" i="8" s="1"/>
  <c r="L172" i="8"/>
  <c r="O172" i="8" s="1"/>
  <c r="L177" i="8"/>
  <c r="O177" i="8" s="1"/>
  <c r="L269" i="8"/>
  <c r="O269" i="8" s="1"/>
  <c r="L34" i="8"/>
  <c r="O34" i="8" s="1"/>
  <c r="L139" i="8"/>
  <c r="F182" i="8"/>
  <c r="F291" i="8"/>
  <c r="L164" i="8"/>
  <c r="O164" i="8" s="1"/>
  <c r="L163" i="8"/>
  <c r="O163" i="8" s="1"/>
  <c r="L219" i="8"/>
  <c r="O219" i="8" s="1"/>
  <c r="F135" i="8"/>
  <c r="F218" i="8"/>
  <c r="F193" i="8"/>
  <c r="F219" i="8"/>
  <c r="F94" i="8"/>
  <c r="F106" i="8"/>
  <c r="I244" i="8"/>
  <c r="J244" i="8" s="1"/>
  <c r="L8" i="8"/>
  <c r="O8" i="8" s="1"/>
  <c r="J161" i="8"/>
  <c r="L323" i="8"/>
  <c r="F10" i="8"/>
  <c r="F133" i="8"/>
  <c r="F293" i="8"/>
  <c r="F162" i="8"/>
  <c r="F165" i="8"/>
  <c r="F309" i="8"/>
  <c r="I323" i="8"/>
  <c r="J323" i="8" s="1"/>
  <c r="F103" i="8"/>
  <c r="F160" i="8"/>
  <c r="F138" i="8"/>
  <c r="L182" i="7"/>
  <c r="O182" i="7" s="1"/>
  <c r="L177" i="7"/>
  <c r="O177" i="7" s="1"/>
  <c r="L139" i="7"/>
  <c r="O139" i="7" s="1"/>
  <c r="F293" i="7"/>
  <c r="L323" i="7"/>
  <c r="O323" i="7" s="1"/>
  <c r="F296" i="7"/>
  <c r="F10" i="7"/>
  <c r="F218" i="7"/>
  <c r="L291" i="7"/>
  <c r="O291" i="7" s="1"/>
  <c r="L244" i="7"/>
  <c r="O244" i="7" s="1"/>
  <c r="L162" i="7"/>
  <c r="O162" i="7" s="1"/>
  <c r="F309" i="7"/>
  <c r="L161" i="7"/>
  <c r="O161" i="7" s="1"/>
  <c r="F135" i="7"/>
  <c r="L164" i="7"/>
  <c r="O164" i="7" s="1"/>
  <c r="F160" i="7"/>
  <c r="F269" i="7"/>
  <c r="F94" i="7"/>
  <c r="L34" i="7"/>
  <c r="O34" i="7" s="1"/>
  <c r="F163" i="7"/>
  <c r="F106" i="7"/>
  <c r="F14" i="7"/>
  <c r="L95" i="7"/>
  <c r="O95" i="7" s="1"/>
  <c r="F183" i="7"/>
  <c r="F219" i="7"/>
  <c r="K245" i="6"/>
  <c r="K324" i="6"/>
  <c r="K165" i="6"/>
  <c r="K120" i="6"/>
  <c r="K93" i="6"/>
  <c r="K119" i="6"/>
  <c r="K181" i="6"/>
  <c r="K304" i="6"/>
  <c r="K25" i="6"/>
  <c r="K77" i="6"/>
  <c r="K55" i="6"/>
  <c r="K319" i="6"/>
  <c r="K326" i="6"/>
  <c r="J386" i="8" l="1"/>
  <c r="O323" i="8"/>
  <c r="I386" i="8"/>
  <c r="F327" i="7"/>
  <c r="F329" i="7" s="1"/>
  <c r="O244" i="8"/>
  <c r="O386" i="8"/>
  <c r="F386" i="8"/>
  <c r="F388" i="8" s="1"/>
  <c r="K76" i="6"/>
  <c r="L120" i="6"/>
  <c r="K317" i="6"/>
  <c r="L317" i="6" s="1"/>
  <c r="L93" i="6"/>
  <c r="L55" i="6"/>
  <c r="L326" i="6"/>
  <c r="K9" i="6"/>
  <c r="L158" i="6"/>
  <c r="L325" i="6"/>
  <c r="H324" i="6"/>
  <c r="L323" i="6"/>
  <c r="L322" i="6"/>
  <c r="L321" i="6"/>
  <c r="L320" i="6"/>
  <c r="F320" i="6"/>
  <c r="L319" i="6"/>
  <c r="L318" i="6"/>
  <c r="L316" i="6"/>
  <c r="D315" i="6"/>
  <c r="L315" i="6" s="1"/>
  <c r="L314" i="6"/>
  <c r="L313" i="6"/>
  <c r="L312" i="6"/>
  <c r="F312" i="6"/>
  <c r="L311" i="6"/>
  <c r="F311" i="6"/>
  <c r="D310" i="6"/>
  <c r="L310" i="6" s="1"/>
  <c r="L309" i="6"/>
  <c r="F309" i="6"/>
  <c r="L308" i="6"/>
  <c r="F308" i="6"/>
  <c r="L307" i="6"/>
  <c r="F307" i="6"/>
  <c r="L306" i="6"/>
  <c r="F306" i="6"/>
  <c r="L305" i="6"/>
  <c r="F305" i="6"/>
  <c r="L304" i="6"/>
  <c r="J304" i="6"/>
  <c r="F304" i="6"/>
  <c r="L303" i="6"/>
  <c r="F303" i="6"/>
  <c r="L302" i="6"/>
  <c r="F302" i="6"/>
  <c r="L301" i="6"/>
  <c r="F301" i="6"/>
  <c r="L300" i="6"/>
  <c r="F300" i="6"/>
  <c r="L299" i="6"/>
  <c r="F299" i="6"/>
  <c r="L298" i="6"/>
  <c r="F298" i="6"/>
  <c r="D297" i="6"/>
  <c r="L297" i="6" s="1"/>
  <c r="L296" i="6"/>
  <c r="F296" i="6"/>
  <c r="L295" i="6"/>
  <c r="F295" i="6"/>
  <c r="D294" i="6"/>
  <c r="L294" i="6" s="1"/>
  <c r="L293" i="6"/>
  <c r="F293" i="6"/>
  <c r="K292" i="6"/>
  <c r="D292" i="6"/>
  <c r="L291" i="6"/>
  <c r="F291" i="6"/>
  <c r="L290" i="6"/>
  <c r="L289" i="6"/>
  <c r="L288" i="6"/>
  <c r="L287" i="6"/>
  <c r="F287" i="6"/>
  <c r="L286" i="6"/>
  <c r="F286" i="6"/>
  <c r="L285" i="6"/>
  <c r="F285" i="6"/>
  <c r="L284" i="6"/>
  <c r="F284" i="6"/>
  <c r="L283" i="6"/>
  <c r="F283" i="6"/>
  <c r="L282" i="6"/>
  <c r="F282" i="6"/>
  <c r="L281" i="6"/>
  <c r="F281" i="6"/>
  <c r="L280" i="6"/>
  <c r="F280" i="6"/>
  <c r="L279" i="6"/>
  <c r="F279" i="6"/>
  <c r="L278" i="6"/>
  <c r="F278" i="6"/>
  <c r="L277" i="6"/>
  <c r="F277" i="6"/>
  <c r="L276" i="6"/>
  <c r="J276" i="6"/>
  <c r="F276" i="6"/>
  <c r="L275" i="6"/>
  <c r="F275" i="6"/>
  <c r="L274" i="6"/>
  <c r="L273" i="6"/>
  <c r="F273" i="6"/>
  <c r="L272" i="6"/>
  <c r="F272" i="6"/>
  <c r="L271" i="6"/>
  <c r="F271" i="6"/>
  <c r="D270" i="6"/>
  <c r="L270" i="6" s="1"/>
  <c r="L269" i="6"/>
  <c r="F269" i="6"/>
  <c r="L268" i="6"/>
  <c r="F268" i="6"/>
  <c r="L267" i="6"/>
  <c r="F267" i="6"/>
  <c r="L266" i="6"/>
  <c r="F266" i="6"/>
  <c r="L265" i="6"/>
  <c r="F265" i="6"/>
  <c r="L264" i="6"/>
  <c r="F264" i="6"/>
  <c r="L263" i="6"/>
  <c r="F263" i="6"/>
  <c r="L262" i="6"/>
  <c r="F262" i="6"/>
  <c r="L261" i="6"/>
  <c r="F261" i="6"/>
  <c r="L260" i="6"/>
  <c r="F260" i="6"/>
  <c r="L259" i="6"/>
  <c r="F259" i="6"/>
  <c r="L258" i="6"/>
  <c r="F258" i="6"/>
  <c r="L257" i="6"/>
  <c r="F257" i="6"/>
  <c r="L256" i="6"/>
  <c r="F256" i="6"/>
  <c r="L255" i="6"/>
  <c r="F255" i="6"/>
  <c r="L254" i="6"/>
  <c r="F254" i="6"/>
  <c r="L253" i="6"/>
  <c r="F253" i="6"/>
  <c r="L252" i="6"/>
  <c r="F252" i="6"/>
  <c r="L251" i="6"/>
  <c r="F251" i="6"/>
  <c r="L250" i="6"/>
  <c r="F250" i="6"/>
  <c r="L249" i="6"/>
  <c r="F249" i="6"/>
  <c r="L248" i="6"/>
  <c r="F248" i="6"/>
  <c r="L247" i="6"/>
  <c r="F247" i="6"/>
  <c r="L246" i="6"/>
  <c r="F246" i="6"/>
  <c r="H245" i="6"/>
  <c r="F245" i="6"/>
  <c r="L244" i="6"/>
  <c r="F244" i="6"/>
  <c r="L243" i="6"/>
  <c r="F243" i="6"/>
  <c r="L242" i="6"/>
  <c r="F242" i="6"/>
  <c r="L241" i="6"/>
  <c r="F241" i="6"/>
  <c r="L240" i="6"/>
  <c r="F240" i="6"/>
  <c r="L239" i="6"/>
  <c r="F239" i="6"/>
  <c r="L238" i="6"/>
  <c r="F238" i="6"/>
  <c r="L237" i="6"/>
  <c r="F237" i="6"/>
  <c r="L236" i="6"/>
  <c r="F236" i="6"/>
  <c r="L235" i="6"/>
  <c r="F235" i="6"/>
  <c r="L234" i="6"/>
  <c r="F234" i="6"/>
  <c r="L233" i="6"/>
  <c r="F233" i="6"/>
  <c r="L232" i="6"/>
  <c r="F232" i="6"/>
  <c r="L231" i="6"/>
  <c r="F231" i="6"/>
  <c r="L230" i="6"/>
  <c r="F230" i="6"/>
  <c r="L229" i="6"/>
  <c r="F229" i="6"/>
  <c r="L228" i="6"/>
  <c r="F228" i="6"/>
  <c r="L227" i="6"/>
  <c r="F227" i="6"/>
  <c r="L226" i="6"/>
  <c r="F226" i="6"/>
  <c r="L225" i="6"/>
  <c r="F225" i="6"/>
  <c r="L224" i="6"/>
  <c r="F224" i="6"/>
  <c r="L223" i="6"/>
  <c r="F223" i="6"/>
  <c r="L222" i="6"/>
  <c r="F222" i="6"/>
  <c r="L221" i="6"/>
  <c r="F221" i="6"/>
  <c r="D220" i="6"/>
  <c r="L220" i="6" s="1"/>
  <c r="D219" i="6"/>
  <c r="L219" i="6" s="1"/>
  <c r="L218" i="6"/>
  <c r="F218" i="6"/>
  <c r="L217" i="6"/>
  <c r="F217" i="6"/>
  <c r="L216" i="6"/>
  <c r="F216" i="6"/>
  <c r="L215" i="6"/>
  <c r="F215" i="6"/>
  <c r="L214" i="6"/>
  <c r="F214" i="6"/>
  <c r="L213" i="6"/>
  <c r="F213" i="6"/>
  <c r="L212" i="6"/>
  <c r="F212" i="6"/>
  <c r="L211" i="6"/>
  <c r="F211" i="6"/>
  <c r="L210" i="6"/>
  <c r="F210" i="6"/>
  <c r="L209" i="6"/>
  <c r="F209" i="6"/>
  <c r="L208" i="6"/>
  <c r="F208" i="6"/>
  <c r="L207" i="6"/>
  <c r="F207" i="6"/>
  <c r="L206" i="6"/>
  <c r="F206" i="6"/>
  <c r="L205" i="6"/>
  <c r="F205" i="6"/>
  <c r="L204" i="6"/>
  <c r="F204" i="6"/>
  <c r="L203" i="6"/>
  <c r="F203" i="6"/>
  <c r="L202" i="6"/>
  <c r="L201" i="6"/>
  <c r="F201" i="6"/>
  <c r="L200" i="6"/>
  <c r="L199" i="6"/>
  <c r="F199" i="6"/>
  <c r="L198" i="6"/>
  <c r="F198" i="6"/>
  <c r="L197" i="6"/>
  <c r="F197" i="6"/>
  <c r="L196" i="6"/>
  <c r="F196" i="6"/>
  <c r="L195" i="6"/>
  <c r="F195" i="6"/>
  <c r="L194" i="6"/>
  <c r="F194" i="6"/>
  <c r="L193" i="6"/>
  <c r="F193" i="6"/>
  <c r="L192" i="6"/>
  <c r="F192" i="6"/>
  <c r="L191" i="6"/>
  <c r="F191" i="6"/>
  <c r="L190" i="6"/>
  <c r="F190" i="6"/>
  <c r="L189" i="6"/>
  <c r="F189" i="6"/>
  <c r="L188" i="6"/>
  <c r="F188" i="6"/>
  <c r="L187" i="6"/>
  <c r="F187" i="6"/>
  <c r="L186" i="6"/>
  <c r="F186" i="6"/>
  <c r="L185" i="6"/>
  <c r="F185" i="6"/>
  <c r="D184" i="6"/>
  <c r="L184" i="6" s="1"/>
  <c r="D183" i="6"/>
  <c r="L183" i="6" s="1"/>
  <c r="L182" i="6"/>
  <c r="F182" i="6"/>
  <c r="L181" i="6"/>
  <c r="F181" i="6"/>
  <c r="K180" i="6"/>
  <c r="L180" i="6" s="1"/>
  <c r="F180" i="6"/>
  <c r="L179" i="6"/>
  <c r="F179" i="6"/>
  <c r="D178" i="6"/>
  <c r="L178" i="6" s="1"/>
  <c r="L177" i="6"/>
  <c r="F177" i="6"/>
  <c r="L176" i="6"/>
  <c r="F176" i="6"/>
  <c r="L175" i="6"/>
  <c r="F175" i="6"/>
  <c r="L174" i="6"/>
  <c r="F174" i="6"/>
  <c r="D173" i="6"/>
  <c r="L173" i="6" s="1"/>
  <c r="L172" i="6"/>
  <c r="F172" i="6"/>
  <c r="L171" i="6"/>
  <c r="F171" i="6"/>
  <c r="L170" i="6"/>
  <c r="F170" i="6"/>
  <c r="K169" i="6"/>
  <c r="L169" i="6" s="1"/>
  <c r="F169" i="6"/>
  <c r="L168" i="6"/>
  <c r="L167" i="6"/>
  <c r="D166" i="6"/>
  <c r="L166" i="6" s="1"/>
  <c r="D165" i="6"/>
  <c r="F165" i="6" s="1"/>
  <c r="D164" i="6"/>
  <c r="L164" i="6" s="1"/>
  <c r="H163" i="6"/>
  <c r="J163" i="6" s="1"/>
  <c r="D163" i="6"/>
  <c r="F163" i="6" s="1"/>
  <c r="I162" i="6"/>
  <c r="H162" i="6"/>
  <c r="L162" i="6" s="1"/>
  <c r="F162" i="6"/>
  <c r="D161" i="6"/>
  <c r="L161" i="6" s="1"/>
  <c r="L160" i="6"/>
  <c r="F160" i="6"/>
  <c r="L159" i="6"/>
  <c r="F159" i="6"/>
  <c r="F158" i="6"/>
  <c r="L157" i="6"/>
  <c r="F157" i="6"/>
  <c r="L156" i="6"/>
  <c r="F156" i="6"/>
  <c r="L155" i="6"/>
  <c r="F155" i="6"/>
  <c r="L154" i="6"/>
  <c r="F154" i="6"/>
  <c r="L153" i="6"/>
  <c r="L152" i="6"/>
  <c r="F152" i="6"/>
  <c r="L151" i="6"/>
  <c r="F151" i="6"/>
  <c r="L150" i="6"/>
  <c r="D149" i="6"/>
  <c r="L149" i="6" s="1"/>
  <c r="L148" i="6"/>
  <c r="F148" i="6"/>
  <c r="L147" i="6"/>
  <c r="F147" i="6"/>
  <c r="L146" i="6"/>
  <c r="L145" i="6"/>
  <c r="L144" i="6"/>
  <c r="F144" i="6"/>
  <c r="L143" i="6"/>
  <c r="L142" i="6"/>
  <c r="F142" i="6"/>
  <c r="L141" i="6"/>
  <c r="F141" i="6"/>
  <c r="K140" i="6"/>
  <c r="H140" i="6"/>
  <c r="J140" i="6" s="1"/>
  <c r="F140" i="6"/>
  <c r="D139" i="6"/>
  <c r="L139" i="6" s="1"/>
  <c r="L138" i="6"/>
  <c r="F138" i="6"/>
  <c r="L137" i="6"/>
  <c r="F137" i="6"/>
  <c r="D136" i="6"/>
  <c r="L136" i="6" s="1"/>
  <c r="L135" i="6"/>
  <c r="F135" i="6"/>
  <c r="D134" i="6"/>
  <c r="L134" i="6" s="1"/>
  <c r="L133" i="6"/>
  <c r="F133" i="6"/>
  <c r="L132" i="6"/>
  <c r="F132" i="6"/>
  <c r="K131" i="6"/>
  <c r="L131" i="6" s="1"/>
  <c r="F131" i="6"/>
  <c r="L130" i="6"/>
  <c r="F130" i="6"/>
  <c r="L129" i="6"/>
  <c r="F129" i="6"/>
  <c r="L128" i="6"/>
  <c r="F128" i="6"/>
  <c r="L127" i="6"/>
  <c r="F127" i="6"/>
  <c r="L126" i="6"/>
  <c r="F126" i="6"/>
  <c r="K125" i="6"/>
  <c r="L125" i="6" s="1"/>
  <c r="F125" i="6"/>
  <c r="L124" i="6"/>
  <c r="F124" i="6"/>
  <c r="L123" i="6"/>
  <c r="F123" i="6"/>
  <c r="L122" i="6"/>
  <c r="F122" i="6"/>
  <c r="L121" i="6"/>
  <c r="F121" i="6"/>
  <c r="F120" i="6"/>
  <c r="L119" i="6"/>
  <c r="F119" i="6"/>
  <c r="L118" i="6"/>
  <c r="F118" i="6"/>
  <c r="L117" i="6"/>
  <c r="F117" i="6"/>
  <c r="L116" i="6"/>
  <c r="F116" i="6"/>
  <c r="L115" i="6"/>
  <c r="F115" i="6"/>
  <c r="L114" i="6"/>
  <c r="F114" i="6"/>
  <c r="L113" i="6"/>
  <c r="F113" i="6"/>
  <c r="L112" i="6"/>
  <c r="F112" i="6"/>
  <c r="L111" i="6"/>
  <c r="F111" i="6"/>
  <c r="L110" i="6"/>
  <c r="F110" i="6"/>
  <c r="L109" i="6"/>
  <c r="F109" i="6"/>
  <c r="L108" i="6"/>
  <c r="F108" i="6"/>
  <c r="D107" i="6"/>
  <c r="L107" i="6" s="1"/>
  <c r="L106" i="6"/>
  <c r="F106" i="6"/>
  <c r="L105" i="6"/>
  <c r="F105" i="6"/>
  <c r="D104" i="6"/>
  <c r="L104" i="6" s="1"/>
  <c r="L103" i="6"/>
  <c r="F103" i="6"/>
  <c r="L102" i="6"/>
  <c r="F102" i="6"/>
  <c r="L101" i="6"/>
  <c r="F101" i="6"/>
  <c r="L100" i="6"/>
  <c r="F100" i="6"/>
  <c r="L99" i="6"/>
  <c r="F99" i="6"/>
  <c r="L98" i="6"/>
  <c r="F98" i="6"/>
  <c r="L97" i="6"/>
  <c r="F97" i="6"/>
  <c r="D96" i="6"/>
  <c r="L96" i="6" s="1"/>
  <c r="D95" i="6"/>
  <c r="L95" i="6" s="1"/>
  <c r="L94" i="6"/>
  <c r="F94" i="6"/>
  <c r="F93" i="6"/>
  <c r="L92" i="6"/>
  <c r="F92" i="6"/>
  <c r="L91" i="6"/>
  <c r="F91" i="6"/>
  <c r="L90" i="6"/>
  <c r="F90" i="6"/>
  <c r="L89" i="6"/>
  <c r="L88" i="6"/>
  <c r="F88" i="6"/>
  <c r="L87" i="6"/>
  <c r="F87" i="6"/>
  <c r="L86" i="6"/>
  <c r="F86" i="6"/>
  <c r="L85" i="6"/>
  <c r="F85" i="6"/>
  <c r="L84" i="6"/>
  <c r="F84" i="6"/>
  <c r="L83" i="6"/>
  <c r="F83" i="6"/>
  <c r="L82" i="6"/>
  <c r="F82" i="6"/>
  <c r="L81" i="6"/>
  <c r="F81" i="6"/>
  <c r="L80" i="6"/>
  <c r="F80" i="6"/>
  <c r="L79" i="6"/>
  <c r="F79" i="6"/>
  <c r="L78" i="6"/>
  <c r="F78" i="6"/>
  <c r="L77" i="6"/>
  <c r="F77" i="6"/>
  <c r="L76" i="6"/>
  <c r="F76" i="6"/>
  <c r="L75" i="6"/>
  <c r="F75" i="6"/>
  <c r="L74" i="6"/>
  <c r="F74" i="6"/>
  <c r="L73" i="6"/>
  <c r="F73" i="6"/>
  <c r="L72" i="6"/>
  <c r="F72" i="6"/>
  <c r="L71" i="6"/>
  <c r="F71" i="6"/>
  <c r="L70" i="6"/>
  <c r="F70" i="6"/>
  <c r="L69" i="6"/>
  <c r="F69" i="6"/>
  <c r="L68" i="6"/>
  <c r="F68" i="6"/>
  <c r="L67" i="6"/>
  <c r="F67" i="6"/>
  <c r="L66" i="6"/>
  <c r="F66" i="6"/>
  <c r="L65" i="6"/>
  <c r="L64" i="6"/>
  <c r="L63" i="6"/>
  <c r="L62" i="6"/>
  <c r="F62" i="6"/>
  <c r="L61" i="6"/>
  <c r="F61" i="6"/>
  <c r="L60" i="6"/>
  <c r="F60" i="6"/>
  <c r="L59" i="6"/>
  <c r="F59" i="6"/>
  <c r="L58" i="6"/>
  <c r="F58" i="6"/>
  <c r="L57" i="6"/>
  <c r="F57" i="6"/>
  <c r="L56" i="6"/>
  <c r="F56" i="6"/>
  <c r="F55" i="6"/>
  <c r="D54" i="6"/>
  <c r="L54" i="6" s="1"/>
  <c r="L53" i="6"/>
  <c r="F53" i="6"/>
  <c r="L52" i="6"/>
  <c r="F52" i="6"/>
  <c r="L51" i="6"/>
  <c r="F51" i="6"/>
  <c r="L50" i="6"/>
  <c r="F50" i="6"/>
  <c r="L49" i="6"/>
  <c r="F49" i="6"/>
  <c r="L48" i="6"/>
  <c r="F48" i="6"/>
  <c r="L47" i="6"/>
  <c r="F47" i="6"/>
  <c r="L46" i="6"/>
  <c r="F46" i="6"/>
  <c r="L45" i="6"/>
  <c r="F45" i="6"/>
  <c r="K44" i="6"/>
  <c r="L44" i="6" s="1"/>
  <c r="F44" i="6"/>
  <c r="L43" i="6"/>
  <c r="F43" i="6"/>
  <c r="L42" i="6"/>
  <c r="F42" i="6"/>
  <c r="L41" i="6"/>
  <c r="F41" i="6"/>
  <c r="L40" i="6"/>
  <c r="F40" i="6"/>
  <c r="L39" i="6"/>
  <c r="F39" i="6"/>
  <c r="L38" i="6"/>
  <c r="F38" i="6"/>
  <c r="L37" i="6"/>
  <c r="F37" i="6"/>
  <c r="L36" i="6"/>
  <c r="F36" i="6"/>
  <c r="D35" i="6"/>
  <c r="L35" i="6" s="1"/>
  <c r="L34" i="6"/>
  <c r="F34" i="6"/>
  <c r="L33" i="6"/>
  <c r="F33" i="6"/>
  <c r="L32" i="6"/>
  <c r="F32" i="6"/>
  <c r="L31" i="6"/>
  <c r="F31" i="6"/>
  <c r="L30" i="6"/>
  <c r="F30" i="6"/>
  <c r="L29" i="6"/>
  <c r="F29" i="6"/>
  <c r="L28" i="6"/>
  <c r="F28" i="6"/>
  <c r="L27" i="6"/>
  <c r="F27" i="6"/>
  <c r="L26" i="6"/>
  <c r="L25" i="6"/>
  <c r="L24" i="6"/>
  <c r="F24" i="6"/>
  <c r="L23" i="6"/>
  <c r="F23" i="6"/>
  <c r="L22" i="6"/>
  <c r="F22" i="6"/>
  <c r="D21" i="6"/>
  <c r="F21" i="6" s="1"/>
  <c r="L20" i="6"/>
  <c r="F20" i="6"/>
  <c r="L19" i="6"/>
  <c r="F19" i="6"/>
  <c r="L18" i="6"/>
  <c r="F18" i="6"/>
  <c r="L17" i="6"/>
  <c r="F17" i="6"/>
  <c r="L16" i="6"/>
  <c r="F16" i="6"/>
  <c r="D15" i="6"/>
  <c r="L15" i="6" s="1"/>
  <c r="L14" i="6"/>
  <c r="F14" i="6"/>
  <c r="L13" i="6"/>
  <c r="F13" i="6"/>
  <c r="L12" i="6"/>
  <c r="F12" i="6"/>
  <c r="D11" i="6"/>
  <c r="L11" i="6" s="1"/>
  <c r="L10" i="6"/>
  <c r="F10" i="6"/>
  <c r="F9" i="6"/>
  <c r="D9" i="6"/>
  <c r="K93" i="5"/>
  <c r="L93" i="5" s="1"/>
  <c r="K120" i="5"/>
  <c r="L120" i="5" s="1"/>
  <c r="K9" i="5"/>
  <c r="K125" i="5"/>
  <c r="L125" i="5" s="1"/>
  <c r="K44" i="5"/>
  <c r="L44" i="5" s="1"/>
  <c r="K245" i="5"/>
  <c r="K140" i="5"/>
  <c r="K131" i="5"/>
  <c r="L131" i="5" s="1"/>
  <c r="K55" i="5"/>
  <c r="L55" i="5" s="1"/>
  <c r="K169" i="5"/>
  <c r="L326" i="5"/>
  <c r="K181" i="5"/>
  <c r="L181" i="5" s="1"/>
  <c r="K77" i="5"/>
  <c r="K292" i="5"/>
  <c r="K318" i="5"/>
  <c r="L318" i="5" s="1"/>
  <c r="H245" i="5"/>
  <c r="L245" i="5" s="1"/>
  <c r="J276" i="5"/>
  <c r="L325" i="5"/>
  <c r="H325" i="5"/>
  <c r="I325" i="5" s="1"/>
  <c r="J325" i="5" s="1"/>
  <c r="H163" i="5"/>
  <c r="J163" i="5" s="1"/>
  <c r="I162" i="5"/>
  <c r="H162" i="5"/>
  <c r="L162" i="5" s="1"/>
  <c r="F321" i="5"/>
  <c r="L324" i="5"/>
  <c r="L323" i="5"/>
  <c r="K320" i="5"/>
  <c r="L320" i="5" s="1"/>
  <c r="K180" i="5"/>
  <c r="L322" i="5"/>
  <c r="L321" i="5"/>
  <c r="L10" i="5"/>
  <c r="L12" i="5"/>
  <c r="L13" i="5"/>
  <c r="L14" i="5"/>
  <c r="L16" i="5"/>
  <c r="L17" i="5"/>
  <c r="L18" i="5"/>
  <c r="L19" i="5"/>
  <c r="L20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6" i="5"/>
  <c r="L37" i="5"/>
  <c r="L38" i="5"/>
  <c r="L39" i="5"/>
  <c r="L40" i="5"/>
  <c r="L41" i="5"/>
  <c r="L42" i="5"/>
  <c r="L43" i="5"/>
  <c r="L45" i="5"/>
  <c r="L46" i="5"/>
  <c r="L47" i="5"/>
  <c r="L48" i="5"/>
  <c r="L49" i="5"/>
  <c r="L50" i="5"/>
  <c r="L51" i="5"/>
  <c r="L52" i="5"/>
  <c r="L53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4" i="5"/>
  <c r="L97" i="5"/>
  <c r="L98" i="5"/>
  <c r="L99" i="5"/>
  <c r="L100" i="5"/>
  <c r="L101" i="5"/>
  <c r="L102" i="5"/>
  <c r="L103" i="5"/>
  <c r="L105" i="5"/>
  <c r="L106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1" i="5"/>
  <c r="L122" i="5"/>
  <c r="L123" i="5"/>
  <c r="L124" i="5"/>
  <c r="L126" i="5"/>
  <c r="L127" i="5"/>
  <c r="L128" i="5"/>
  <c r="L129" i="5"/>
  <c r="L130" i="5"/>
  <c r="L132" i="5"/>
  <c r="L133" i="5"/>
  <c r="L135" i="5"/>
  <c r="L137" i="5"/>
  <c r="L138" i="5"/>
  <c r="L141" i="5"/>
  <c r="L142" i="5"/>
  <c r="L143" i="5"/>
  <c r="L144" i="5"/>
  <c r="L145" i="5"/>
  <c r="L146" i="5"/>
  <c r="L147" i="5"/>
  <c r="L148" i="5"/>
  <c r="L150" i="5"/>
  <c r="L151" i="5"/>
  <c r="L152" i="5"/>
  <c r="L153" i="5"/>
  <c r="L154" i="5"/>
  <c r="L155" i="5"/>
  <c r="L156" i="5"/>
  <c r="L157" i="5"/>
  <c r="L158" i="5"/>
  <c r="L159" i="5"/>
  <c r="L160" i="5"/>
  <c r="L167" i="5"/>
  <c r="L168" i="5"/>
  <c r="L169" i="5"/>
  <c r="L170" i="5"/>
  <c r="L171" i="5"/>
  <c r="L172" i="5"/>
  <c r="L174" i="5"/>
  <c r="L175" i="5"/>
  <c r="L176" i="5"/>
  <c r="L177" i="5"/>
  <c r="L179" i="5"/>
  <c r="L180" i="5"/>
  <c r="L182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3" i="5"/>
  <c r="L295" i="5"/>
  <c r="L296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1" i="5"/>
  <c r="L312" i="5"/>
  <c r="L313" i="5"/>
  <c r="L314" i="5"/>
  <c r="L315" i="5"/>
  <c r="L317" i="5"/>
  <c r="L319" i="5"/>
  <c r="H140" i="5"/>
  <c r="J140" i="5" s="1"/>
  <c r="K76" i="5"/>
  <c r="L76" i="5" s="1"/>
  <c r="J304" i="5"/>
  <c r="F312" i="5"/>
  <c r="F311" i="5"/>
  <c r="D310" i="5"/>
  <c r="F310" i="5" s="1"/>
  <c r="F309" i="5"/>
  <c r="F308" i="5"/>
  <c r="F307" i="5"/>
  <c r="F306" i="5"/>
  <c r="F305" i="5"/>
  <c r="F304" i="5"/>
  <c r="F303" i="5"/>
  <c r="F302" i="5"/>
  <c r="F301" i="5"/>
  <c r="F300" i="5"/>
  <c r="F299" i="5"/>
  <c r="F298" i="5"/>
  <c r="D297" i="5"/>
  <c r="F297" i="5" s="1"/>
  <c r="F296" i="5"/>
  <c r="F295" i="5"/>
  <c r="D294" i="5"/>
  <c r="F294" i="5" s="1"/>
  <c r="F293" i="5"/>
  <c r="D292" i="5"/>
  <c r="F292" i="5" s="1"/>
  <c r="F291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3" i="5"/>
  <c r="F272" i="5"/>
  <c r="F271" i="5"/>
  <c r="D270" i="5"/>
  <c r="F270" i="5" s="1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D220" i="5"/>
  <c r="F220" i="5" s="1"/>
  <c r="D219" i="5"/>
  <c r="L219" i="5" s="1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1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D184" i="5"/>
  <c r="F184" i="5" s="1"/>
  <c r="D183" i="5"/>
  <c r="F183" i="5" s="1"/>
  <c r="F182" i="5"/>
  <c r="F181" i="5"/>
  <c r="F180" i="5"/>
  <c r="F179" i="5"/>
  <c r="D178" i="5"/>
  <c r="F178" i="5" s="1"/>
  <c r="F177" i="5"/>
  <c r="F176" i="5"/>
  <c r="F175" i="5"/>
  <c r="F174" i="5"/>
  <c r="D173" i="5"/>
  <c r="F173" i="5" s="1"/>
  <c r="F172" i="5"/>
  <c r="F171" i="5"/>
  <c r="F170" i="5"/>
  <c r="F169" i="5"/>
  <c r="D166" i="5"/>
  <c r="F166" i="5" s="1"/>
  <c r="D165" i="5"/>
  <c r="F165" i="5" s="1"/>
  <c r="D164" i="5"/>
  <c r="F164" i="5" s="1"/>
  <c r="D163" i="5"/>
  <c r="F163" i="5" s="1"/>
  <c r="F162" i="5"/>
  <c r="D161" i="5"/>
  <c r="F161" i="5" s="1"/>
  <c r="F160" i="5"/>
  <c r="F159" i="5"/>
  <c r="F158" i="5"/>
  <c r="F157" i="5"/>
  <c r="F156" i="5"/>
  <c r="F155" i="5"/>
  <c r="F154" i="5"/>
  <c r="F152" i="5"/>
  <c r="F151" i="5"/>
  <c r="D149" i="5"/>
  <c r="L149" i="5" s="1"/>
  <c r="F148" i="5"/>
  <c r="F147" i="5"/>
  <c r="F144" i="5"/>
  <c r="F142" i="5"/>
  <c r="F141" i="5"/>
  <c r="F140" i="5"/>
  <c r="D139" i="5"/>
  <c r="F139" i="5" s="1"/>
  <c r="F138" i="5"/>
  <c r="F137" i="5"/>
  <c r="D136" i="5"/>
  <c r="L136" i="5" s="1"/>
  <c r="F135" i="5"/>
  <c r="D134" i="5"/>
  <c r="F134" i="5" s="1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D107" i="5"/>
  <c r="F107" i="5" s="1"/>
  <c r="F106" i="5"/>
  <c r="F105" i="5"/>
  <c r="D104" i="5"/>
  <c r="F104" i="5" s="1"/>
  <c r="F103" i="5"/>
  <c r="F102" i="5"/>
  <c r="F101" i="5"/>
  <c r="F100" i="5"/>
  <c r="F99" i="5"/>
  <c r="F98" i="5"/>
  <c r="F97" i="5"/>
  <c r="D96" i="5"/>
  <c r="F96" i="5" s="1"/>
  <c r="D95" i="5"/>
  <c r="F95" i="5" s="1"/>
  <c r="F94" i="5"/>
  <c r="F93" i="5"/>
  <c r="F92" i="5"/>
  <c r="F91" i="5"/>
  <c r="F90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2" i="5"/>
  <c r="F61" i="5"/>
  <c r="F60" i="5"/>
  <c r="F59" i="5"/>
  <c r="F58" i="5"/>
  <c r="F57" i="5"/>
  <c r="F56" i="5"/>
  <c r="F55" i="5"/>
  <c r="D54" i="5"/>
  <c r="F54" i="5" s="1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D35" i="5"/>
  <c r="F35" i="5" s="1"/>
  <c r="F34" i="5"/>
  <c r="F33" i="5"/>
  <c r="F32" i="5"/>
  <c r="F31" i="5"/>
  <c r="F30" i="5"/>
  <c r="F29" i="5"/>
  <c r="F28" i="5"/>
  <c r="F27" i="5"/>
  <c r="F24" i="5"/>
  <c r="F23" i="5"/>
  <c r="F22" i="5"/>
  <c r="D21" i="5"/>
  <c r="F21" i="5" s="1"/>
  <c r="F20" i="5"/>
  <c r="F19" i="5"/>
  <c r="F18" i="5"/>
  <c r="F17" i="5"/>
  <c r="F16" i="5"/>
  <c r="D15" i="5"/>
  <c r="F15" i="5" s="1"/>
  <c r="F14" i="5"/>
  <c r="F13" i="5"/>
  <c r="F12" i="5"/>
  <c r="D11" i="5"/>
  <c r="F11" i="5" s="1"/>
  <c r="F10" i="5"/>
  <c r="F9" i="5"/>
  <c r="D9" i="5"/>
  <c r="L9" i="5" s="1"/>
  <c r="F312" i="4"/>
  <c r="F311" i="4"/>
  <c r="D310" i="4"/>
  <c r="F310" i="4" s="1"/>
  <c r="F309" i="4"/>
  <c r="F308" i="4"/>
  <c r="F307" i="4"/>
  <c r="F306" i="4"/>
  <c r="F305" i="4"/>
  <c r="F304" i="4"/>
  <c r="F303" i="4"/>
  <c r="F302" i="4"/>
  <c r="F301" i="4"/>
  <c r="F300" i="4"/>
  <c r="F299" i="4"/>
  <c r="F298" i="4"/>
  <c r="D297" i="4"/>
  <c r="F297" i="4" s="1"/>
  <c r="F296" i="4"/>
  <c r="F295" i="4"/>
  <c r="D294" i="4"/>
  <c r="F294" i="4" s="1"/>
  <c r="F293" i="4"/>
  <c r="D292" i="4"/>
  <c r="F292" i="4" s="1"/>
  <c r="F291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3" i="4"/>
  <c r="F272" i="4"/>
  <c r="F271" i="4"/>
  <c r="D270" i="4"/>
  <c r="F270" i="4" s="1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D220" i="4"/>
  <c r="F220" i="4" s="1"/>
  <c r="D219" i="4"/>
  <c r="F219" i="4" s="1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1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D184" i="4"/>
  <c r="F184" i="4" s="1"/>
  <c r="D183" i="4"/>
  <c r="F183" i="4" s="1"/>
  <c r="F182" i="4"/>
  <c r="F181" i="4"/>
  <c r="F180" i="4"/>
  <c r="F179" i="4"/>
  <c r="D178" i="4"/>
  <c r="F178" i="4" s="1"/>
  <c r="F177" i="4"/>
  <c r="F176" i="4"/>
  <c r="F175" i="4"/>
  <c r="F174" i="4"/>
  <c r="D173" i="4"/>
  <c r="F173" i="4" s="1"/>
  <c r="F172" i="4"/>
  <c r="F171" i="4"/>
  <c r="F170" i="4"/>
  <c r="F169" i="4"/>
  <c r="D166" i="4"/>
  <c r="F166" i="4" s="1"/>
  <c r="D165" i="4"/>
  <c r="F165" i="4" s="1"/>
  <c r="D164" i="4"/>
  <c r="F164" i="4" s="1"/>
  <c r="D163" i="4"/>
  <c r="F163" i="4" s="1"/>
  <c r="F162" i="4"/>
  <c r="D161" i="4"/>
  <c r="F161" i="4" s="1"/>
  <c r="F160" i="4"/>
  <c r="F159" i="4"/>
  <c r="F158" i="4"/>
  <c r="F157" i="4"/>
  <c r="F156" i="4"/>
  <c r="F155" i="4"/>
  <c r="F154" i="4"/>
  <c r="F152" i="4"/>
  <c r="F151" i="4"/>
  <c r="D149" i="4"/>
  <c r="F148" i="4"/>
  <c r="F147" i="4"/>
  <c r="F144" i="4"/>
  <c r="F142" i="4"/>
  <c r="F141" i="4"/>
  <c r="F140" i="4"/>
  <c r="D139" i="4"/>
  <c r="F139" i="4" s="1"/>
  <c r="F138" i="4"/>
  <c r="F137" i="4"/>
  <c r="D136" i="4"/>
  <c r="F136" i="4" s="1"/>
  <c r="F135" i="4"/>
  <c r="D134" i="4"/>
  <c r="F134" i="4" s="1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D107" i="4"/>
  <c r="F107" i="4" s="1"/>
  <c r="F106" i="4"/>
  <c r="F105" i="4"/>
  <c r="D104" i="4"/>
  <c r="F104" i="4" s="1"/>
  <c r="F103" i="4"/>
  <c r="F102" i="4"/>
  <c r="F101" i="4"/>
  <c r="F100" i="4"/>
  <c r="F99" i="4"/>
  <c r="F98" i="4"/>
  <c r="F97" i="4"/>
  <c r="D96" i="4"/>
  <c r="F96" i="4" s="1"/>
  <c r="D95" i="4"/>
  <c r="F95" i="4" s="1"/>
  <c r="F94" i="4"/>
  <c r="F93" i="4"/>
  <c r="F92" i="4"/>
  <c r="F91" i="4"/>
  <c r="F90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2" i="4"/>
  <c r="F61" i="4"/>
  <c r="F60" i="4"/>
  <c r="F59" i="4"/>
  <c r="F58" i="4"/>
  <c r="F57" i="4"/>
  <c r="F56" i="4"/>
  <c r="F55" i="4"/>
  <c r="D54" i="4"/>
  <c r="F54" i="4" s="1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D35" i="4"/>
  <c r="F35" i="4" s="1"/>
  <c r="F34" i="4"/>
  <c r="F33" i="4"/>
  <c r="F32" i="4"/>
  <c r="F31" i="4"/>
  <c r="F30" i="4"/>
  <c r="F29" i="4"/>
  <c r="F28" i="4"/>
  <c r="F27" i="4"/>
  <c r="F24" i="4"/>
  <c r="F23" i="4"/>
  <c r="F22" i="4"/>
  <c r="D21" i="4"/>
  <c r="F21" i="4" s="1"/>
  <c r="F20" i="4"/>
  <c r="F19" i="4"/>
  <c r="F18" i="4"/>
  <c r="F17" i="4"/>
  <c r="F16" i="4"/>
  <c r="D15" i="4"/>
  <c r="F15" i="4" s="1"/>
  <c r="F14" i="4"/>
  <c r="F13" i="4"/>
  <c r="F12" i="4"/>
  <c r="D11" i="4"/>
  <c r="F11" i="4" s="1"/>
  <c r="F10" i="4"/>
  <c r="F9" i="4"/>
  <c r="D9" i="4"/>
  <c r="D316" i="5"/>
  <c r="L316" i="5" s="1"/>
  <c r="I245" i="5" l="1"/>
  <c r="J245" i="5" s="1"/>
  <c r="F294" i="6"/>
  <c r="F183" i="6"/>
  <c r="F219" i="6"/>
  <c r="F11" i="6"/>
  <c r="F184" i="6"/>
  <c r="F104" i="6"/>
  <c r="F139" i="6"/>
  <c r="L165" i="6"/>
  <c r="F270" i="6"/>
  <c r="L107" i="5"/>
  <c r="F134" i="6"/>
  <c r="F161" i="6"/>
  <c r="L140" i="6"/>
  <c r="F136" i="6"/>
  <c r="J162" i="6"/>
  <c r="L292" i="6"/>
  <c r="F292" i="6"/>
  <c r="F15" i="6"/>
  <c r="L21" i="6"/>
  <c r="L163" i="6"/>
  <c r="F220" i="6"/>
  <c r="F310" i="6"/>
  <c r="L245" i="6"/>
  <c r="L9" i="6"/>
  <c r="L324" i="6"/>
  <c r="F35" i="6"/>
  <c r="F164" i="6"/>
  <c r="F95" i="6"/>
  <c r="I245" i="6"/>
  <c r="J245" i="6" s="1"/>
  <c r="F297" i="6"/>
  <c r="F54" i="6"/>
  <c r="F96" i="6"/>
  <c r="F107" i="6"/>
  <c r="F166" i="6"/>
  <c r="I324" i="6"/>
  <c r="J324" i="6" s="1"/>
  <c r="F178" i="6"/>
  <c r="F173" i="6"/>
  <c r="L35" i="5"/>
  <c r="J162" i="5"/>
  <c r="L183" i="5"/>
  <c r="L95" i="5"/>
  <c r="L163" i="5"/>
  <c r="F136" i="5"/>
  <c r="L140" i="5"/>
  <c r="L165" i="5"/>
  <c r="L292" i="5"/>
  <c r="F219" i="5"/>
  <c r="L164" i="5"/>
  <c r="L104" i="5"/>
  <c r="L139" i="5"/>
  <c r="L294" i="5"/>
  <c r="L270" i="5"/>
  <c r="L54" i="5"/>
  <c r="L173" i="5"/>
  <c r="L161" i="5"/>
  <c r="L220" i="5"/>
  <c r="L184" i="5"/>
  <c r="L15" i="5"/>
  <c r="L134" i="5"/>
  <c r="L96" i="5"/>
  <c r="L11" i="5"/>
  <c r="L310" i="5"/>
  <c r="L178" i="5"/>
  <c r="L166" i="5"/>
  <c r="L297" i="5"/>
  <c r="L21" i="5"/>
  <c r="F313" i="4"/>
  <c r="F328" i="6" l="1"/>
  <c r="F329" i="5"/>
  <c r="F227" i="3"/>
  <c r="F239" i="3" l="1"/>
  <c r="F238" i="3"/>
  <c r="F237" i="3"/>
  <c r="F236" i="3"/>
  <c r="F235" i="3"/>
  <c r="F234" i="3"/>
  <c r="F233" i="3"/>
  <c r="F232" i="3"/>
  <c r="F231" i="3"/>
  <c r="F230" i="3"/>
  <c r="F229" i="3"/>
  <c r="F224" i="3"/>
  <c r="F225" i="3"/>
  <c r="F222" i="3"/>
  <c r="F221" i="3"/>
  <c r="F220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6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3" i="3"/>
  <c r="F194" i="3"/>
  <c r="F195" i="3"/>
  <c r="F196" i="3"/>
  <c r="F197" i="3"/>
  <c r="F198" i="3"/>
  <c r="F199" i="3"/>
  <c r="F200" i="3"/>
  <c r="F201" i="3"/>
  <c r="F202" i="3"/>
  <c r="F203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3" i="3"/>
  <c r="F226" i="3"/>
  <c r="F228" i="3"/>
  <c r="F240" i="3"/>
  <c r="F241" i="3"/>
  <c r="D204" i="3"/>
  <c r="F204" i="3" s="1"/>
  <c r="D192" i="3"/>
  <c r="F192" i="3" s="1"/>
  <c r="D147" i="3"/>
  <c r="F147" i="3" s="1"/>
  <c r="D148" i="3"/>
  <c r="F148" i="3" s="1"/>
  <c r="D145" i="3" l="1"/>
  <c r="F145" i="3" s="1"/>
  <c r="D64" i="3" l="1"/>
  <c r="F64" i="3" s="1"/>
  <c r="F8" i="3" l="1"/>
  <c r="F242" i="3" s="1"/>
  <c r="F36" i="2" l="1"/>
  <c r="F30" i="2"/>
  <c r="F16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5" i="2"/>
  <c r="F34" i="2"/>
  <c r="F33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5" i="2"/>
  <c r="F14" i="2"/>
  <c r="F13" i="2"/>
  <c r="F12" i="2"/>
  <c r="F11" i="2"/>
  <c r="F10" i="2"/>
  <c r="F9" i="2"/>
  <c r="F8" i="2"/>
  <c r="F249" i="2" l="1"/>
  <c r="F163" i="1"/>
  <c r="F68" i="1"/>
  <c r="F11" i="1"/>
  <c r="F10" i="1"/>
  <c r="F8" i="1"/>
  <c r="F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 l="1"/>
  <c r="F248" i="1" l="1"/>
  <c r="O388" i="8"/>
  <c r="K340" i="17"/>
  <c r="K341" i="17"/>
  <c r="F341" i="17"/>
  <c r="P341" i="17"/>
  <c r="F340" i="17"/>
  <c r="P340" i="17" s="1"/>
  <c r="P339" i="17"/>
  <c r="K475" i="17"/>
  <c r="K339" i="17"/>
  <c r="J475" i="17"/>
</calcChain>
</file>

<file path=xl/sharedStrings.xml><?xml version="1.0" encoding="utf-8"?>
<sst xmlns="http://schemas.openxmlformats.org/spreadsheetml/2006/main" count="25102" uniqueCount="1291">
  <si>
    <t>ACUARIO NACIONAL</t>
  </si>
  <si>
    <t>"Educando para la Conservación"</t>
  </si>
  <si>
    <t>BREVE DESCRIPCIÓN DEL BIEN</t>
  </si>
  <si>
    <t>EXISTENCIA</t>
  </si>
  <si>
    <t>VALORES RD$</t>
  </si>
  <si>
    <t>REALIZADO POR :</t>
  </si>
  <si>
    <t xml:space="preserve">Enc. División de Contabilidad. </t>
  </si>
  <si>
    <t>************OBSERVACIÓN**********</t>
  </si>
  <si>
    <t>Los codigos , tantos de Bienes Nacionales, no aplican para está relación de materiales de oficinas</t>
  </si>
  <si>
    <t>FECHA DE ADQUISICIÓN/REGISTRO</t>
  </si>
  <si>
    <t>AN1</t>
  </si>
  <si>
    <t>AN2</t>
  </si>
  <si>
    <t>AN4</t>
  </si>
  <si>
    <t>AN8</t>
  </si>
  <si>
    <t>AN9</t>
  </si>
  <si>
    <t>AN10</t>
  </si>
  <si>
    <t>AN12</t>
  </si>
  <si>
    <t>AN13</t>
  </si>
  <si>
    <t>AN14</t>
  </si>
  <si>
    <t>AN15</t>
  </si>
  <si>
    <t>AN16</t>
  </si>
  <si>
    <t>AN17</t>
  </si>
  <si>
    <t>AN18</t>
  </si>
  <si>
    <t>AN19</t>
  </si>
  <si>
    <t>AN20</t>
  </si>
  <si>
    <t>AN23</t>
  </si>
  <si>
    <t>AN25</t>
  </si>
  <si>
    <t>AN26</t>
  </si>
  <si>
    <t>AN27</t>
  </si>
  <si>
    <t>AN29</t>
  </si>
  <si>
    <t>AN30</t>
  </si>
  <si>
    <t>AN32</t>
  </si>
  <si>
    <t>AN33</t>
  </si>
  <si>
    <t>AN34</t>
  </si>
  <si>
    <t>AN35</t>
  </si>
  <si>
    <t>AN40</t>
  </si>
  <si>
    <t>AN41</t>
  </si>
  <si>
    <t>AN42</t>
  </si>
  <si>
    <t>AN43</t>
  </si>
  <si>
    <t>AN45</t>
  </si>
  <si>
    <t>AN46</t>
  </si>
  <si>
    <t>AN48</t>
  </si>
  <si>
    <t>AN51</t>
  </si>
  <si>
    <t>AN54</t>
  </si>
  <si>
    <t>AN64</t>
  </si>
  <si>
    <t>AN55</t>
  </si>
  <si>
    <t>AN56</t>
  </si>
  <si>
    <t>AN57</t>
  </si>
  <si>
    <t>AN58</t>
  </si>
  <si>
    <t>AN59</t>
  </si>
  <si>
    <t>AN60</t>
  </si>
  <si>
    <t>AN61</t>
  </si>
  <si>
    <t>AN62</t>
  </si>
  <si>
    <t>AN63</t>
  </si>
  <si>
    <t>AN69</t>
  </si>
  <si>
    <t>AN70</t>
  </si>
  <si>
    <t>AN71</t>
  </si>
  <si>
    <t>AN73</t>
  </si>
  <si>
    <t>AN77</t>
  </si>
  <si>
    <t>AN78</t>
  </si>
  <si>
    <t>AN79</t>
  </si>
  <si>
    <t>AN80</t>
  </si>
  <si>
    <t>AN81</t>
  </si>
  <si>
    <t>AN82</t>
  </si>
  <si>
    <t>AN83</t>
  </si>
  <si>
    <t>AN84</t>
  </si>
  <si>
    <t>AN85</t>
  </si>
  <si>
    <t>AN87</t>
  </si>
  <si>
    <t>AN86</t>
  </si>
  <si>
    <t>AN88</t>
  </si>
  <si>
    <t>AN92</t>
  </si>
  <si>
    <t>AN93</t>
  </si>
  <si>
    <t>AN94</t>
  </si>
  <si>
    <t>AN95</t>
  </si>
  <si>
    <t>AN96</t>
  </si>
  <si>
    <t>AN98</t>
  </si>
  <si>
    <t xml:space="preserve">Contactores de 65 amperes </t>
  </si>
  <si>
    <t>Contactores de 32 amperes</t>
  </si>
  <si>
    <t>Contactores de 150 amperes</t>
  </si>
  <si>
    <t xml:space="preserve">Desodorante p/inodoro </t>
  </si>
  <si>
    <t>Enchufe 110</t>
  </si>
  <si>
    <t>Escobas plasticas   Kika</t>
  </si>
  <si>
    <t>Filtro BT259</t>
  </si>
  <si>
    <t>filtros de planta BF584</t>
  </si>
  <si>
    <t>Flltros P1103 (BF892</t>
  </si>
  <si>
    <t xml:space="preserve">Interruptores unipolar </t>
  </si>
  <si>
    <t xml:space="preserve">jabon Liquido   galones </t>
  </si>
  <si>
    <t>lamparas 32 watts</t>
  </si>
  <si>
    <t>Luces de control verde</t>
  </si>
  <si>
    <t>Luces de control rojo</t>
  </si>
  <si>
    <t xml:space="preserve">Monitor de fase </t>
  </si>
  <si>
    <t>Suapers # 32</t>
  </si>
  <si>
    <t>T PVC 1¨</t>
  </si>
  <si>
    <t>T PVC 3/4</t>
  </si>
  <si>
    <t xml:space="preserve">Tape de goma </t>
  </si>
  <si>
    <t>Tapones plasticos PVC 2¨</t>
  </si>
  <si>
    <t>Terminales de emparme</t>
  </si>
  <si>
    <t xml:space="preserve">Timbre </t>
  </si>
  <si>
    <t>TOTAL</t>
  </si>
  <si>
    <t>AN31</t>
  </si>
  <si>
    <t>AN72</t>
  </si>
  <si>
    <t>AN97</t>
  </si>
  <si>
    <t>AN99</t>
  </si>
  <si>
    <t>AN89</t>
  </si>
  <si>
    <t>AN90</t>
  </si>
  <si>
    <t>14/03/2019</t>
  </si>
  <si>
    <t>29/03/2019</t>
  </si>
  <si>
    <t>17/12/2018</t>
  </si>
  <si>
    <t>16/09/2019</t>
  </si>
  <si>
    <t>AN52</t>
  </si>
  <si>
    <t>AN21</t>
  </si>
  <si>
    <t>AN36</t>
  </si>
  <si>
    <t>14/09/2019</t>
  </si>
  <si>
    <t>AN65</t>
  </si>
  <si>
    <t>29/08/2019</t>
  </si>
  <si>
    <t>25/12/2019</t>
  </si>
  <si>
    <t>18/12/2019</t>
  </si>
  <si>
    <t>PRECIO UNITARIO</t>
  </si>
  <si>
    <t>CÓDIGO INSTITUCIONAL</t>
  </si>
  <si>
    <t>Transformadores de control</t>
  </si>
  <si>
    <t>AN3</t>
  </si>
  <si>
    <t>AN5</t>
  </si>
  <si>
    <t>AN6</t>
  </si>
  <si>
    <t>AN7</t>
  </si>
  <si>
    <t>AN11</t>
  </si>
  <si>
    <t>AN22</t>
  </si>
  <si>
    <t>AN24</t>
  </si>
  <si>
    <t>AN28</t>
  </si>
  <si>
    <t>AN37</t>
  </si>
  <si>
    <t>AN38</t>
  </si>
  <si>
    <t>AN39</t>
  </si>
  <si>
    <t>AN44</t>
  </si>
  <si>
    <t>AN47</t>
  </si>
  <si>
    <t>AN49</t>
  </si>
  <si>
    <t>AN50</t>
  </si>
  <si>
    <t>AN53</t>
  </si>
  <si>
    <t>AN66</t>
  </si>
  <si>
    <t>AN67</t>
  </si>
  <si>
    <t>AN68</t>
  </si>
  <si>
    <t>AN74</t>
  </si>
  <si>
    <t>AN75</t>
  </si>
  <si>
    <t>AN76</t>
  </si>
  <si>
    <t>AN91</t>
  </si>
  <si>
    <t>AN100</t>
  </si>
  <si>
    <t>ACE 33 LIBRAS SACO</t>
  </si>
  <si>
    <t xml:space="preserve">ACEITE DE 2 TIEMPO </t>
  </si>
  <si>
    <t xml:space="preserve">ACEITE PARA COMPRESORES GASTROL GTX </t>
  </si>
  <si>
    <t xml:space="preserve">ADAPTADORES HEMBRA 2 </t>
  </si>
  <si>
    <t xml:space="preserve">ADAPTADORES HEMBRA 3/4 </t>
  </si>
  <si>
    <t xml:space="preserve">ADAPTADORES MACHO 1 1/2 </t>
  </si>
  <si>
    <t>ADAPTADORES MACHO 2</t>
  </si>
  <si>
    <t xml:space="preserve">ADAPTADORES MACHO 3/4 </t>
  </si>
  <si>
    <t>AGENDA</t>
  </si>
  <si>
    <t xml:space="preserve">AGUA DE BATERIA </t>
  </si>
  <si>
    <t xml:space="preserve">ALAMBRE # 10 </t>
  </si>
  <si>
    <t>ALAMBRE DE GOMA ROLLO NO. 12-13</t>
  </si>
  <si>
    <t>ALAMBRE DUPLOX ROLLO No. 16</t>
  </si>
  <si>
    <t xml:space="preserve">ALAMBRES # 10 ROLLO </t>
  </si>
  <si>
    <t xml:space="preserve">ALAMBRES # 12 ROLLO DE 500 </t>
  </si>
  <si>
    <t>ALMOHADILLA DE MOUSE</t>
  </si>
  <si>
    <t xml:space="preserve">BINDER CLIPS GRANDE </t>
  </si>
  <si>
    <t xml:space="preserve">BOLIGRAFO </t>
  </si>
  <si>
    <t>BOLIGRAFO AZUL</t>
  </si>
  <si>
    <t xml:space="preserve">BOLIGRAFO NEGRO </t>
  </si>
  <si>
    <t>BORRADOR  DE PIZARA</t>
  </si>
  <si>
    <t xml:space="preserve">BREAKERS DE 32 AMPERES SENCILLO </t>
  </si>
  <si>
    <t>BRILLO VERDE</t>
  </si>
  <si>
    <t>BROCHAS DE 1 1/2</t>
  </si>
  <si>
    <t xml:space="preserve">BROCHAS DE 2" </t>
  </si>
  <si>
    <t>BROCHAS DE 4´´</t>
  </si>
  <si>
    <t xml:space="preserve">CAJA PLASTICA 2X4 </t>
  </si>
  <si>
    <t xml:space="preserve">CAPACITADORES DE 340-408 </t>
  </si>
  <si>
    <t xml:space="preserve">CARPETA </t>
  </si>
  <si>
    <t xml:space="preserve">CARTULINAS  </t>
  </si>
  <si>
    <t>CD</t>
  </si>
  <si>
    <t xml:space="preserve">CEMENTO PVC </t>
  </si>
  <si>
    <t>CENTRIMETRO</t>
  </si>
  <si>
    <t xml:space="preserve">CEPILLOS PLASTICOS CON PALO </t>
  </si>
  <si>
    <t xml:space="preserve">CHINCHETAS PLASTICAS </t>
  </si>
  <si>
    <t>CINTA ADHESIVA scoth, highland</t>
  </si>
  <si>
    <t xml:space="preserve">CINTAS CORRECTORAS </t>
  </si>
  <si>
    <t xml:space="preserve">CINTAS DE PRECAUCION </t>
  </si>
  <si>
    <t>CINTAS P/ MAQUINA DE ESCRIBIR</t>
  </si>
  <si>
    <t xml:space="preserve">CINTAS P/ MAQUINA DE ESCRIBIR </t>
  </si>
  <si>
    <t>CLIPS DE PAPEL</t>
  </si>
  <si>
    <t>CLIPS MARIPOSA GRANDE</t>
  </si>
  <si>
    <t>CLIPS VINYL COLORES GRANDE</t>
  </si>
  <si>
    <t xml:space="preserve">CLORO GRANULADO </t>
  </si>
  <si>
    <t>CODO PVC a 45 de 1 1/2</t>
  </si>
  <si>
    <t>CODO PVC a 45.  de 1/2</t>
  </si>
  <si>
    <t>CODO PVC a 45.  de 3/4</t>
  </si>
  <si>
    <t>CODO PVC a 45. de 2</t>
  </si>
  <si>
    <t>CODO PVC a 45. de 3</t>
  </si>
  <si>
    <t>COMPLIN  1/2</t>
  </si>
  <si>
    <t>COMPLIN 1 1/2</t>
  </si>
  <si>
    <t>COMPLIN 1¨</t>
  </si>
  <si>
    <t>COMPLIN 3/4</t>
  </si>
  <si>
    <t xml:space="preserve">CONECTORES DE SILLITA </t>
  </si>
  <si>
    <t xml:space="preserve">CORRECTOR  LIQ. PAPER </t>
  </si>
  <si>
    <t xml:space="preserve">DISOLVENTE PARA ACRILICO </t>
  </si>
  <si>
    <t>DVD</t>
  </si>
  <si>
    <t>ENGRAPADORA DE PIEZAS METALICA</t>
  </si>
  <si>
    <t xml:space="preserve">EPOXI AZUL MARINO </t>
  </si>
  <si>
    <t xml:space="preserve">ESCOBILLONES </t>
  </si>
  <si>
    <t xml:space="preserve">ESCURRIDOR DE AGUA DE PISO </t>
  </si>
  <si>
    <t>ETIQUETAS AUTO ADHESIVA</t>
  </si>
  <si>
    <t>Extensiones electrica 100 pies</t>
  </si>
  <si>
    <t>Filtro  PA1712</t>
  </si>
  <si>
    <t>Filtros aire p/ planta fleet guard FF211-3</t>
  </si>
  <si>
    <t>Filtros BT230</t>
  </si>
  <si>
    <t>Filtros P1112</t>
  </si>
  <si>
    <t xml:space="preserve">FOAMY VARIOS COLOR </t>
  </si>
  <si>
    <t>Focos de vehiculo</t>
  </si>
  <si>
    <t>FOLDER GRANDE CREMA 81/2x11</t>
  </si>
  <si>
    <t>FOLDER INTERIOR AMARILLO 8 1/2 x 14</t>
  </si>
  <si>
    <t>FOLDER INTERIOR AZUL 8 1/2 X 11</t>
  </si>
  <si>
    <t>FOLDER PLASTICOS</t>
  </si>
  <si>
    <t xml:space="preserve">FUNDAS P/ BASURA DE 30 GALONES </t>
  </si>
  <si>
    <t xml:space="preserve">FUNDAS P/ BASURA DE 55 GALONES </t>
  </si>
  <si>
    <t xml:space="preserve">FUNDAS P/ BASURA DE 65 GALONES </t>
  </si>
  <si>
    <t xml:space="preserve">GANCHOS PARA ARCHIVAR </t>
  </si>
  <si>
    <t xml:space="preserve">Garrafones p/ gasolina rojo </t>
  </si>
  <si>
    <t>Goma para sacar agua</t>
  </si>
  <si>
    <t xml:space="preserve">GRAPADORA </t>
  </si>
  <si>
    <t xml:space="preserve">GRAPAS </t>
  </si>
  <si>
    <t>Guantes negro plastico XL</t>
  </si>
  <si>
    <t>Hoja de segueta</t>
  </si>
  <si>
    <t xml:space="preserve">Interruptores doble </t>
  </si>
  <si>
    <t xml:space="preserve">Interruptores tree </t>
  </si>
  <si>
    <t>Junta cera para inodoro</t>
  </si>
  <si>
    <t>LABELS CD Y DVD</t>
  </si>
  <si>
    <t>LABERS LASER</t>
  </si>
  <si>
    <t>LAMINA FILMICA PARA PLASTIFICAR</t>
  </si>
  <si>
    <t>LAMINAS P/PLASTIFICAR CARNET CJA 1/100</t>
  </si>
  <si>
    <t>Lanillas</t>
  </si>
  <si>
    <t xml:space="preserve">LAPICERO GEL RETRACTABLE </t>
  </si>
  <si>
    <t xml:space="preserve">LAPICEROS </t>
  </si>
  <si>
    <t xml:space="preserve">LAPIZ  </t>
  </si>
  <si>
    <t>LIBRETAS DE APUNTES GRANDE</t>
  </si>
  <si>
    <t>LIBRETAS DE APUNTES PEQ.</t>
  </si>
  <si>
    <t xml:space="preserve">LIBROS DE ASIENTOS DIARIOS </t>
  </si>
  <si>
    <t>LIBROS DE RECORD</t>
  </si>
  <si>
    <t>Lijas de 120</t>
  </si>
  <si>
    <t xml:space="preserve">LIMPIADOR PIZARRA </t>
  </si>
  <si>
    <t>Llave bola PVC 1 1/2</t>
  </si>
  <si>
    <t>Llave bola PVC 1/2</t>
  </si>
  <si>
    <t>Llave bola PVC 2</t>
  </si>
  <si>
    <t>Llave bola PVC 3/4¨</t>
  </si>
  <si>
    <t>Llave de bola de 1´´</t>
  </si>
  <si>
    <t>Llave de paleta PVC 3¨</t>
  </si>
  <si>
    <t>Llave p lavamano</t>
  </si>
  <si>
    <t xml:space="preserve">Llave temporizadora </t>
  </si>
  <si>
    <t xml:space="preserve">Machetes </t>
  </si>
  <si>
    <t>MAQUINTAPE CREMA</t>
  </si>
  <si>
    <t xml:space="preserve">MARCADOR PERMANENTE </t>
  </si>
  <si>
    <t xml:space="preserve">MARCADOR PIZARRA BLANCA </t>
  </si>
  <si>
    <t xml:space="preserve">MARCADORES PERMANENTE  </t>
  </si>
  <si>
    <t>MEMORIA 16 GB</t>
  </si>
  <si>
    <t xml:space="preserve">MESAS PLASTICAS </t>
  </si>
  <si>
    <t>MEZCLADORA PARA FREGADERO</t>
  </si>
  <si>
    <t>Mezcladora para lavamanos de 2 puños</t>
  </si>
  <si>
    <t xml:space="preserve">PALAS PLAST. P/ BASURA CON PALO </t>
  </si>
  <si>
    <t xml:space="preserve">PAPEL CARBON </t>
  </si>
  <si>
    <t xml:space="preserve">PAPEL CONTRUCCION </t>
  </si>
  <si>
    <t>PAPEL HILO BLANCO</t>
  </si>
  <si>
    <t xml:space="preserve">PAPEL MULTIUSO 8 1/2 X 14  </t>
  </si>
  <si>
    <t>PAPEL PARA SUMADORA</t>
  </si>
  <si>
    <t xml:space="preserve">PAPEL TIMBRADO ACUARIO </t>
  </si>
  <si>
    <t xml:space="preserve">PEGAMENTO GRITTER  </t>
  </si>
  <si>
    <t>PEGAMENTO UHU</t>
  </si>
  <si>
    <t>PENDAFLEX 8 1/2 X 11</t>
  </si>
  <si>
    <t>PENDAFLEX 8 1/2 X 14</t>
  </si>
  <si>
    <t>PERFORADORA 2 HOYO</t>
  </si>
  <si>
    <t xml:space="preserve">PESTAÑA PARA PENDAFLEX </t>
  </si>
  <si>
    <t>PILAS AA</t>
  </si>
  <si>
    <t>PILAS AAA</t>
  </si>
  <si>
    <t xml:space="preserve">PILAS D12    </t>
  </si>
  <si>
    <t>PINTURA ESMALTE AZUL POSITIVO 05</t>
  </si>
  <si>
    <t xml:space="preserve">PINTURA ESMALTE AZUL TROPICAL 54 </t>
  </si>
  <si>
    <t xml:space="preserve">PLASTICOS P/ENCUADERNACION </t>
  </si>
  <si>
    <t>PLASTILINA PEQUEÑA</t>
  </si>
  <si>
    <t>PORTA CARNET CUELDA PARA COLGAR</t>
  </si>
  <si>
    <t>PORTA CARNET PLASTICOS NEGRO</t>
  </si>
  <si>
    <t xml:space="preserve">PORTA REVISTA DE PLASTICO </t>
  </si>
  <si>
    <t>POST-IT GRANDE</t>
  </si>
  <si>
    <t>POST-IT PEQUEÑO</t>
  </si>
  <si>
    <t>RASTRILLOS PLASTICOS</t>
  </si>
  <si>
    <t xml:space="preserve">REGLAS </t>
  </si>
  <si>
    <t>Relay  Termico 25-40 amperes</t>
  </si>
  <si>
    <t>Relay magnetica de 8 a10 amperes</t>
  </si>
  <si>
    <t>Rodamientos 6205</t>
  </si>
  <si>
    <t xml:space="preserve">SACA GRAPAS </t>
  </si>
  <si>
    <t xml:space="preserve">SACA PUNTAS </t>
  </si>
  <si>
    <t xml:space="preserve">SACA PUNTAS ELECTRICO  </t>
  </si>
  <si>
    <t>Salvavidas blanco</t>
  </si>
  <si>
    <t>Segueta</t>
  </si>
  <si>
    <t xml:space="preserve">Selector de control </t>
  </si>
  <si>
    <t>Silicon Abro clear ss-1200 tubo clear</t>
  </si>
  <si>
    <t>SILICON LIQUIDOS</t>
  </si>
  <si>
    <t xml:space="preserve">Silicon transparente </t>
  </si>
  <si>
    <t>Silicon transparente Dow Corning negro</t>
  </si>
  <si>
    <t>SISTEMA COMPLETO INYECCION TINTA</t>
  </si>
  <si>
    <t>SOBRE TIMBRADO ACUARIO</t>
  </si>
  <si>
    <t xml:space="preserve">SOBRES MANILA AMARILLO </t>
  </si>
  <si>
    <t>SOBRES MANILA BLANCO GRANDE 8 1/2X 14</t>
  </si>
  <si>
    <t>SOBRES P/CARTA BLANCO</t>
  </si>
  <si>
    <t xml:space="preserve">Spray limpiador de contacto </t>
  </si>
  <si>
    <t xml:space="preserve">STAMP PAD P/ SELLOS </t>
  </si>
  <si>
    <t>T PVC 1 1/2¨</t>
  </si>
  <si>
    <t>T PVC 3</t>
  </si>
  <si>
    <t>Tapas ciega</t>
  </si>
  <si>
    <t xml:space="preserve">Tape 3m </t>
  </si>
  <si>
    <t xml:space="preserve">Tape de vinyl 3M </t>
  </si>
  <si>
    <t>Tapones plasticos PVC 1 1/2</t>
  </si>
  <si>
    <t>Tapones plasticos PVC 1/2</t>
  </si>
  <si>
    <t>Tapones plasticos PVC 3/4</t>
  </si>
  <si>
    <t>Tapones plasticos PVC 3¨</t>
  </si>
  <si>
    <t xml:space="preserve">TEMPERA ESCOLAR </t>
  </si>
  <si>
    <t xml:space="preserve">TIJERAS </t>
  </si>
  <si>
    <t>Toallitas micro fibra amarilla</t>
  </si>
  <si>
    <t>Toma corriente bticino</t>
  </si>
  <si>
    <t>TONER 05A</t>
  </si>
  <si>
    <t>TONER 49A</t>
  </si>
  <si>
    <t xml:space="preserve">TONER CARTHIDGE </t>
  </si>
  <si>
    <t xml:space="preserve">TONER GPR-22 </t>
  </si>
  <si>
    <t>TONER HP LASERJET 15A</t>
  </si>
  <si>
    <t>TONERS 12A</t>
  </si>
  <si>
    <t>Tornillos con tarugos empostrado</t>
  </si>
  <si>
    <t>Tornillos diablito 1 pulg</t>
  </si>
  <si>
    <t>Union dreser fresser 1/2</t>
  </si>
  <si>
    <t xml:space="preserve">Union dreser fresser 3/4 </t>
  </si>
  <si>
    <t>Union Universal PVC  1 1/2</t>
  </si>
  <si>
    <t xml:space="preserve">VARITAS FOLDER PLASTICOS </t>
  </si>
  <si>
    <t>Virkons desinfectante Virucola</t>
  </si>
  <si>
    <t>AN101</t>
  </si>
  <si>
    <t>AN102</t>
  </si>
  <si>
    <t>AN103</t>
  </si>
  <si>
    <t>AN104</t>
  </si>
  <si>
    <t>AN105</t>
  </si>
  <si>
    <t>AN106</t>
  </si>
  <si>
    <t>AN107</t>
  </si>
  <si>
    <t>AN108</t>
  </si>
  <si>
    <t>AN109</t>
  </si>
  <si>
    <t>AN110</t>
  </si>
  <si>
    <t>AN111</t>
  </si>
  <si>
    <t>AN112</t>
  </si>
  <si>
    <t>AN113</t>
  </si>
  <si>
    <t>AN114</t>
  </si>
  <si>
    <t>AN115</t>
  </si>
  <si>
    <t>AN116</t>
  </si>
  <si>
    <t>AN117</t>
  </si>
  <si>
    <t>AN118</t>
  </si>
  <si>
    <t>AN119</t>
  </si>
  <si>
    <t>AN120</t>
  </si>
  <si>
    <t>AN121</t>
  </si>
  <si>
    <t>AN122</t>
  </si>
  <si>
    <t>AN123</t>
  </si>
  <si>
    <t>AN124</t>
  </si>
  <si>
    <t>AN125</t>
  </si>
  <si>
    <t>AN126</t>
  </si>
  <si>
    <t>AN127</t>
  </si>
  <si>
    <t>AN128</t>
  </si>
  <si>
    <t>AN129</t>
  </si>
  <si>
    <t>AN130</t>
  </si>
  <si>
    <t>AN131</t>
  </si>
  <si>
    <t>AN132</t>
  </si>
  <si>
    <t>AN133</t>
  </si>
  <si>
    <t>AN134</t>
  </si>
  <si>
    <t>AN135</t>
  </si>
  <si>
    <t>AN136</t>
  </si>
  <si>
    <t>AN137</t>
  </si>
  <si>
    <t>AN138</t>
  </si>
  <si>
    <t>AN139</t>
  </si>
  <si>
    <t>AN140</t>
  </si>
  <si>
    <t>AN141</t>
  </si>
  <si>
    <t>AN142</t>
  </si>
  <si>
    <t>AN143</t>
  </si>
  <si>
    <t>AN144</t>
  </si>
  <si>
    <t>AN145</t>
  </si>
  <si>
    <t>AN146</t>
  </si>
  <si>
    <t>AN147</t>
  </si>
  <si>
    <t>AN148</t>
  </si>
  <si>
    <t>AN149</t>
  </si>
  <si>
    <t>AN150</t>
  </si>
  <si>
    <t>AN151</t>
  </si>
  <si>
    <t>AN152</t>
  </si>
  <si>
    <t>AN153</t>
  </si>
  <si>
    <t>AN154</t>
  </si>
  <si>
    <t>AN155</t>
  </si>
  <si>
    <t>AN156</t>
  </si>
  <si>
    <t>AN157</t>
  </si>
  <si>
    <t>AN158</t>
  </si>
  <si>
    <t>AN159</t>
  </si>
  <si>
    <t>AN160</t>
  </si>
  <si>
    <t>AN161</t>
  </si>
  <si>
    <t>AN162</t>
  </si>
  <si>
    <t>AN163</t>
  </si>
  <si>
    <t>AN164</t>
  </si>
  <si>
    <t>AN165</t>
  </si>
  <si>
    <t>AN166</t>
  </si>
  <si>
    <t>AN167</t>
  </si>
  <si>
    <t>AN168</t>
  </si>
  <si>
    <t>AN169</t>
  </si>
  <si>
    <t>AN170</t>
  </si>
  <si>
    <t>AN171</t>
  </si>
  <si>
    <t>AN172</t>
  </si>
  <si>
    <t>AN173</t>
  </si>
  <si>
    <t>AN174</t>
  </si>
  <si>
    <t>AN175</t>
  </si>
  <si>
    <t>AN176</t>
  </si>
  <si>
    <t>AN177</t>
  </si>
  <si>
    <t>AN178</t>
  </si>
  <si>
    <t>AN179</t>
  </si>
  <si>
    <t>AN180</t>
  </si>
  <si>
    <t>AN181</t>
  </si>
  <si>
    <t>AN182</t>
  </si>
  <si>
    <t>AN183</t>
  </si>
  <si>
    <t>AN184</t>
  </si>
  <si>
    <t>AN185</t>
  </si>
  <si>
    <t>AN186</t>
  </si>
  <si>
    <t>AN187</t>
  </si>
  <si>
    <t>AN188</t>
  </si>
  <si>
    <t>AN189</t>
  </si>
  <si>
    <t>AN190</t>
  </si>
  <si>
    <t>AN191</t>
  </si>
  <si>
    <t>AN192</t>
  </si>
  <si>
    <t>AN193</t>
  </si>
  <si>
    <t>AN194</t>
  </si>
  <si>
    <t>AN195</t>
  </si>
  <si>
    <t>AN196</t>
  </si>
  <si>
    <t>AN197</t>
  </si>
  <si>
    <t>AN198</t>
  </si>
  <si>
    <t>AN199</t>
  </si>
  <si>
    <t>AN200</t>
  </si>
  <si>
    <t>AN201</t>
  </si>
  <si>
    <t>AN202</t>
  </si>
  <si>
    <t>AN203</t>
  </si>
  <si>
    <t>AN204</t>
  </si>
  <si>
    <t>AN205</t>
  </si>
  <si>
    <t>AN206</t>
  </si>
  <si>
    <t>AN207</t>
  </si>
  <si>
    <t>AN208</t>
  </si>
  <si>
    <t>AN209</t>
  </si>
  <si>
    <t>AN210</t>
  </si>
  <si>
    <t>AN211</t>
  </si>
  <si>
    <t>AN212</t>
  </si>
  <si>
    <t>AN213</t>
  </si>
  <si>
    <t>AN214</t>
  </si>
  <si>
    <t>AN215</t>
  </si>
  <si>
    <t>AN216</t>
  </si>
  <si>
    <t>AN217</t>
  </si>
  <si>
    <t>AN218</t>
  </si>
  <si>
    <t>AN219</t>
  </si>
  <si>
    <t>AN220</t>
  </si>
  <si>
    <t>AN221</t>
  </si>
  <si>
    <t>AN222</t>
  </si>
  <si>
    <t>AN223</t>
  </si>
  <si>
    <t>AN224</t>
  </si>
  <si>
    <t>AN225</t>
  </si>
  <si>
    <t>AN226</t>
  </si>
  <si>
    <t>AN227</t>
  </si>
  <si>
    <t>AN228</t>
  </si>
  <si>
    <t>AN229</t>
  </si>
  <si>
    <t>AN230</t>
  </si>
  <si>
    <t>AN231</t>
  </si>
  <si>
    <t>AN232</t>
  </si>
  <si>
    <t>AN233</t>
  </si>
  <si>
    <t>AN234</t>
  </si>
  <si>
    <t>AN235</t>
  </si>
  <si>
    <t>AN236</t>
  </si>
  <si>
    <t>AN237</t>
  </si>
  <si>
    <t>AN238</t>
  </si>
  <si>
    <t>AN239</t>
  </si>
  <si>
    <t>AN240</t>
  </si>
  <si>
    <t xml:space="preserve">ADAPTADORES MACHO 1/2 </t>
  </si>
  <si>
    <t xml:space="preserve">Licda. Daneyi Ramirez </t>
  </si>
  <si>
    <t xml:space="preserve">ACEITE PARA COMPRESORES </t>
  </si>
  <si>
    <t xml:space="preserve">ADAPTADORE HEMBRA 1 </t>
  </si>
  <si>
    <t xml:space="preserve">ADAPTADORE HEMBRA 1 1/2 </t>
  </si>
  <si>
    <t>ALAMBRE # 8</t>
  </si>
  <si>
    <t xml:space="preserve">BREAKERS DE 20 AMPERES GE GRUESO </t>
  </si>
  <si>
    <t xml:space="preserve">BREAKERS DE 225 AMPERES </t>
  </si>
  <si>
    <t xml:space="preserve">CAJA DE BREAKERS 8 A 16 </t>
  </si>
  <si>
    <t xml:space="preserve">CAPACITADORES 25 UF </t>
  </si>
  <si>
    <t xml:space="preserve">CEPILLOS DE ALAMBRES DE MADERA </t>
  </si>
  <si>
    <t>CEPILLOS PLASTICOS</t>
  </si>
  <si>
    <t xml:space="preserve">CLORO AJAX  GALON </t>
  </si>
  <si>
    <t>CODO PVC a 45. de 1</t>
  </si>
  <si>
    <t>CODO PVC a 45 de 1/2</t>
  </si>
  <si>
    <t xml:space="preserve">PIEDRA DE OLORES P/ ORINALES </t>
  </si>
  <si>
    <t>FILTRO A-5513</t>
  </si>
  <si>
    <t>FILTROS B99</t>
  </si>
  <si>
    <t>Filtros FF 996</t>
  </si>
  <si>
    <t>Mistolin tanque</t>
  </si>
  <si>
    <t>PAPEL DE BAÑO</t>
  </si>
  <si>
    <t>PAPEL TOALLA HIGIENICO</t>
  </si>
  <si>
    <t>PAPEL 8 1/2*11</t>
  </si>
  <si>
    <t xml:space="preserve">PULSADORES DE CONTROL ROJO </t>
  </si>
  <si>
    <t xml:space="preserve">PULSADORES DE CONTROL VERDE </t>
  </si>
  <si>
    <t>T PVC 1/2</t>
  </si>
  <si>
    <t>RELACIÓN DE INVENTARIOS DE MATERIALES GASTABLES  AL 01/07/2021 A 30/09/2021</t>
  </si>
  <si>
    <t>ADAPTADORES MACHO 1</t>
  </si>
  <si>
    <t>AGENDA RECOR</t>
  </si>
  <si>
    <t xml:space="preserve">ALMOHADILLA DE SELLOS </t>
  </si>
  <si>
    <t>BALASTRAS TRANSFORMADOE 480 A 220</t>
  </si>
  <si>
    <t>Llave p/ lava mano</t>
  </si>
  <si>
    <t xml:space="preserve"> </t>
  </si>
  <si>
    <t>AN241</t>
  </si>
  <si>
    <t>AN242</t>
  </si>
  <si>
    <t>AN243</t>
  </si>
  <si>
    <t>RELACIÓN DE INVENTARIOS DE MATERIALES GASTABLES  AL 01/01/2022 A 31/03/2022</t>
  </si>
  <si>
    <t xml:space="preserve">Tecnico de Contabilidad. </t>
  </si>
  <si>
    <t>AN245</t>
  </si>
  <si>
    <t>AN247</t>
  </si>
  <si>
    <t>AN248</t>
  </si>
  <si>
    <t>AN251</t>
  </si>
  <si>
    <t>AN252</t>
  </si>
  <si>
    <t>AN253</t>
  </si>
  <si>
    <t>AN254</t>
  </si>
  <si>
    <t>AN255</t>
  </si>
  <si>
    <t>AN256</t>
  </si>
  <si>
    <t>AN257</t>
  </si>
  <si>
    <t>AN258</t>
  </si>
  <si>
    <t>AN259</t>
  </si>
  <si>
    <t>AN260</t>
  </si>
  <si>
    <t>AN261</t>
  </si>
  <si>
    <t>AN262</t>
  </si>
  <si>
    <t>AN263</t>
  </si>
  <si>
    <t>AN264</t>
  </si>
  <si>
    <t>AN265</t>
  </si>
  <si>
    <t>AN306</t>
  </si>
  <si>
    <t>Los codigos , tantos de Bienes Nacionales, no aplican para está relación de materiales de oficinas.</t>
  </si>
  <si>
    <t>Ace 33 Libras Saco</t>
  </si>
  <si>
    <t xml:space="preserve">Aceite De 2 Tiempo </t>
  </si>
  <si>
    <t>Aceite Para Compresores Iso 100</t>
  </si>
  <si>
    <t xml:space="preserve">Acero Plastico </t>
  </si>
  <si>
    <t xml:space="preserve">Adaptadore Hembra 1 </t>
  </si>
  <si>
    <t xml:space="preserve">Adaptadore Hembra 1 1/2 </t>
  </si>
  <si>
    <t xml:space="preserve">Adaptadores Hembra 2 </t>
  </si>
  <si>
    <t xml:space="preserve">Adaptadores Hembra 3/4 </t>
  </si>
  <si>
    <t>Adaptadores Macho 1</t>
  </si>
  <si>
    <t xml:space="preserve">Adaptadores Macho 1 1/2 </t>
  </si>
  <si>
    <t xml:space="preserve">Adaptadores Macho 1/2 </t>
  </si>
  <si>
    <t>Adaptadores Macho 2</t>
  </si>
  <si>
    <t xml:space="preserve">Adaptadores Macho 3/4 </t>
  </si>
  <si>
    <t>Agenda De Anotacion Diaria 2022</t>
  </si>
  <si>
    <t xml:space="preserve">Agua De Bateria </t>
  </si>
  <si>
    <t>Agua Oxigenada 3%</t>
  </si>
  <si>
    <t xml:space="preserve">Ambientador Refrescante De Aire </t>
  </si>
  <si>
    <t>Alambre Duplox Rollo No. 16</t>
  </si>
  <si>
    <t>Alambre Galv. 16</t>
  </si>
  <si>
    <t>Alcohol Isoprolico 70</t>
  </si>
  <si>
    <t>Almohadilla De Mouse</t>
  </si>
  <si>
    <t xml:space="preserve">Almohadilla De Sellos </t>
  </si>
  <si>
    <t>Arandela Plana D 1/2</t>
  </si>
  <si>
    <t>Arandela Plana De 3/8</t>
  </si>
  <si>
    <t>Balastra S Transformador Para Tubo T-8</t>
  </si>
  <si>
    <t>Balastras Transformadoe 480 A 220</t>
  </si>
  <si>
    <t xml:space="preserve">Bandita Gomitas </t>
  </si>
  <si>
    <t xml:space="preserve">Bandita Gomitas Finas </t>
  </si>
  <si>
    <t>Bisagra Libro 31/2 X 31/2 Fm</t>
  </si>
  <si>
    <t xml:space="preserve">Boligrafo Negro </t>
  </si>
  <si>
    <t xml:space="preserve">Bombillo Led 60w </t>
  </si>
  <si>
    <t>Borrador  De Pizara</t>
  </si>
  <si>
    <t>Botas Plasticas Pares Size. 11/44</t>
  </si>
  <si>
    <t xml:space="preserve">Breakers De 20 Amperes Ge Grueso </t>
  </si>
  <si>
    <t xml:space="preserve">Breakers De 225 Amperes </t>
  </si>
  <si>
    <t xml:space="preserve">Breakers De 30 Amperes Ge Grueso </t>
  </si>
  <si>
    <t>Breakers Triple Grueso De 100 Ampere</t>
  </si>
  <si>
    <t xml:space="preserve">Brillo Fino P/Piso Lb </t>
  </si>
  <si>
    <t>Brillo Negro De 3</t>
  </si>
  <si>
    <t>Brillo Verde</t>
  </si>
  <si>
    <t xml:space="preserve">Brochas Home Run  De 2" </t>
  </si>
  <si>
    <t>Brochas Home Run  De 4´´</t>
  </si>
  <si>
    <t>Brochas Home Run De 11/2</t>
  </si>
  <si>
    <t>Brochas Home Run De 2 1/2</t>
  </si>
  <si>
    <t>Brochas Home Run De 3</t>
  </si>
  <si>
    <t>Cabezal Universal Para Dremel M 43</t>
  </si>
  <si>
    <t>Cadena Galv 6mm</t>
  </si>
  <si>
    <t xml:space="preserve">Caja Plastica 2x4 </t>
  </si>
  <si>
    <t xml:space="preserve">Carpeta  De Pendaflex </t>
  </si>
  <si>
    <t xml:space="preserve">Carpeta Ejecutiva Rojo </t>
  </si>
  <si>
    <t>Cd</t>
  </si>
  <si>
    <t xml:space="preserve">Cemento Contacto Caribe </t>
  </si>
  <si>
    <t xml:space="preserve">Cemento Pvc 32 Onz Azul </t>
  </si>
  <si>
    <t xml:space="preserve">Cemento Pvc 8 Onza Azul </t>
  </si>
  <si>
    <t>Centrimetro</t>
  </si>
  <si>
    <t>Cepillos De Alambres Y Mango</t>
  </si>
  <si>
    <t>Cepillos Plasticos</t>
  </si>
  <si>
    <t xml:space="preserve">Cera Liquida P/Brillar </t>
  </si>
  <si>
    <t xml:space="preserve">Chicharra 1/2 Pretul </t>
  </si>
  <si>
    <t xml:space="preserve">Chinchetas Plasticas </t>
  </si>
  <si>
    <t>Cinta Adhesiva Scoth, Highland</t>
  </si>
  <si>
    <t xml:space="preserve">Cinta Antideslizante Negra 60 Pies </t>
  </si>
  <si>
    <t xml:space="preserve">Cinta Doble Cara 3/4 X 38 Yardas </t>
  </si>
  <si>
    <t xml:space="preserve">Cinta Metrica 5 Mt Pretul </t>
  </si>
  <si>
    <t xml:space="preserve">Cintas De Embalaje Tranporte Rollo </t>
  </si>
  <si>
    <t xml:space="preserve">Cintas De Precaucion </t>
  </si>
  <si>
    <t>Cintas P/ Maquina De Escribir</t>
  </si>
  <si>
    <t xml:space="preserve">Cintas P/ Maquina Sumadora </t>
  </si>
  <si>
    <t>Clips Billetero Negros 41 Mm 12/1</t>
  </si>
  <si>
    <t xml:space="preserve">Clips Billetero Negros 51 Mm </t>
  </si>
  <si>
    <t xml:space="preserve">Cloro </t>
  </si>
  <si>
    <t xml:space="preserve">Cloro Granulado </t>
  </si>
  <si>
    <t>Codo Pvc A 45.  De 1/2</t>
  </si>
  <si>
    <t>Codo Pvc A 45.  De 3/4</t>
  </si>
  <si>
    <t>Codo Pvc A 45. De 1</t>
  </si>
  <si>
    <t>Codo Pvc A 45. De 3</t>
  </si>
  <si>
    <t>Codo Semi Presion A 45 De 3</t>
  </si>
  <si>
    <t xml:space="preserve">Cola C/ Boquilla Pvc 11/2 X 8 </t>
  </si>
  <si>
    <t>Complin  1/2</t>
  </si>
  <si>
    <t>Complin 1 1/2</t>
  </si>
  <si>
    <t>Complin 1¨</t>
  </si>
  <si>
    <t>Complin 3/4</t>
  </si>
  <si>
    <t xml:space="preserve">Conectores De Sillita </t>
  </si>
  <si>
    <t xml:space="preserve">Contactores De 65 Amperes </t>
  </si>
  <si>
    <t xml:space="preserve">Coolant </t>
  </si>
  <si>
    <t>Coplin 2</t>
  </si>
  <si>
    <t xml:space="preserve">Corrector  Liq. Paper </t>
  </si>
  <si>
    <t xml:space="preserve">Decalin Bio Arana </t>
  </si>
  <si>
    <t xml:space="preserve">Desinfectante Klinaccion </t>
  </si>
  <si>
    <t xml:space="preserve">Disolvente Epoxy </t>
  </si>
  <si>
    <t xml:space="preserve">Dispensador Fijo De Mano </t>
  </si>
  <si>
    <t xml:space="preserve">Dispensador Gel </t>
  </si>
  <si>
    <t xml:space="preserve">Dispensadores De Papel </t>
  </si>
  <si>
    <t xml:space="preserve">Dispensadores Para Papel De Baño </t>
  </si>
  <si>
    <t>Disco Corte Metal 7 Metabo</t>
  </si>
  <si>
    <t>Dvd</t>
  </si>
  <si>
    <t>Engrapadora De Piezas Metalica</t>
  </si>
  <si>
    <t xml:space="preserve">Envases 8 Onza </t>
  </si>
  <si>
    <t xml:space="preserve">Escoba </t>
  </si>
  <si>
    <t>Escobas Plasticas   Kika</t>
  </si>
  <si>
    <t>Escobas Plasticas No. 32</t>
  </si>
  <si>
    <t xml:space="preserve">Escurridor De Agua De Piso </t>
  </si>
  <si>
    <t>Filtro Bt259</t>
  </si>
  <si>
    <t>Filtro De Aire Da-7802</t>
  </si>
  <si>
    <t xml:space="preserve">Filtro De Aire De Compresor </t>
  </si>
  <si>
    <t>Filtro De Elemento Gasoil Ff 410</t>
  </si>
  <si>
    <t xml:space="preserve">Filtros De Gasoil Bf 957-D </t>
  </si>
  <si>
    <t>Filtros B99</t>
  </si>
  <si>
    <t>Filtros Ff 996</t>
  </si>
  <si>
    <t>Filtro De Elemento Gasoil Ff 211</t>
  </si>
  <si>
    <t>Filtro De Aceite Bd-103</t>
  </si>
  <si>
    <t>Filtro De Aceite Lf 364</t>
  </si>
  <si>
    <t>Flltros P1103 (Bf892</t>
  </si>
  <si>
    <t xml:space="preserve">Folder Variado </t>
  </si>
  <si>
    <t>Folder Interior Amarillo 8 1/2 X 14</t>
  </si>
  <si>
    <t xml:space="preserve">Folder Rojo </t>
  </si>
  <si>
    <t xml:space="preserve">Fundas P/ Basura De 30 Galones </t>
  </si>
  <si>
    <t xml:space="preserve">Fundas P/ Basura De 35 Galones </t>
  </si>
  <si>
    <t xml:space="preserve">Fundas P/ Basura De 55 Galones </t>
  </si>
  <si>
    <t xml:space="preserve">Fundas P/ Basura De 60 Galones </t>
  </si>
  <si>
    <t xml:space="preserve">Fundas P/ Basura De 65 Galones </t>
  </si>
  <si>
    <t xml:space="preserve">Gel Desinfectante </t>
  </si>
  <si>
    <t xml:space="preserve">Ganchos Para Archivar </t>
  </si>
  <si>
    <t xml:space="preserve">Gomas De Borrar Blancas </t>
  </si>
  <si>
    <t xml:space="preserve">Grapadora Para 25 Hojas </t>
  </si>
  <si>
    <t xml:space="preserve">Grapas Estandar </t>
  </si>
  <si>
    <t>Grapas 5/8</t>
  </si>
  <si>
    <t>Guantes Negro Plastico Xl</t>
  </si>
  <si>
    <t xml:space="preserve">Guantes Desechables L </t>
  </si>
  <si>
    <t>Guantes Plasticos M</t>
  </si>
  <si>
    <t xml:space="preserve">Guantes Plasticos S </t>
  </si>
  <si>
    <t xml:space="preserve">Interruptores Unipolar </t>
  </si>
  <si>
    <t xml:space="preserve">Jabon De Mano </t>
  </si>
  <si>
    <t xml:space="preserve">Jabon Liquido   Galones </t>
  </si>
  <si>
    <t xml:space="preserve">Jabon Liquido </t>
  </si>
  <si>
    <t xml:space="preserve">Jabon De Baño Acel </t>
  </si>
  <si>
    <t xml:space="preserve">Jabon Liquido Lava Platos </t>
  </si>
  <si>
    <t xml:space="preserve">Junta De Entroque Gruesa </t>
  </si>
  <si>
    <t xml:space="preserve">Junta 1/2 </t>
  </si>
  <si>
    <t>Junta 3/4</t>
  </si>
  <si>
    <t>Labels Cd Y Dvd</t>
  </si>
  <si>
    <t xml:space="preserve">Laber Redondo </t>
  </si>
  <si>
    <t>Labers Laser</t>
  </si>
  <si>
    <t>Lamina Filmica Para Plastificar 8 1/2 X 11</t>
  </si>
  <si>
    <t>Laminas P/Plastificar Carnet Caja 1/100</t>
  </si>
  <si>
    <t xml:space="preserve">Lamparas Led 300 Watts </t>
  </si>
  <si>
    <t xml:space="preserve">Lamparas Led 200 Watts </t>
  </si>
  <si>
    <t xml:space="preserve">Lapicero Gel Retractable </t>
  </si>
  <si>
    <t xml:space="preserve">Lapiceros Nrgros </t>
  </si>
  <si>
    <t>Lapiz  No. 2 Amarillo</t>
  </si>
  <si>
    <t xml:space="preserve">Lapiceros Rojos </t>
  </si>
  <si>
    <t xml:space="preserve">Lapiceros Azul </t>
  </si>
  <si>
    <t xml:space="preserve">Lentes De Proteccion Transparente </t>
  </si>
  <si>
    <t>Libretas De Apuntes Grande</t>
  </si>
  <si>
    <t>Libros De Record</t>
  </si>
  <si>
    <t xml:space="preserve">Limpiador Pizarra </t>
  </si>
  <si>
    <t>Llave Bola Pvc 1 1/2</t>
  </si>
  <si>
    <t>Llave Bola Pvc 2</t>
  </si>
  <si>
    <t>Llave Bola Pvc 3/4¨</t>
  </si>
  <si>
    <t>Llave De Bola De 1´´</t>
  </si>
  <si>
    <t>Llave P/ Lava Mano</t>
  </si>
  <si>
    <t xml:space="preserve">Llave Mezcladora P/ Lava Manos 2 Puños </t>
  </si>
  <si>
    <t xml:space="preserve">Llave De Paso 3 Pulgadas </t>
  </si>
  <si>
    <t xml:space="preserve">Llave A Chorro Metal </t>
  </si>
  <si>
    <t>Llave Universal De 1/2</t>
  </si>
  <si>
    <t xml:space="preserve">Llave Universal De 1 </t>
  </si>
  <si>
    <t xml:space="preserve">Lysol Desinfectante </t>
  </si>
  <si>
    <t xml:space="preserve">Mapos Para Suape </t>
  </si>
  <si>
    <t xml:space="preserve">Marcador Permanente Azul </t>
  </si>
  <si>
    <t xml:space="preserve">Marcador Permanente Negro </t>
  </si>
  <si>
    <t xml:space="preserve">Marcador Permanente Rojo </t>
  </si>
  <si>
    <t>Marcador Permanente Verde</t>
  </si>
  <si>
    <t xml:space="preserve">Mascarilla Caja 50 Unidades </t>
  </si>
  <si>
    <t xml:space="preserve">Masilla Para Interior </t>
  </si>
  <si>
    <t xml:space="preserve">Maquina Sumadora </t>
  </si>
  <si>
    <t>Memoria 16 Gb</t>
  </si>
  <si>
    <t xml:space="preserve">Memoria Usb 64 Gb </t>
  </si>
  <si>
    <t xml:space="preserve">Mause </t>
  </si>
  <si>
    <t>Mistolin Tanque</t>
  </si>
  <si>
    <t xml:space="preserve">Motas P/ Rolos Anti Gotas </t>
  </si>
  <si>
    <t xml:space="preserve">Mota 9 X 11/4 Lanco </t>
  </si>
  <si>
    <t xml:space="preserve">Mota 9 X 3/4 Lanco </t>
  </si>
  <si>
    <t xml:space="preserve">Monitor De Fase 450 V </t>
  </si>
  <si>
    <t xml:space="preserve">Palas Plast. P/ Basura Con Palo </t>
  </si>
  <si>
    <t xml:space="preserve">Pala Recogedora </t>
  </si>
  <si>
    <t xml:space="preserve">Palas De Hierro </t>
  </si>
  <si>
    <t>Panel De Breaker De 8 A 16</t>
  </si>
  <si>
    <t>Faldo De Papel Jumbo 12/1</t>
  </si>
  <si>
    <t>Caja De Papel Bond 20 8 1/2 X 14 10/1</t>
  </si>
  <si>
    <t>Papel 8 1/2*11</t>
  </si>
  <si>
    <t xml:space="preserve">Papel Carbon Azul </t>
  </si>
  <si>
    <t>Papel Hilo Blanco</t>
  </si>
  <si>
    <t xml:space="preserve">Papel Multiuso 8 1/2 X 14  </t>
  </si>
  <si>
    <t>Papel Para Sumadora</t>
  </si>
  <si>
    <t xml:space="preserve">Papel Timbrado Acuario </t>
  </si>
  <si>
    <t>Papel Toalla Higienico</t>
  </si>
  <si>
    <t>Pegamento Uhu</t>
  </si>
  <si>
    <t>Pendaflex 8 1/2 X 11</t>
  </si>
  <si>
    <t>Perforadora 2 Hoyo</t>
  </si>
  <si>
    <t xml:space="preserve">Piedra De Olores P/ Orinales </t>
  </si>
  <si>
    <t>Pilas Aaa</t>
  </si>
  <si>
    <t xml:space="preserve">Pintura Amarilla Trafico </t>
  </si>
  <si>
    <t>Pintura Bronce Claro 502</t>
  </si>
  <si>
    <t xml:space="preserve">Pintura Epoxica Amarilla </t>
  </si>
  <si>
    <t xml:space="preserve">Pintura Epoxica Azul Oscuro </t>
  </si>
  <si>
    <t xml:space="preserve">Pintura Epoxica Azul Claro </t>
  </si>
  <si>
    <t xml:space="preserve">Pintura Epoxica Verde Claro </t>
  </si>
  <si>
    <t xml:space="preserve">Plasticos P/Encuadernacion </t>
  </si>
  <si>
    <t xml:space="preserve">Plasticos P/ Pendaflex </t>
  </si>
  <si>
    <t>Porta Carnet Cuelda Para Colgar</t>
  </si>
  <si>
    <t>Porta Carnet Plasticos Negro</t>
  </si>
  <si>
    <t xml:space="preserve">Porta Cd </t>
  </si>
  <si>
    <t xml:space="preserve">Porta Lapiz </t>
  </si>
  <si>
    <t xml:space="preserve">Porta Rolos </t>
  </si>
  <si>
    <t>Post-It Grande</t>
  </si>
  <si>
    <t xml:space="preserve">Post-It 2x3 Colores </t>
  </si>
  <si>
    <t xml:space="preserve">Post-It 3x3 Colores </t>
  </si>
  <si>
    <t>Rastrillos Plasticos</t>
  </si>
  <si>
    <t xml:space="preserve">Rastrillo De Hierro Jardineria </t>
  </si>
  <si>
    <t xml:space="preserve">Pintura Side Walk Base Tint 3072 Roja </t>
  </si>
  <si>
    <t xml:space="preserve">Pegamento Instantaneo Liquido 125 Coqui </t>
  </si>
  <si>
    <t>Reducciones  1 A 1/2</t>
  </si>
  <si>
    <t xml:space="preserve">Reducciones  1 A 1 1/2 </t>
  </si>
  <si>
    <t xml:space="preserve">Reducciones De 1 1/2 A 1 </t>
  </si>
  <si>
    <t>Reducciones De 2 A 2 1/2</t>
  </si>
  <si>
    <t>Reducciones 2 A 1</t>
  </si>
  <si>
    <t>Reducciones 4 A 1 1/2</t>
  </si>
  <si>
    <t>Reducciones 4 A 2</t>
  </si>
  <si>
    <t>Reducciones 3 A 2</t>
  </si>
  <si>
    <t>Registro Electrico Plast. 8x6x4</t>
  </si>
  <si>
    <t>Registro Electrico Plast. 4x4x2</t>
  </si>
  <si>
    <t xml:space="preserve">Reglas </t>
  </si>
  <si>
    <t>Toallitas Micro Fibra Amarilla</t>
  </si>
  <si>
    <t>RELACIÓN DE INVENTARIOS DE MATERIALES GASTABLES  AL 31/03/2022</t>
  </si>
  <si>
    <t>RELACIÓN DE INVENTARIOS DE MATERIALES GASTABLES  AL 30/06/2022</t>
  </si>
  <si>
    <t>Dispensadores De Papel Toalla</t>
  </si>
  <si>
    <t>Jabon De Mano ACEL</t>
  </si>
  <si>
    <t>Jabon Liquido Lava Platos, Acel</t>
  </si>
  <si>
    <t>06/0/2021</t>
  </si>
  <si>
    <t>Rastrillos Plasticos, Bellota</t>
  </si>
  <si>
    <t>Boligrafo Negro  BIC</t>
  </si>
  <si>
    <t>Brillo Fino P/Piso PAQ.</t>
  </si>
  <si>
    <t>Cepillos Plasticos Linda</t>
  </si>
  <si>
    <t>Clips Billetero Negros 51 Mm, caja</t>
  </si>
  <si>
    <t>Cloro Limar</t>
  </si>
  <si>
    <t xml:space="preserve">Lapiceros Negros, Saraza </t>
  </si>
  <si>
    <t>Lapiceros Rojos BIC</t>
  </si>
  <si>
    <t>Lapiceros Azul, BIC</t>
  </si>
  <si>
    <t>Libros De Record 500 Paginas</t>
  </si>
  <si>
    <t xml:space="preserve"> Papel Hilo Blanco 8 1/2 x 11</t>
  </si>
  <si>
    <t>Libretas pequeña ( Legal Pad)</t>
  </si>
  <si>
    <t>Librteas pequeñas Red Star</t>
  </si>
  <si>
    <t>Saca Grapa</t>
  </si>
  <si>
    <t>Post-it colores</t>
  </si>
  <si>
    <t>Ganchos Para Archivar, caja</t>
  </si>
  <si>
    <t>Libretas De Apuntes Grande, 8 1/2 x 11</t>
  </si>
  <si>
    <t>Codo de 1</t>
  </si>
  <si>
    <t>Codo 3/4</t>
  </si>
  <si>
    <t xml:space="preserve">Llave De Paso 2 Pulgadas </t>
  </si>
  <si>
    <t xml:space="preserve">Llave De Paso 1 Pulgadas </t>
  </si>
  <si>
    <t>Union dreser fresser 1</t>
  </si>
  <si>
    <t>T de 2</t>
  </si>
  <si>
    <t>Carbesota, galon</t>
  </si>
  <si>
    <t xml:space="preserve">T de 1 </t>
  </si>
  <si>
    <t>Juego de Llaves GROZ</t>
  </si>
  <si>
    <t xml:space="preserve">Breakers De 125 Amperes </t>
  </si>
  <si>
    <t>Timbre de campana Round Bell</t>
  </si>
  <si>
    <t>Tornillo 5/16 para tarugo de plomo</t>
  </si>
  <si>
    <t>Interruptores Sencillo Levinton</t>
  </si>
  <si>
    <t>Contactores De 220 V 60 hz 65 amperes</t>
  </si>
  <si>
    <t>Contactores 150 amperes</t>
  </si>
  <si>
    <t xml:space="preserve">Breakers trofasico De 225 Amperes </t>
  </si>
  <si>
    <t>Contactores 32 amperes</t>
  </si>
  <si>
    <t>Riley termico de 7/10 amperes</t>
  </si>
  <si>
    <t>Alambre No. 8, Rollos 500 pies</t>
  </si>
  <si>
    <t>Alambre de Goma 12-3, Pies</t>
  </si>
  <si>
    <t>Luz piloto de contar 220</t>
  </si>
  <si>
    <t xml:space="preserve">Aditivo Marvel Mysterio oil </t>
  </si>
  <si>
    <t>WD - 40</t>
  </si>
  <si>
    <t>Aditivo de aceite Bardahl No. 2</t>
  </si>
  <si>
    <t>Filtro De Elemento Gasoil FF 211</t>
  </si>
  <si>
    <t>Filtro BT 259</t>
  </si>
  <si>
    <t>Repsal litros</t>
  </si>
  <si>
    <t>Pulsadora de Control</t>
  </si>
  <si>
    <t>Filtro De Aire A 5513</t>
  </si>
  <si>
    <t>Caja de bola 6206.2ZR, C3</t>
  </si>
  <si>
    <t>Caja de bola 6306 2RSR. C3</t>
  </si>
  <si>
    <t>Caja de bola 62052Z C3</t>
  </si>
  <si>
    <t>Conectores De Sillita  E 809</t>
  </si>
  <si>
    <t>Conectores curvo 1 pulgada</t>
  </si>
  <si>
    <t>Conectores recto de 3/4</t>
  </si>
  <si>
    <t>Conectores recto de 1 pulgada</t>
  </si>
  <si>
    <t>Transformadores B3 x 32 T8UNIV</t>
  </si>
  <si>
    <t>Photo control (foto celda) 50/60 H2</t>
  </si>
  <si>
    <t>Polo bateria</t>
  </si>
  <si>
    <t>Gasoil BF 892</t>
  </si>
  <si>
    <t>Gasoil P1112</t>
  </si>
  <si>
    <t>Filtro de Aire AF 148</t>
  </si>
  <si>
    <t>Filtros P1103 BF892</t>
  </si>
  <si>
    <t>Filtro de aire PA 1712</t>
  </si>
  <si>
    <t>Filtro de elemento FF/FFL/10</t>
  </si>
  <si>
    <t>Filtro de Aceite BT230</t>
  </si>
  <si>
    <t>Filtro de Gasoil BF 584</t>
  </si>
  <si>
    <t>Adaptadores Macho 3</t>
  </si>
  <si>
    <t>Union Universal de 1</t>
  </si>
  <si>
    <t>Unio Universal de 1/2</t>
  </si>
  <si>
    <t>Adaptador Universal de 3</t>
  </si>
  <si>
    <t>Tapones macho de 1/2</t>
  </si>
  <si>
    <t xml:space="preserve">Adaptadore Hembra  1/2 </t>
  </si>
  <si>
    <t>T de 3/4</t>
  </si>
  <si>
    <t>T de 3</t>
  </si>
  <si>
    <t>T de 1/2</t>
  </si>
  <si>
    <t>Codo 1/2</t>
  </si>
  <si>
    <t>Pistola de silicon</t>
  </si>
  <si>
    <t>Codo Pvc A 45. De 2</t>
  </si>
  <si>
    <t>Mota de 2/12</t>
  </si>
  <si>
    <t>Tapon de 1</t>
  </si>
  <si>
    <t>Complin 4</t>
  </si>
  <si>
    <t xml:space="preserve">Clan de 3 x 2 </t>
  </si>
  <si>
    <t>Clips Billetero Negros 41 Mm 12/1, caja</t>
  </si>
  <si>
    <t>Pintura Bronce Oscura</t>
  </si>
  <si>
    <t>Pintura Amarilla Tropical</t>
  </si>
  <si>
    <t xml:space="preserve">Fundas P/ Basura De 28 x 35 Galones </t>
  </si>
  <si>
    <t xml:space="preserve">Fundas P/ Basura De 36 x 54 Galones </t>
  </si>
  <si>
    <t xml:space="preserve">Mopa Insdustrial 48 pulg. </t>
  </si>
  <si>
    <t>Ace 30 Libras Saco</t>
  </si>
  <si>
    <t>Suapers # 36 JUMBO</t>
  </si>
  <si>
    <t>Suaper #36 Reyna</t>
  </si>
  <si>
    <t>Sellador silicona Dowsil 795 12/1 color negro</t>
  </si>
  <si>
    <t>ESPIRAL P/ ENCUADERNAR 10 MM</t>
  </si>
  <si>
    <t>ESPIRAL P/ ENCUADERNAR 11 MM</t>
  </si>
  <si>
    <t>ESPIRAL P/ ENCUADERNAR 19 MM</t>
  </si>
  <si>
    <t>ESPIRAL P/ ENCUADERNAR 32 MM</t>
  </si>
  <si>
    <t>ESPIRAL P/ ENCUADERNAR 38 MM</t>
  </si>
  <si>
    <t>ESPIRAL P/ ENCUADERNAR 51 MM</t>
  </si>
  <si>
    <t>Tijera</t>
  </si>
  <si>
    <t>Memoria USB Dangle 3 times</t>
  </si>
  <si>
    <t>AN244</t>
  </si>
  <si>
    <t>AN246</t>
  </si>
  <si>
    <t>AN249</t>
  </si>
  <si>
    <t>AN250</t>
  </si>
  <si>
    <t>AN266</t>
  </si>
  <si>
    <t>AN267</t>
  </si>
  <si>
    <t>AN268</t>
  </si>
  <si>
    <t>AN269</t>
  </si>
  <si>
    <t>AN270</t>
  </si>
  <si>
    <t>AN271</t>
  </si>
  <si>
    <t>AN272</t>
  </si>
  <si>
    <t>AN273</t>
  </si>
  <si>
    <t>AN274</t>
  </si>
  <si>
    <t>AN275</t>
  </si>
  <si>
    <t>AN276</t>
  </si>
  <si>
    <t>AN277</t>
  </si>
  <si>
    <t>AN278</t>
  </si>
  <si>
    <t>AN279</t>
  </si>
  <si>
    <t>AN280</t>
  </si>
  <si>
    <t>AN281</t>
  </si>
  <si>
    <t>AN282</t>
  </si>
  <si>
    <t>AN283</t>
  </si>
  <si>
    <t>AN284</t>
  </si>
  <si>
    <t>AN285</t>
  </si>
  <si>
    <t>AN286</t>
  </si>
  <si>
    <t>AN287</t>
  </si>
  <si>
    <t>AN288</t>
  </si>
  <si>
    <t>AN289</t>
  </si>
  <si>
    <t>AN290</t>
  </si>
  <si>
    <t>AN291</t>
  </si>
  <si>
    <t>AN292</t>
  </si>
  <si>
    <t>AN293</t>
  </si>
  <si>
    <t>AN294</t>
  </si>
  <si>
    <t>AN295</t>
  </si>
  <si>
    <t>AN296</t>
  </si>
  <si>
    <t>AN297</t>
  </si>
  <si>
    <t>AN298</t>
  </si>
  <si>
    <t>AN299</t>
  </si>
  <si>
    <t>AN300</t>
  </si>
  <si>
    <t>AN301</t>
  </si>
  <si>
    <t>AN302</t>
  </si>
  <si>
    <t>AN303</t>
  </si>
  <si>
    <t>AN304</t>
  </si>
  <si>
    <t>AN305</t>
  </si>
  <si>
    <t xml:space="preserve">Aceite 2 cycle energine oil </t>
  </si>
  <si>
    <t>Existencia</t>
  </si>
  <si>
    <t>COMPRA</t>
  </si>
  <si>
    <t>AN307</t>
  </si>
  <si>
    <t>AN308</t>
  </si>
  <si>
    <t>Cloro Polvo, envase</t>
  </si>
  <si>
    <t>Suaper  MOP</t>
  </si>
  <si>
    <t>Suape Linda No. 32</t>
  </si>
  <si>
    <t>AN309</t>
  </si>
  <si>
    <t>AN310</t>
  </si>
  <si>
    <t>AN311</t>
  </si>
  <si>
    <t>Licda. Diana Mejia Rymer</t>
  </si>
  <si>
    <t>Enc. Division de Contabilidad</t>
  </si>
  <si>
    <t>Safacon Grande</t>
  </si>
  <si>
    <t>Proveedor</t>
  </si>
  <si>
    <t>Caja Chica</t>
  </si>
  <si>
    <t>Salida</t>
  </si>
  <si>
    <t>Glade Spray</t>
  </si>
  <si>
    <t>Toner Lasert 30 A CF230A</t>
  </si>
  <si>
    <t>AN312</t>
  </si>
  <si>
    <t>AN313</t>
  </si>
  <si>
    <t>Bombillo Led 65 W</t>
  </si>
  <si>
    <t>Reduccion 3/4</t>
  </si>
  <si>
    <t>AN314</t>
  </si>
  <si>
    <t>AN315</t>
  </si>
  <si>
    <t>AN316</t>
  </si>
  <si>
    <t>Bombilla Jefferson 1000 WE40</t>
  </si>
  <si>
    <t>Sensor de calidad de agua</t>
  </si>
  <si>
    <t>AN317</t>
  </si>
  <si>
    <t xml:space="preserve">Papel Higienico jumbo Klinaccion </t>
  </si>
  <si>
    <t>GTG Industrial</t>
  </si>
  <si>
    <t>Categoria</t>
  </si>
  <si>
    <t>Limpieza</t>
  </si>
  <si>
    <t>Ferreteria</t>
  </si>
  <si>
    <t>Material de oficina</t>
  </si>
  <si>
    <t>AN318</t>
  </si>
  <si>
    <t>Codonde No. 3</t>
  </si>
  <si>
    <t>Pilas AAA</t>
  </si>
  <si>
    <t>Folder Interior Amarillo 8 1/2 X 11</t>
  </si>
  <si>
    <t>Jabon de Tork</t>
  </si>
  <si>
    <t>AN319</t>
  </si>
  <si>
    <t>AN320</t>
  </si>
  <si>
    <t>RELACIÓN DE INVENTARIOS DE MATERIALES GASTABLES  AL 30/08/2022</t>
  </si>
  <si>
    <t>RELACIÓN DE INVENTARIOS DE MATERIALES GASTABLES  AL 30/07/2022</t>
  </si>
  <si>
    <t>AN321</t>
  </si>
  <si>
    <t>Lanilla Verde</t>
  </si>
  <si>
    <t>Resaltador</t>
  </si>
  <si>
    <t>Pintura Azul Royal 69</t>
  </si>
  <si>
    <t>Galon Thiner</t>
  </si>
  <si>
    <t>Pintura amarillo Canario</t>
  </si>
  <si>
    <t xml:space="preserve">Pintura Azul alba </t>
  </si>
  <si>
    <t xml:space="preserve">Pintura blanca expoxy </t>
  </si>
  <si>
    <t>Pintura bronce oscuro</t>
  </si>
  <si>
    <t xml:space="preserve">Pintura expoxy azul claro </t>
  </si>
  <si>
    <t>Pintura verde fresco</t>
  </si>
  <si>
    <t xml:space="preserve">Pintura blanco acrilica </t>
  </si>
  <si>
    <t>Pintura negro expoxy galones</t>
  </si>
  <si>
    <t>Manguera de 100 pies</t>
  </si>
  <si>
    <t>Cuchillos de buseo</t>
  </si>
  <si>
    <t>AN322</t>
  </si>
  <si>
    <t>AN323</t>
  </si>
  <si>
    <t>AN324</t>
  </si>
  <si>
    <t>AN325</t>
  </si>
  <si>
    <t>AN326</t>
  </si>
  <si>
    <t>AN327</t>
  </si>
  <si>
    <t>AN328</t>
  </si>
  <si>
    <t>AN329</t>
  </si>
  <si>
    <t>AN330</t>
  </si>
  <si>
    <t>AN331</t>
  </si>
  <si>
    <t>AN332</t>
  </si>
  <si>
    <t>AN333</t>
  </si>
  <si>
    <t>AN334</t>
  </si>
  <si>
    <t>AN335</t>
  </si>
  <si>
    <t>AN336</t>
  </si>
  <si>
    <t>AN337</t>
  </si>
  <si>
    <t>AN338</t>
  </si>
  <si>
    <t>AN339</t>
  </si>
  <si>
    <t>AN340</t>
  </si>
  <si>
    <t>AN341</t>
  </si>
  <si>
    <t>AN342</t>
  </si>
  <si>
    <t>AN343</t>
  </si>
  <si>
    <t>Pintura arena 74 satinada cubeta</t>
  </si>
  <si>
    <t>Pintura Gris oscura satinada golones</t>
  </si>
  <si>
    <t>Brocha de cuatro pulgadas</t>
  </si>
  <si>
    <t>Espatula plastica</t>
  </si>
  <si>
    <t>Espatula metal</t>
  </si>
  <si>
    <t>Masilla PLYROCK</t>
  </si>
  <si>
    <t>Trementina</t>
  </si>
  <si>
    <t>Flexre</t>
  </si>
  <si>
    <t>Oleo</t>
  </si>
  <si>
    <t>Vara telescopica para pintar de 12 pies</t>
  </si>
  <si>
    <t>Vara telescopica para pintar de 15 pies</t>
  </si>
  <si>
    <t>Vara telescopica para pintar de 20 pies</t>
  </si>
  <si>
    <t>Distribuidora Bacesmos</t>
  </si>
  <si>
    <t>Pintura Azul Glacial Cubeta</t>
  </si>
  <si>
    <t>Pintura Azul oscuro galones</t>
  </si>
  <si>
    <t>Pintura Azul positivo  galones</t>
  </si>
  <si>
    <t>Pintura crema expositiva galones</t>
  </si>
  <si>
    <t>Pintura rojo expositiva galones</t>
  </si>
  <si>
    <t>Pintura verde expositiva galones</t>
  </si>
  <si>
    <t>Pintura terracota</t>
  </si>
  <si>
    <t>Brocha de 1/2 pulgadas</t>
  </si>
  <si>
    <t>AN344</t>
  </si>
  <si>
    <t>AN345</t>
  </si>
  <si>
    <t>AN346</t>
  </si>
  <si>
    <t>AN347</t>
  </si>
  <si>
    <t>AN348</t>
  </si>
  <si>
    <t>AN349</t>
  </si>
  <si>
    <t>AN350</t>
  </si>
  <si>
    <t>AN351</t>
  </si>
  <si>
    <t>AN352</t>
  </si>
  <si>
    <t>AN353</t>
  </si>
  <si>
    <t>AN354</t>
  </si>
  <si>
    <t>AN355</t>
  </si>
  <si>
    <t>AN356</t>
  </si>
  <si>
    <t>AN357</t>
  </si>
  <si>
    <t>AN358</t>
  </si>
  <si>
    <t>AN359</t>
  </si>
  <si>
    <t>AN360</t>
  </si>
  <si>
    <t>AN361</t>
  </si>
  <si>
    <t>AN362</t>
  </si>
  <si>
    <t>AN363</t>
  </si>
  <si>
    <t>Lapiceros Azul,</t>
  </si>
  <si>
    <t>Clips pequeño</t>
  </si>
  <si>
    <t>OFFITEK</t>
  </si>
  <si>
    <t>Libreta Rayada 5x8</t>
  </si>
  <si>
    <t xml:space="preserve">Papel Bond 8 1/2 X 14  </t>
  </si>
  <si>
    <t>Tabla 81 / 2x11</t>
  </si>
  <si>
    <t>Pila AA</t>
  </si>
  <si>
    <t xml:space="preserve">Cinta Doble Cara 12 X 36 Yardas </t>
  </si>
  <si>
    <t>Clip billetero 3/4 19 MM</t>
  </si>
  <si>
    <t>Clip billetero 1 25 MM</t>
  </si>
  <si>
    <t>Clip billetero 1 1/4 32 MM</t>
  </si>
  <si>
    <t xml:space="preserve">Clip billetero 51MM </t>
  </si>
  <si>
    <t>Toner HP CF230A (30A)</t>
  </si>
  <si>
    <t>Toner HP Q2612A Black</t>
  </si>
  <si>
    <t>Cartucho HP 662 Negro</t>
  </si>
  <si>
    <t>Cartucho HP 662 color</t>
  </si>
  <si>
    <t>Botella tinta Epson 664 CYAN</t>
  </si>
  <si>
    <t>Botella tinta Epson 664 Negro</t>
  </si>
  <si>
    <t>Botella tinta Epson 664 Magneto</t>
  </si>
  <si>
    <t>Botella tinta Epson 664 Amarillo</t>
  </si>
  <si>
    <t>Saca Puntas</t>
  </si>
  <si>
    <t>Cinta de empaque / embalaje 2x90</t>
  </si>
  <si>
    <t>AN364</t>
  </si>
  <si>
    <t>AN365</t>
  </si>
  <si>
    <t>AN366</t>
  </si>
  <si>
    <t>AN367</t>
  </si>
  <si>
    <t>AN368</t>
  </si>
  <si>
    <t>AN369</t>
  </si>
  <si>
    <t>AN370</t>
  </si>
  <si>
    <t>AN371</t>
  </si>
  <si>
    <t>AN372</t>
  </si>
  <si>
    <t>AN373</t>
  </si>
  <si>
    <t>AN374</t>
  </si>
  <si>
    <t>AN375</t>
  </si>
  <si>
    <t>Bombillo Spiral 110-130W</t>
  </si>
  <si>
    <t>Teclado</t>
  </si>
  <si>
    <t>Jabon liquido Almendra</t>
  </si>
  <si>
    <t>Pintura exposica azul royal, galones</t>
  </si>
  <si>
    <t>AN376</t>
  </si>
  <si>
    <t>AN377</t>
  </si>
  <si>
    <t>AN378</t>
  </si>
  <si>
    <t>AN379</t>
  </si>
  <si>
    <t>Toner HP Q5949A</t>
  </si>
  <si>
    <t>Oficentro</t>
  </si>
  <si>
    <t>Toner HP CE505A</t>
  </si>
  <si>
    <t>Toner Canon GPR-22</t>
  </si>
  <si>
    <t>AN380</t>
  </si>
  <si>
    <t>AN381</t>
  </si>
  <si>
    <t>AN382</t>
  </si>
  <si>
    <t>Papel Higienico jumbo dos hojas</t>
  </si>
  <si>
    <t>Papel toalla 1 hoja</t>
  </si>
  <si>
    <t>Cloro acel</t>
  </si>
  <si>
    <t>desinfectante olor</t>
  </si>
  <si>
    <t xml:space="preserve">Cubiertos de acero </t>
  </si>
  <si>
    <t>Cuchillo mesa</t>
  </si>
  <si>
    <t>Cuchara de mesa</t>
  </si>
  <si>
    <t>Cuchara de café</t>
  </si>
  <si>
    <t>Copas de agua 16 onz</t>
  </si>
  <si>
    <t>Copas de agua 13 onz</t>
  </si>
  <si>
    <t>Vasos uniglass 11 oz</t>
  </si>
  <si>
    <t>Bandejas de metal</t>
  </si>
  <si>
    <t>Tazas de café blanca 6oz</t>
  </si>
  <si>
    <t>Tazas de café blanca 3.05oz</t>
  </si>
  <si>
    <t xml:space="preserve">Abrelatas ILKO </t>
  </si>
  <si>
    <t>AN383</t>
  </si>
  <si>
    <t>AN384</t>
  </si>
  <si>
    <t>AN385</t>
  </si>
  <si>
    <t>AN386</t>
  </si>
  <si>
    <t>AN387</t>
  </si>
  <si>
    <t>AN388</t>
  </si>
  <si>
    <t>AN389</t>
  </si>
  <si>
    <t>AN390</t>
  </si>
  <si>
    <t>AN391</t>
  </si>
  <si>
    <t>AN392</t>
  </si>
  <si>
    <t>AN393</t>
  </si>
  <si>
    <t>AN394</t>
  </si>
  <si>
    <t>AN395</t>
  </si>
  <si>
    <t>AN396</t>
  </si>
  <si>
    <t>RELACIÓN DE INVENTARIOS DE MATERIALES GASTABLES  AL 30/09/2022</t>
  </si>
  <si>
    <t>Sellador de techo lancon</t>
  </si>
  <si>
    <t>RELACIÓN DE INVENTARIOS DE MATERIALES GASTABLES  AL 30/01/2023</t>
  </si>
  <si>
    <t>RELACIÓN DE INVENTARIOS DE MATERIALES GASTABLES  AL 31/12/2022</t>
  </si>
  <si>
    <t>RELACIÓN DE INVENTARIOS DE MATERIALES GASTABLES  AL 28/02/2023</t>
  </si>
  <si>
    <t>RELACIÓN DE INVENTARIOS DE MATERIALES GASTABLES  AL 31/03/2023</t>
  </si>
  <si>
    <t>AN397</t>
  </si>
  <si>
    <t>Unidad de Medida</t>
  </si>
  <si>
    <t>Libra</t>
  </si>
  <si>
    <t>Unidad</t>
  </si>
  <si>
    <t>RELACIÓN DE INVENTARIOS DE MATERIALES GASTABLES  AL 30/04/2023</t>
  </si>
  <si>
    <t>AN398</t>
  </si>
  <si>
    <t>AN399</t>
  </si>
  <si>
    <t>AN400</t>
  </si>
  <si>
    <t>AN401</t>
  </si>
  <si>
    <t>AN402</t>
  </si>
  <si>
    <t>Toma corriente blanco</t>
  </si>
  <si>
    <t>Tubo florecente de 32 watts T8</t>
  </si>
  <si>
    <t>Tapa de intereruptor sencillo</t>
  </si>
  <si>
    <t>Inversiones Mateo</t>
  </si>
  <si>
    <t>Selector de control de 2 posiciones</t>
  </si>
  <si>
    <t>Limpiador de contacto electrico</t>
  </si>
  <si>
    <t>Registro plastico 12 x 12</t>
  </si>
  <si>
    <t>Tairra de 20 pulgadas blanco 100/1</t>
  </si>
  <si>
    <t>Contactor de 32 Amp</t>
  </si>
  <si>
    <t>Armario electrico de metal 24 x 16</t>
  </si>
  <si>
    <t>Reguilete plastico</t>
  </si>
  <si>
    <t>Manguera de agua reforzada 3/4 x 100 pies</t>
  </si>
  <si>
    <t>Selector de control de 3 posiciones</t>
  </si>
  <si>
    <t>Riel din</t>
  </si>
  <si>
    <t xml:space="preserve">Filtro de Gasoil </t>
  </si>
  <si>
    <t>Anticongelante Quaker coolant 50/50 55 gls</t>
  </si>
  <si>
    <t>Aceite Shell R5 SAE 10W 55GLS</t>
  </si>
  <si>
    <t>Aditivo estabilizador para aceite de motor 450 ML</t>
  </si>
  <si>
    <t>Silicon transparente 305 ML</t>
  </si>
  <si>
    <t>Tarugo Plasticos Mamey</t>
  </si>
  <si>
    <t>Cerrojo de seguridad con seguro interno/cilindro ext.</t>
  </si>
  <si>
    <t>Llavin de doble puño acero inoxidable</t>
  </si>
  <si>
    <t>AN403</t>
  </si>
  <si>
    <t>AN404</t>
  </si>
  <si>
    <t>AN405</t>
  </si>
  <si>
    <t>AN406</t>
  </si>
  <si>
    <t>AN407</t>
  </si>
  <si>
    <t>AN408</t>
  </si>
  <si>
    <t>AN409</t>
  </si>
  <si>
    <t>AN410</t>
  </si>
  <si>
    <t>AN411</t>
  </si>
  <si>
    <t>AN412</t>
  </si>
  <si>
    <t>AN413</t>
  </si>
  <si>
    <t>AN414</t>
  </si>
  <si>
    <t>AN415</t>
  </si>
  <si>
    <t>AN416</t>
  </si>
  <si>
    <t>AN417</t>
  </si>
  <si>
    <t>AN418</t>
  </si>
  <si>
    <t>Aditivo de aceite Bardahl No. 2, antifriccionante para motor 450 ML</t>
  </si>
  <si>
    <t>Resma de papel 8 1/2*11</t>
  </si>
  <si>
    <t>AN419</t>
  </si>
  <si>
    <t>AN420</t>
  </si>
  <si>
    <t>Jabon liquido para manos Botella 1,000ML</t>
  </si>
  <si>
    <t>Botellas</t>
  </si>
  <si>
    <t>Galon</t>
  </si>
  <si>
    <t>Decalin P/suelo ceramica Acel</t>
  </si>
  <si>
    <t xml:space="preserve">Escoba con palo No.34 Kika </t>
  </si>
  <si>
    <t>unidad</t>
  </si>
  <si>
    <t>AN421</t>
  </si>
  <si>
    <t>AN422</t>
  </si>
  <si>
    <t>Suape 32 Fibra Kika Plus</t>
  </si>
  <si>
    <t>Suape 34 Fibra Kika Plus</t>
  </si>
  <si>
    <t>AN423</t>
  </si>
  <si>
    <t>AN424</t>
  </si>
  <si>
    <t>Suape 36 Fibra Kika Plus</t>
  </si>
  <si>
    <t>AN425</t>
  </si>
  <si>
    <t>AN426</t>
  </si>
  <si>
    <t>Cepillo de pared T/planca linda</t>
  </si>
  <si>
    <t>AN427</t>
  </si>
  <si>
    <t>AN428</t>
  </si>
  <si>
    <t>Platillo PVC gris 8</t>
  </si>
  <si>
    <t>Brillo Verde SCOTT Brite 10 x 15.5</t>
  </si>
  <si>
    <t>Cemento PVC 4 ONZ</t>
  </si>
  <si>
    <t>Barra roscada acero inoxidable 3/4 dutil 3/16</t>
  </si>
  <si>
    <t>Tuerca hexagonal inoxidable 3/4</t>
  </si>
  <si>
    <t>arandela inoxidable</t>
  </si>
  <si>
    <t>Valvula mariposa</t>
  </si>
  <si>
    <t>Agendas personalizadas</t>
  </si>
  <si>
    <t>AN429</t>
  </si>
  <si>
    <t>AN430</t>
  </si>
  <si>
    <t>AN431</t>
  </si>
  <si>
    <t>AN432</t>
  </si>
  <si>
    <t>AN433</t>
  </si>
  <si>
    <t>AN434</t>
  </si>
  <si>
    <t>AN435</t>
  </si>
  <si>
    <t>AN436</t>
  </si>
  <si>
    <t>Clips billetero 32 MM 1 1/4</t>
  </si>
  <si>
    <t>Sobre manila pequeño 8 1/2 x 11</t>
  </si>
  <si>
    <t>Sobre manila  8 1/2 x 14 Amarillo</t>
  </si>
  <si>
    <t>Sobre manila  8 1/2 x 14 Blanco</t>
  </si>
  <si>
    <t>Folders rosado</t>
  </si>
  <si>
    <t>Folders Verde</t>
  </si>
  <si>
    <t>Union dreser fresser 8 pulgadas</t>
  </si>
  <si>
    <t>Llave angula</t>
  </si>
  <si>
    <t>AN437</t>
  </si>
  <si>
    <t>AN438</t>
  </si>
  <si>
    <t>AN439</t>
  </si>
  <si>
    <t>AN440</t>
  </si>
  <si>
    <t>AN441</t>
  </si>
  <si>
    <t>Palo de escoba Kika</t>
  </si>
  <si>
    <t>Palo de escoba Linda</t>
  </si>
  <si>
    <t>Ace  Saco</t>
  </si>
  <si>
    <t>Safacones negro</t>
  </si>
  <si>
    <t>Lapiceros Rojos</t>
  </si>
  <si>
    <t>Resaltador negro</t>
  </si>
  <si>
    <t>Libretas pequeña ( Legal Pad) 8 x 5, blanca</t>
  </si>
  <si>
    <t>Libretas 8 x5 amarillas</t>
  </si>
  <si>
    <t>Printerk correction pen</t>
  </si>
  <si>
    <t>Juego Geometrico</t>
  </si>
  <si>
    <t xml:space="preserve"> Papel Hilo cema 8 1/2 x 11</t>
  </si>
  <si>
    <t>Folder marron</t>
  </si>
  <si>
    <t>Silicon liquido Facela, Liquido</t>
  </si>
  <si>
    <t>Clips Jumbo</t>
  </si>
  <si>
    <t>cajas</t>
  </si>
  <si>
    <t>Post-It 2x3 Amarillo</t>
  </si>
  <si>
    <t>Botella tinta Epson 544 CYAN</t>
  </si>
  <si>
    <t>Botella tinta Epson 544 Negro</t>
  </si>
  <si>
    <t>Botella tinta Epson 544 Amarillo</t>
  </si>
  <si>
    <t>Sobre manila Blanco Timbrado</t>
  </si>
  <si>
    <t>Clips mariposa</t>
  </si>
  <si>
    <t>Papel Higienico</t>
  </si>
  <si>
    <t xml:space="preserve">Papel Higienico jumbo </t>
  </si>
  <si>
    <t xml:space="preserve">Grapadora Para 20 Hojas </t>
  </si>
  <si>
    <t>Silicon liquido 60 ML</t>
  </si>
  <si>
    <t>Silicon en barra gruesa</t>
  </si>
  <si>
    <t>Marcadores permanentes surtido</t>
  </si>
  <si>
    <t>AN442</t>
  </si>
  <si>
    <t>AN443</t>
  </si>
  <si>
    <t>AN444</t>
  </si>
  <si>
    <t>AN445</t>
  </si>
  <si>
    <t>AN446</t>
  </si>
  <si>
    <t>AN447</t>
  </si>
  <si>
    <t>AN448</t>
  </si>
  <si>
    <t>AN449</t>
  </si>
  <si>
    <t>AN450</t>
  </si>
  <si>
    <t>AN451</t>
  </si>
  <si>
    <t>AN452</t>
  </si>
  <si>
    <t>AN453</t>
  </si>
  <si>
    <t>AN454</t>
  </si>
  <si>
    <t>AN455</t>
  </si>
  <si>
    <t>AN456</t>
  </si>
  <si>
    <t>AN457</t>
  </si>
  <si>
    <t>AN458</t>
  </si>
  <si>
    <t>Toner Negro (206A)</t>
  </si>
  <si>
    <t>Toner CYAN (206A)</t>
  </si>
  <si>
    <t>Toner Magneta (206A)</t>
  </si>
  <si>
    <t>Toner Yelloow (206A)</t>
  </si>
  <si>
    <t>AN459</t>
  </si>
  <si>
    <t>AN460</t>
  </si>
  <si>
    <t>AN461</t>
  </si>
  <si>
    <t>AN462</t>
  </si>
  <si>
    <t>Cintas adhesivas banderita</t>
  </si>
  <si>
    <t>Guantes electricos 3M</t>
  </si>
  <si>
    <t>AN463</t>
  </si>
  <si>
    <t>AN464</t>
  </si>
  <si>
    <t>AN465</t>
  </si>
  <si>
    <t>AN466</t>
  </si>
  <si>
    <t>AN467</t>
  </si>
  <si>
    <t>RELACIÓN DE INVENTARIOS DE MATERIALES GASTABLES  AL 30/06/2023</t>
  </si>
  <si>
    <t>FECHA DE ADQUISICIÓN / REGISTRO</t>
  </si>
  <si>
    <t>Pintura Rojo ladrillo galon</t>
  </si>
  <si>
    <t>Envases plasticos de 10 Libras</t>
  </si>
  <si>
    <t>Jumperde tela 21 Galon</t>
  </si>
  <si>
    <t>RELACIÓN DE INVENTARIOS DE MATERIALES GASTABLES  AL 30/8/2023</t>
  </si>
  <si>
    <t>|</t>
  </si>
  <si>
    <t>RELACIÓN DE INVENTARIOS DE MATERIALES GASTABLES  AL 30/9/2023</t>
  </si>
  <si>
    <t xml:space="preserve">Papel Higienico Jumbo 12/1 natura </t>
  </si>
  <si>
    <t>Boquilla de buceo</t>
  </si>
  <si>
    <t>AN468</t>
  </si>
  <si>
    <t>AN469</t>
  </si>
  <si>
    <t>AN470</t>
  </si>
  <si>
    <t>Piedras difusoras de aire de 6 pulgada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</si>
</sst>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_);[Red]\(0.00\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14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5"/>
      <color rgb="FF040C28"/>
      <name val="Arial"/>
      <family val="2"/>
    </font>
    <font>
      <sz val="12"/>
      <color theme="1"/>
      <name val="Arial"/>
      <family val="2"/>
    </font>
    <font>
      <sz val="15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6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4" fontId="5" fillId="2" borderId="0" xfId="0" applyNumberFormat="1" applyFont="1" applyFill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9" fillId="4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43" fontId="8" fillId="4" borderId="1" xfId="1" applyFont="1" applyFill="1" applyBorder="1" applyAlignment="1"/>
    <xf numFmtId="0" fontId="8" fillId="4" borderId="1" xfId="0" applyFont="1" applyFill="1" applyBorder="1" applyAlignment="1">
      <alignment horizontal="center"/>
    </xf>
    <xf numFmtId="0" fontId="4" fillId="4" borderId="1" xfId="0" applyFont="1" applyFill="1" applyBorder="1"/>
    <xf numFmtId="14" fontId="4" fillId="4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2" fontId="4" fillId="4" borderId="1" xfId="0" applyNumberFormat="1" applyFont="1" applyFill="1" applyBorder="1"/>
    <xf numFmtId="43" fontId="8" fillId="4" borderId="1" xfId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43" fontId="4" fillId="4" borderId="1" xfId="1" applyFont="1" applyFill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left"/>
    </xf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4" borderId="1" xfId="1" applyNumberFormat="1" applyFont="1" applyFill="1" applyBorder="1" applyAlignment="1">
      <alignment horizontal="center"/>
    </xf>
    <xf numFmtId="0" fontId="10" fillId="4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8" fillId="4" borderId="2" xfId="1" applyNumberFormat="1" applyFont="1" applyFill="1" applyBorder="1" applyAlignment="1">
      <alignment horizontal="center"/>
    </xf>
    <xf numFmtId="0" fontId="8" fillId="0" borderId="2" xfId="1" applyNumberFormat="1" applyFont="1" applyBorder="1" applyAlignment="1">
      <alignment horizontal="center"/>
    </xf>
    <xf numFmtId="0" fontId="8" fillId="0" borderId="1" xfId="1" applyNumberFormat="1" applyFont="1" applyBorder="1" applyAlignment="1">
      <alignment horizontal="center"/>
    </xf>
    <xf numFmtId="12" fontId="8" fillId="0" borderId="1" xfId="0" applyNumberFormat="1" applyFont="1" applyBorder="1" applyAlignment="1">
      <alignment horizontal="center"/>
    </xf>
    <xf numFmtId="164" fontId="4" fillId="4" borderId="1" xfId="0" applyNumberFormat="1" applyFont="1" applyFill="1" applyBorder="1"/>
    <xf numFmtId="0" fontId="0" fillId="4" borderId="1" xfId="0" applyFill="1" applyBorder="1"/>
    <xf numFmtId="0" fontId="0" fillId="0" borderId="1" xfId="0" applyBorder="1"/>
    <xf numFmtId="0" fontId="9" fillId="4" borderId="3" xfId="0" applyFont="1" applyFill="1" applyBorder="1" applyAlignment="1">
      <alignment horizontal="left"/>
    </xf>
    <xf numFmtId="0" fontId="0" fillId="2" borderId="1" xfId="0" applyFill="1" applyBorder="1"/>
    <xf numFmtId="4" fontId="5" fillId="2" borderId="1" xfId="0" applyNumberFormat="1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4" fontId="10" fillId="4" borderId="1" xfId="0" applyNumberFormat="1" applyFont="1" applyFill="1" applyBorder="1"/>
    <xf numFmtId="2" fontId="10" fillId="4" borderId="1" xfId="0" applyNumberFormat="1" applyFont="1" applyFill="1" applyBorder="1"/>
    <xf numFmtId="43" fontId="10" fillId="4" borderId="1" xfId="1" applyFont="1" applyFill="1" applyBorder="1"/>
    <xf numFmtId="14" fontId="4" fillId="4" borderId="4" xfId="0" applyNumberFormat="1" applyFont="1" applyFill="1" applyBorder="1" applyAlignment="1">
      <alignment horizontal="left"/>
    </xf>
    <xf numFmtId="0" fontId="8" fillId="0" borderId="5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43" fontId="11" fillId="4" borderId="1" xfId="1" applyFont="1" applyFill="1" applyBorder="1" applyAlignment="1"/>
    <xf numFmtId="0" fontId="4" fillId="4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43" fontId="0" fillId="0" borderId="0" xfId="1" applyFont="1"/>
    <xf numFmtId="43" fontId="5" fillId="2" borderId="2" xfId="1" applyFont="1" applyFill="1" applyBorder="1" applyAlignment="1">
      <alignment horizontal="center" vertical="center"/>
    </xf>
    <xf numFmtId="43" fontId="0" fillId="3" borderId="0" xfId="1" applyFont="1" applyFill="1"/>
    <xf numFmtId="0" fontId="9" fillId="0" borderId="5" xfId="0" applyFont="1" applyBorder="1" applyAlignment="1">
      <alignment horizontal="left"/>
    </xf>
    <xf numFmtId="4" fontId="5" fillId="0" borderId="0" xfId="0" applyNumberFormat="1" applyFont="1"/>
    <xf numFmtId="0" fontId="14" fillId="0" borderId="1" xfId="0" applyFont="1" applyBorder="1" applyAlignment="1">
      <alignment horizontal="left"/>
    </xf>
    <xf numFmtId="0" fontId="0" fillId="2" borderId="7" xfId="0" applyFill="1" applyBorder="1"/>
    <xf numFmtId="4" fontId="5" fillId="2" borderId="7" xfId="0" applyNumberFormat="1" applyFont="1" applyFill="1" applyBorder="1"/>
    <xf numFmtId="0" fontId="6" fillId="0" borderId="1" xfId="0" applyFont="1" applyBorder="1"/>
    <xf numFmtId="43" fontId="6" fillId="0" borderId="1" xfId="1" applyFont="1" applyBorder="1"/>
    <xf numFmtId="14" fontId="6" fillId="0" borderId="1" xfId="0" applyNumberFormat="1" applyFont="1" applyBorder="1"/>
    <xf numFmtId="43" fontId="6" fillId="0" borderId="1" xfId="0" applyNumberFormat="1" applyFont="1" applyBorder="1"/>
    <xf numFmtId="165" fontId="6" fillId="0" borderId="1" xfId="1" applyNumberFormat="1" applyFont="1" applyBorder="1"/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43" fontId="8" fillId="4" borderId="2" xfId="1" applyFont="1" applyFill="1" applyBorder="1" applyAlignment="1"/>
    <xf numFmtId="4" fontId="10" fillId="4" borderId="2" xfId="0" applyNumberFormat="1" applyFont="1" applyFill="1" applyBorder="1"/>
    <xf numFmtId="0" fontId="6" fillId="0" borderId="2" xfId="0" applyFont="1" applyBorder="1"/>
    <xf numFmtId="43" fontId="6" fillId="0" borderId="2" xfId="1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6" fillId="4" borderId="1" xfId="0" applyFont="1" applyFill="1" applyBorder="1"/>
    <xf numFmtId="14" fontId="16" fillId="4" borderId="1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0" xfId="0" applyFont="1"/>
    <xf numFmtId="0" fontId="17" fillId="4" borderId="1" xfId="0" applyFont="1" applyFill="1" applyBorder="1" applyAlignment="1">
      <alignment horizontal="left"/>
    </xf>
    <xf numFmtId="0" fontId="17" fillId="0" borderId="1" xfId="0" applyFont="1" applyBorder="1"/>
    <xf numFmtId="0" fontId="16" fillId="4" borderId="1" xfId="0" applyFont="1" applyFill="1" applyBorder="1" applyAlignment="1">
      <alignment horizontal="left"/>
    </xf>
    <xf numFmtId="0" fontId="17" fillId="4" borderId="0" xfId="0" applyFont="1" applyFill="1" applyAlignment="1">
      <alignment horizontal="left"/>
    </xf>
    <xf numFmtId="0" fontId="19" fillId="0" borderId="0" xfId="0" applyFont="1"/>
    <xf numFmtId="0" fontId="2" fillId="0" borderId="0" xfId="0" applyFont="1"/>
    <xf numFmtId="0" fontId="8" fillId="0" borderId="9" xfId="1" applyNumberFormat="1" applyFont="1" applyBorder="1" applyAlignment="1">
      <alignment horizontal="center"/>
    </xf>
    <xf numFmtId="43" fontId="8" fillId="4" borderId="10" xfId="1" applyFont="1" applyFill="1" applyBorder="1" applyAlignment="1"/>
    <xf numFmtId="4" fontId="10" fillId="4" borderId="7" xfId="0" applyNumberFormat="1" applyFont="1" applyFill="1" applyBorder="1"/>
    <xf numFmtId="14" fontId="10" fillId="4" borderId="1" xfId="0" applyNumberFormat="1" applyFont="1" applyFill="1" applyBorder="1" applyAlignment="1">
      <alignment horizontal="left"/>
    </xf>
    <xf numFmtId="0" fontId="11" fillId="0" borderId="1" xfId="0" applyFont="1" applyBorder="1"/>
    <xf numFmtId="43" fontId="11" fillId="0" borderId="1" xfId="1" applyFont="1" applyBorder="1"/>
    <xf numFmtId="0" fontId="11" fillId="0" borderId="0" xfId="0" applyFont="1"/>
    <xf numFmtId="0" fontId="10" fillId="4" borderId="1" xfId="0" applyFont="1" applyFill="1" applyBorder="1" applyAlignment="1">
      <alignment horizontal="left"/>
    </xf>
    <xf numFmtId="14" fontId="11" fillId="0" borderId="1" xfId="0" applyNumberFormat="1" applyFont="1" applyBorder="1"/>
    <xf numFmtId="43" fontId="11" fillId="0" borderId="1" xfId="0" applyNumberFormat="1" applyFont="1" applyBorder="1"/>
    <xf numFmtId="165" fontId="11" fillId="0" borderId="1" xfId="1" applyNumberFormat="1" applyFont="1" applyBorder="1"/>
    <xf numFmtId="4" fontId="20" fillId="2" borderId="7" xfId="0" applyNumberFormat="1" applyFont="1" applyFill="1" applyBorder="1"/>
    <xf numFmtId="0" fontId="8" fillId="0" borderId="0" xfId="0" applyFont="1"/>
    <xf numFmtId="43" fontId="8" fillId="0" borderId="0" xfId="1" applyFont="1"/>
    <xf numFmtId="0" fontId="10" fillId="4" borderId="1" xfId="0" applyFont="1" applyFill="1" applyBorder="1"/>
    <xf numFmtId="14" fontId="10" fillId="4" borderId="8" xfId="0" applyNumberFormat="1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7" xfId="0" applyFont="1" applyFill="1" applyBorder="1"/>
    <xf numFmtId="0" fontId="11" fillId="0" borderId="7" xfId="0" applyFont="1" applyBorder="1"/>
    <xf numFmtId="43" fontId="11" fillId="0" borderId="7" xfId="1" applyFont="1" applyBorder="1"/>
    <xf numFmtId="14" fontId="11" fillId="0" borderId="7" xfId="0" applyNumberFormat="1" applyFont="1" applyBorder="1"/>
    <xf numFmtId="43" fontId="15" fillId="0" borderId="0" xfId="1" applyFont="1"/>
    <xf numFmtId="0" fontId="11" fillId="0" borderId="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9" fillId="5" borderId="1" xfId="0" applyFont="1" applyFill="1" applyBorder="1" applyAlignment="1">
      <alignment horizontal="left"/>
    </xf>
    <xf numFmtId="14" fontId="11" fillId="4" borderId="1" xfId="0" applyNumberFormat="1" applyFont="1" applyFill="1" applyBorder="1"/>
    <xf numFmtId="0" fontId="11" fillId="4" borderId="1" xfId="0" applyFont="1" applyFill="1" applyBorder="1"/>
    <xf numFmtId="43" fontId="11" fillId="4" borderId="1" xfId="1" applyFont="1" applyFill="1" applyBorder="1"/>
    <xf numFmtId="43" fontId="11" fillId="4" borderId="1" xfId="0" applyNumberFormat="1" applyFont="1" applyFill="1" applyBorder="1"/>
    <xf numFmtId="0" fontId="9" fillId="6" borderId="1" xfId="0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43" fontId="8" fillId="4" borderId="7" xfId="1" applyFont="1" applyFill="1" applyBorder="1" applyAlignment="1"/>
    <xf numFmtId="0" fontId="5" fillId="7" borderId="1" xfId="0" applyFont="1" applyFill="1" applyBorder="1" applyAlignment="1">
      <alignment horizontal="center" vertical="center"/>
    </xf>
    <xf numFmtId="43" fontId="8" fillId="7" borderId="1" xfId="1" applyFont="1" applyFill="1" applyBorder="1" applyAlignment="1"/>
    <xf numFmtId="2" fontId="10" fillId="7" borderId="1" xfId="0" applyNumberFormat="1" applyFont="1" applyFill="1" applyBorder="1"/>
    <xf numFmtId="43" fontId="8" fillId="7" borderId="1" xfId="1" applyFont="1" applyFill="1" applyBorder="1" applyAlignment="1">
      <alignment horizontal="right"/>
    </xf>
    <xf numFmtId="43" fontId="10" fillId="7" borderId="1" xfId="1" applyFont="1" applyFill="1" applyBorder="1"/>
    <xf numFmtId="43" fontId="11" fillId="7" borderId="1" xfId="1" applyFont="1" applyFill="1" applyBorder="1" applyAlignment="1"/>
    <xf numFmtId="43" fontId="11" fillId="7" borderId="1" xfId="1" applyFont="1" applyFill="1" applyBorder="1"/>
    <xf numFmtId="0" fontId="0" fillId="7" borderId="0" xfId="0" applyFill="1"/>
    <xf numFmtId="0" fontId="15" fillId="7" borderId="0" xfId="0" applyFont="1" applyFill="1"/>
    <xf numFmtId="0" fontId="2" fillId="7" borderId="1" xfId="0" applyFont="1" applyFill="1" applyBorder="1" applyAlignment="1">
      <alignment horizontal="center" vertical="center"/>
    </xf>
    <xf numFmtId="0" fontId="11" fillId="7" borderId="1" xfId="0" applyFont="1" applyFill="1" applyBorder="1"/>
    <xf numFmtId="4" fontId="5" fillId="7" borderId="7" xfId="0" applyNumberFormat="1" applyFont="1" applyFill="1" applyBorder="1"/>
    <xf numFmtId="4" fontId="10" fillId="7" borderId="1" xfId="0" applyNumberFormat="1" applyFont="1" applyFill="1" applyBorder="1"/>
    <xf numFmtId="165" fontId="11" fillId="7" borderId="1" xfId="1" applyNumberFormat="1" applyFont="1" applyFill="1" applyBorder="1"/>
    <xf numFmtId="0" fontId="11" fillId="7" borderId="7" xfId="0" applyFont="1" applyFill="1" applyBorder="1"/>
    <xf numFmtId="0" fontId="8" fillId="7" borderId="1" xfId="1" applyNumberFormat="1" applyFont="1" applyFill="1" applyBorder="1" applyAlignment="1">
      <alignment horizontal="center"/>
    </xf>
    <xf numFmtId="0" fontId="8" fillId="7" borderId="7" xfId="1" applyNumberFormat="1" applyFont="1" applyFill="1" applyBorder="1" applyAlignment="1">
      <alignment horizontal="center"/>
    </xf>
    <xf numFmtId="43" fontId="8" fillId="7" borderId="10" xfId="1" applyFont="1" applyFill="1" applyBorder="1" applyAlignment="1"/>
    <xf numFmtId="43" fontId="11" fillId="7" borderId="7" xfId="1" applyFont="1" applyFill="1" applyBorder="1"/>
    <xf numFmtId="0" fontId="11" fillId="6" borderId="7" xfId="0" applyFont="1" applyFill="1" applyBorder="1"/>
    <xf numFmtId="0" fontId="11" fillId="6" borderId="1" xfId="0" applyFont="1" applyFill="1" applyBorder="1"/>
    <xf numFmtId="165" fontId="11" fillId="6" borderId="1" xfId="1" applyNumberFormat="1" applyFont="1" applyFill="1" applyBorder="1"/>
    <xf numFmtId="0" fontId="9" fillId="4" borderId="5" xfId="0" applyFont="1" applyFill="1" applyBorder="1" applyAlignment="1">
      <alignment horizontal="left"/>
    </xf>
    <xf numFmtId="0" fontId="11" fillId="8" borderId="1" xfId="0" applyFont="1" applyFill="1" applyBorder="1"/>
    <xf numFmtId="43" fontId="11" fillId="8" borderId="1" xfId="1" applyFont="1" applyFill="1" applyBorder="1"/>
    <xf numFmtId="0" fontId="18" fillId="8" borderId="0" xfId="0" applyFont="1" applyFill="1"/>
    <xf numFmtId="165" fontId="11" fillId="7" borderId="1" xfId="0" applyNumberFormat="1" applyFont="1" applyFill="1" applyBorder="1"/>
    <xf numFmtId="165" fontId="11" fillId="6" borderId="1" xfId="0" applyNumberFormat="1" applyFont="1" applyFill="1" applyBorder="1"/>
    <xf numFmtId="0" fontId="21" fillId="0" borderId="0" xfId="0" applyFont="1"/>
    <xf numFmtId="0" fontId="8" fillId="4" borderId="1" xfId="0" applyFont="1" applyFill="1" applyBorder="1" applyAlignment="1">
      <alignment horizontal="left"/>
    </xf>
    <xf numFmtId="0" fontId="8" fillId="4" borderId="1" xfId="1" applyNumberFormat="1" applyFont="1" applyFill="1" applyBorder="1" applyAlignment="1">
      <alignment horizontal="left"/>
    </xf>
    <xf numFmtId="0" fontId="8" fillId="0" borderId="1" xfId="1" applyNumberFormat="1" applyFont="1" applyBorder="1" applyAlignment="1">
      <alignment horizontal="left"/>
    </xf>
    <xf numFmtId="0" fontId="10" fillId="4" borderId="1" xfId="1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14" fontId="11" fillId="4" borderId="1" xfId="0" applyNumberFormat="1" applyFont="1" applyFill="1" applyBorder="1" applyAlignment="1">
      <alignment horizontal="left"/>
    </xf>
    <xf numFmtId="0" fontId="10" fillId="4" borderId="1" xfId="0" applyFont="1" applyFill="1" applyBorder="1" applyAlignment="1">
      <alignment horizontal="left" vertical="center"/>
    </xf>
    <xf numFmtId="0" fontId="11" fillId="4" borderId="1" xfId="1" applyNumberFormat="1" applyFont="1" applyFill="1" applyBorder="1" applyAlignment="1">
      <alignment horizontal="left"/>
    </xf>
    <xf numFmtId="0" fontId="11" fillId="0" borderId="1" xfId="1" applyNumberFormat="1" applyFont="1" applyBorder="1" applyAlignment="1">
      <alignment horizontal="left"/>
    </xf>
    <xf numFmtId="2" fontId="10" fillId="7" borderId="1" xfId="0" applyNumberFormat="1" applyFont="1" applyFill="1" applyBorder="1" applyAlignment="1">
      <alignment horizontal="right"/>
    </xf>
    <xf numFmtId="43" fontId="10" fillId="7" borderId="1" xfId="1" applyFont="1" applyFill="1" applyBorder="1" applyAlignment="1">
      <alignment horizontal="right"/>
    </xf>
    <xf numFmtId="43" fontId="11" fillId="7" borderId="1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20" fillId="2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wrapText="1"/>
    </xf>
    <xf numFmtId="43" fontId="20" fillId="2" borderId="1" xfId="1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165" fontId="11" fillId="0" borderId="1" xfId="0" applyNumberFormat="1" applyFont="1" applyBorder="1"/>
    <xf numFmtId="0" fontId="10" fillId="9" borderId="1" xfId="0" applyFont="1" applyFill="1" applyBorder="1" applyAlignment="1">
      <alignment horizontal="left"/>
    </xf>
    <xf numFmtId="14" fontId="10" fillId="9" borderId="1" xfId="0" applyNumberFormat="1" applyFont="1" applyFill="1" applyBorder="1" applyAlignment="1">
      <alignment horizontal="left"/>
    </xf>
    <xf numFmtId="0" fontId="9" fillId="9" borderId="1" xfId="0" applyFont="1" applyFill="1" applyBorder="1" applyAlignment="1">
      <alignment horizontal="left"/>
    </xf>
    <xf numFmtId="0" fontId="8" fillId="9" borderId="1" xfId="1" applyNumberFormat="1" applyFont="1" applyFill="1" applyBorder="1" applyAlignment="1">
      <alignment horizontal="left"/>
    </xf>
    <xf numFmtId="43" fontId="8" fillId="9" borderId="1" xfId="1" applyFont="1" applyFill="1" applyBorder="1" applyAlignment="1">
      <alignment horizontal="right"/>
    </xf>
    <xf numFmtId="4" fontId="10" fillId="9" borderId="1" xfId="0" applyNumberFormat="1" applyFont="1" applyFill="1" applyBorder="1"/>
    <xf numFmtId="165" fontId="11" fillId="9" borderId="1" xfId="1" applyNumberFormat="1" applyFont="1" applyFill="1" applyBorder="1"/>
    <xf numFmtId="43" fontId="8" fillId="9" borderId="1" xfId="1" applyFont="1" applyFill="1" applyBorder="1" applyAlignment="1"/>
    <xf numFmtId="43" fontId="11" fillId="9" borderId="1" xfId="1" applyFont="1" applyFill="1" applyBorder="1"/>
    <xf numFmtId="0" fontId="11" fillId="9" borderId="1" xfId="0" applyFont="1" applyFill="1" applyBorder="1"/>
    <xf numFmtId="0" fontId="11" fillId="9" borderId="1" xfId="0" applyFont="1" applyFill="1" applyBorder="1" applyAlignment="1">
      <alignment horizontal="left" wrapText="1"/>
    </xf>
    <xf numFmtId="0" fontId="11" fillId="9" borderId="0" xfId="0" applyFont="1" applyFill="1"/>
    <xf numFmtId="0" fontId="6" fillId="9" borderId="0" xfId="0" applyFont="1" applyFill="1"/>
    <xf numFmtId="14" fontId="11" fillId="9" borderId="1" xfId="0" applyNumberFormat="1" applyFont="1" applyFill="1" applyBorder="1"/>
    <xf numFmtId="165" fontId="11" fillId="4" borderId="1" xfId="1" applyNumberFormat="1" applyFont="1" applyFill="1" applyBorder="1"/>
    <xf numFmtId="0" fontId="6" fillId="4" borderId="0" xfId="0" applyFont="1" applyFill="1"/>
    <xf numFmtId="0" fontId="15" fillId="4" borderId="0" xfId="0" applyFont="1" applyFill="1"/>
    <xf numFmtId="0" fontId="0" fillId="4" borderId="0" xfId="0" applyFill="1"/>
    <xf numFmtId="0" fontId="0" fillId="4" borderId="0" xfId="0" applyFill="1" applyAlignment="1">
      <alignment horizontal="right"/>
    </xf>
    <xf numFmtId="43" fontId="0" fillId="4" borderId="0" xfId="1" applyFont="1" applyFill="1"/>
    <xf numFmtId="14" fontId="8" fillId="4" borderId="1" xfId="0" applyNumberFormat="1" applyFont="1" applyFill="1" applyBorder="1" applyAlignment="1">
      <alignment horizontal="left"/>
    </xf>
    <xf numFmtId="4" fontId="8" fillId="4" borderId="1" xfId="0" applyNumberFormat="1" applyFont="1" applyFill="1" applyBorder="1"/>
    <xf numFmtId="0" fontId="22" fillId="4" borderId="1" xfId="0" applyFont="1" applyFill="1" applyBorder="1" applyAlignment="1">
      <alignment horizontal="left"/>
    </xf>
    <xf numFmtId="14" fontId="8" fillId="4" borderId="1" xfId="0" applyNumberFormat="1" applyFont="1" applyFill="1" applyBorder="1"/>
    <xf numFmtId="43" fontId="8" fillId="4" borderId="1" xfId="1" applyFont="1" applyFill="1" applyBorder="1"/>
    <xf numFmtId="43" fontId="8" fillId="4" borderId="1" xfId="0" applyNumberFormat="1" applyFont="1" applyFill="1" applyBorder="1"/>
    <xf numFmtId="0" fontId="22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/>
    <xf numFmtId="4" fontId="8" fillId="4" borderId="7" xfId="0" applyNumberFormat="1" applyFont="1" applyFill="1" applyBorder="1"/>
    <xf numFmtId="14" fontId="8" fillId="4" borderId="8" xfId="0" applyNumberFormat="1" applyFont="1" applyFill="1" applyBorder="1" applyAlignment="1">
      <alignment horizontal="left"/>
    </xf>
    <xf numFmtId="0" fontId="8" fillId="4" borderId="0" xfId="0" applyFont="1" applyFill="1" applyAlignment="1">
      <alignment wrapText="1"/>
    </xf>
    <xf numFmtId="0" fontId="18" fillId="4" borderId="0" xfId="0" applyFont="1" applyFill="1"/>
    <xf numFmtId="2" fontId="8" fillId="4" borderId="1" xfId="0" applyNumberFormat="1" applyFont="1" applyFill="1" applyBorder="1" applyAlignment="1">
      <alignment horizontal="right"/>
    </xf>
    <xf numFmtId="0" fontId="11" fillId="4" borderId="0" xfId="0" applyFont="1" applyFill="1"/>
    <xf numFmtId="0" fontId="23" fillId="4" borderId="0" xfId="0" applyFont="1" applyFill="1"/>
    <xf numFmtId="0" fontId="8" fillId="4" borderId="7" xfId="0" applyFont="1" applyFill="1" applyBorder="1"/>
    <xf numFmtId="165" fontId="8" fillId="4" borderId="1" xfId="0" applyNumberFormat="1" applyFont="1" applyFill="1" applyBorder="1"/>
    <xf numFmtId="165" fontId="8" fillId="4" borderId="1" xfId="1" applyNumberFormat="1" applyFont="1" applyFill="1" applyBorder="1"/>
    <xf numFmtId="0" fontId="8" fillId="4" borderId="1" xfId="0" applyFont="1" applyFill="1" applyBorder="1" applyAlignment="1">
      <alignment horizontal="left" wrapText="1"/>
    </xf>
    <xf numFmtId="43" fontId="8" fillId="4" borderId="7" xfId="1" applyFont="1" applyFill="1" applyBorder="1"/>
    <xf numFmtId="0" fontId="8" fillId="4" borderId="7" xfId="0" applyFont="1" applyFill="1" applyBorder="1" applyAlignment="1">
      <alignment horizontal="left" wrapText="1"/>
    </xf>
    <xf numFmtId="14" fontId="8" fillId="4" borderId="7" xfId="0" applyNumberFormat="1" applyFont="1" applyFill="1" applyBorder="1"/>
    <xf numFmtId="165" fontId="8" fillId="4" borderId="7" xfId="1" applyNumberFormat="1" applyFont="1" applyFill="1" applyBorder="1"/>
    <xf numFmtId="165" fontId="8" fillId="4" borderId="7" xfId="0" applyNumberFormat="1" applyFont="1" applyFill="1" applyBorder="1"/>
    <xf numFmtId="0" fontId="0" fillId="4" borderId="7" xfId="0" applyFill="1" applyBorder="1"/>
    <xf numFmtId="4" fontId="5" fillId="4" borderId="7" xfId="0" applyNumberFormat="1" applyFont="1" applyFill="1" applyBorder="1"/>
    <xf numFmtId="0" fontId="19" fillId="4" borderId="0" xfId="0" applyFont="1" applyFill="1"/>
    <xf numFmtId="0" fontId="2" fillId="4" borderId="0" xfId="0" applyFont="1" applyFill="1"/>
    <xf numFmtId="0" fontId="20" fillId="10" borderId="1" xfId="0" applyFont="1" applyFill="1" applyBorder="1" applyAlignment="1">
      <alignment vertical="center" wrapText="1"/>
    </xf>
    <xf numFmtId="0" fontId="0" fillId="4" borderId="0" xfId="0" applyFill="1" applyBorder="1"/>
    <xf numFmtId="0" fontId="0" fillId="4" borderId="0" xfId="0" applyFont="1" applyFill="1" applyBorder="1" applyAlignment="1">
      <alignment horizontal="center"/>
    </xf>
    <xf numFmtId="4" fontId="5" fillId="4" borderId="0" xfId="0" applyNumberFormat="1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10</xdr:col>
      <xdr:colOff>371475</xdr:colOff>
      <xdr:row>12</xdr:row>
      <xdr:rowOff>152400</xdr:rowOff>
    </xdr:to>
    <xdr:sp macro="" textlink="">
      <xdr:nvSpPr>
        <xdr:cNvPr id="102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095500"/>
          <a:ext cx="11334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104775</xdr:rowOff>
    </xdr:to>
    <xdr:sp macro="" textlink="">
      <xdr:nvSpPr>
        <xdr:cNvPr id="102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1739900</xdr:colOff>
      <xdr:row>4</xdr:row>
      <xdr:rowOff>28574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3075" cy="933449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67575" y="99342"/>
          <a:ext cx="14478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91453</xdr:colOff>
      <xdr:row>254</xdr:row>
      <xdr:rowOff>57150</xdr:rowOff>
    </xdr:from>
    <xdr:to>
      <xdr:col>0</xdr:col>
      <xdr:colOff>2094069</xdr:colOff>
      <xdr:row>261</xdr:row>
      <xdr:rowOff>9188</xdr:rowOff>
    </xdr:to>
    <xdr:pic>
      <xdr:nvPicPr>
        <xdr:cNvPr id="8" name="Picture 4" descr="C:\Users\c07850\Desktop\001 - Copy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91453" y="149018625"/>
          <a:ext cx="2002616" cy="135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180975</xdr:colOff>
      <xdr:row>4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47775" cy="123825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18</xdr:row>
      <xdr:rowOff>28575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12</xdr:row>
      <xdr:rowOff>104775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9560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10" name="Picture 4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123825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16</xdr:row>
      <xdr:rowOff>57150</xdr:rowOff>
    </xdr:to>
    <xdr:sp macro="" textlink="">
      <xdr:nvSpPr>
        <xdr:cNvPr id="1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12</xdr:row>
      <xdr:rowOff>9525</xdr:rowOff>
    </xdr:to>
    <xdr:sp macro="" textlink="">
      <xdr:nvSpPr>
        <xdr:cNvPr id="1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124536</xdr:colOff>
      <xdr:row>410</xdr:row>
      <xdr:rowOff>7812</xdr:rowOff>
    </xdr:from>
    <xdr:to>
      <xdr:col>2</xdr:col>
      <xdr:colOff>471051</xdr:colOff>
      <xdr:row>418</xdr:row>
      <xdr:rowOff>86685</xdr:rowOff>
    </xdr:to>
    <xdr:pic>
      <xdr:nvPicPr>
        <xdr:cNvPr id="16" name="Picture 4" descr="C:\Users\c07850\Desktop\001 - Copy.pn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191336" y="93124212"/>
          <a:ext cx="1632390" cy="1983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14</xdr:row>
      <xdr:rowOff>133350</xdr:rowOff>
    </xdr:to>
    <xdr:sp macro="" textlink="">
      <xdr:nvSpPr>
        <xdr:cNvPr id="17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161925</xdr:rowOff>
    </xdr:to>
    <xdr:sp macro="" textlink="">
      <xdr:nvSpPr>
        <xdr:cNvPr id="1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180975</xdr:colOff>
      <xdr:row>5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47775" cy="123825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18</xdr:row>
      <xdr:rowOff>152400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12</xdr:row>
      <xdr:rowOff>123825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123825</xdr:rowOff>
    </xdr:to>
    <xdr:sp macro="" textlink="">
      <xdr:nvSpPr>
        <xdr:cNvPr id="10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16</xdr:row>
      <xdr:rowOff>161925</xdr:rowOff>
    </xdr:to>
    <xdr:sp macro="" textlink="">
      <xdr:nvSpPr>
        <xdr:cNvPr id="11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12</xdr:row>
      <xdr:rowOff>28575</xdr:rowOff>
    </xdr:to>
    <xdr:sp macro="" textlink="">
      <xdr:nvSpPr>
        <xdr:cNvPr id="12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124536</xdr:colOff>
      <xdr:row>410</xdr:row>
      <xdr:rowOff>7812</xdr:rowOff>
    </xdr:from>
    <xdr:to>
      <xdr:col>2</xdr:col>
      <xdr:colOff>471051</xdr:colOff>
      <xdr:row>420</xdr:row>
      <xdr:rowOff>86685</xdr:rowOff>
    </xdr:to>
    <xdr:pic>
      <xdr:nvPicPr>
        <xdr:cNvPr id="15" name="Picture 4" descr="C:\Users\c07850\Desktop\001 - Copy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191336" y="93124212"/>
          <a:ext cx="1632390" cy="1983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15</xdr:row>
      <xdr:rowOff>28575</xdr:rowOff>
    </xdr:to>
    <xdr:sp macro="" textlink="">
      <xdr:nvSpPr>
        <xdr:cNvPr id="16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171450</xdr:rowOff>
    </xdr:to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180975</xdr:colOff>
      <xdr:row>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47775" cy="971549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19</xdr:row>
      <xdr:rowOff>85725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12</xdr:row>
      <xdr:rowOff>142875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17</xdr:row>
      <xdr:rowOff>76200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12</xdr:row>
      <xdr:rowOff>47625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124536</xdr:colOff>
      <xdr:row>410</xdr:row>
      <xdr:rowOff>7812</xdr:rowOff>
    </xdr:from>
    <xdr:to>
      <xdr:col>2</xdr:col>
      <xdr:colOff>471051</xdr:colOff>
      <xdr:row>422</xdr:row>
      <xdr:rowOff>181935</xdr:rowOff>
    </xdr:to>
    <xdr:pic>
      <xdr:nvPicPr>
        <xdr:cNvPr id="13" name="Picture 4" descr="C:\Users\c07850\Desktop\001 - Copy.pn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191336" y="93124212"/>
          <a:ext cx="1632390" cy="246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15</xdr:row>
      <xdr:rowOff>123825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180975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180975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47775" cy="971549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139944</xdr:colOff>
      <xdr:row>20</xdr:row>
      <xdr:rowOff>28575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161925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139944</xdr:colOff>
      <xdr:row>18</xdr:row>
      <xdr:rowOff>0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66675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124536</xdr:colOff>
      <xdr:row>410</xdr:row>
      <xdr:rowOff>7812</xdr:rowOff>
    </xdr:from>
    <xdr:to>
      <xdr:col>2</xdr:col>
      <xdr:colOff>661551</xdr:colOff>
      <xdr:row>425</xdr:row>
      <xdr:rowOff>134310</xdr:rowOff>
    </xdr:to>
    <xdr:pic>
      <xdr:nvPicPr>
        <xdr:cNvPr id="13" name="Picture 4" descr="C:\Users\c07850\Desktop\001 - Copy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191336" y="93124212"/>
          <a:ext cx="1632390" cy="3031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139944</xdr:colOff>
      <xdr:row>16</xdr:row>
      <xdr:rowOff>28575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0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575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180975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604DB5-E96A-4580-BFE5-DFB38286D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47775" cy="1209674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5D82193-BDCB-40C2-918A-6F074CE9CE9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68050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A19BC93-8E20-45BF-BB74-51E68DB051A3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854319</xdr:colOff>
      <xdr:row>20</xdr:row>
      <xdr:rowOff>171450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80B74CA7-E383-4645-BE1F-0A46836E9F9B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238375"/>
          <a:ext cx="1892544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180975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D1B47DC2-171E-44F4-82F0-35112C2484FC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8575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FFF299E4-85AB-4A4A-AB61-362E5D4BCEC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68050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9CB506E7-8E5A-4979-A46C-084B3375E8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68050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09BC0FB-59C1-41FA-BE97-222EF6B2A635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854319</xdr:colOff>
      <xdr:row>18</xdr:row>
      <xdr:rowOff>123825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908967E2-2550-420B-991C-94AFAEE9B572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238375"/>
          <a:ext cx="1892544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77755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86F36BBC-8E4F-45F5-A3F8-ADBAF087CE80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857500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2C09A850-C1B3-4E29-B030-EB8A923319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68050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124536</xdr:colOff>
      <xdr:row>457</xdr:row>
      <xdr:rowOff>7812</xdr:rowOff>
    </xdr:from>
    <xdr:to>
      <xdr:col>2</xdr:col>
      <xdr:colOff>661551</xdr:colOff>
      <xdr:row>475</xdr:row>
      <xdr:rowOff>86685</xdr:rowOff>
    </xdr:to>
    <xdr:pic>
      <xdr:nvPicPr>
        <xdr:cNvPr id="13" name="Picture 4" descr="C:\Users\c07850\Desktop\001 - Copy.png">
          <a:extLst>
            <a:ext uri="{FF2B5EF4-FFF2-40B4-BE49-F238E27FC236}">
              <a16:creationId xmlns:a16="http://schemas.microsoft.com/office/drawing/2014/main" id="{2F906AF8-8E60-42E9-91BD-0A9B32EE3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191336" y="93124212"/>
          <a:ext cx="1632390" cy="3698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854319</xdr:colOff>
      <xdr:row>16</xdr:row>
      <xdr:rowOff>133350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4E281D23-D0CD-40CA-8027-1CE8079CF612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238375"/>
          <a:ext cx="1892544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19050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E7B610EC-3A4A-4780-A152-435193D9A84D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857500"/>
          <a:ext cx="3048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304800</xdr:colOff>
      <xdr:row>3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83DB5-94E2-4ABB-BEF7-04A7C9C6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247775" cy="923924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0DA845E-73A0-40EF-A7F6-91B8EFD8DC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6275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1A5E4523-9D85-45E1-84E9-E53A6B64F38F}"/>
            </a:ext>
          </a:extLst>
        </xdr:cNvPr>
        <xdr:cNvSpPr>
          <a:spLocks noChangeAspect="1" noChangeArrowheads="1"/>
        </xdr:cNvSpPr>
      </xdr:nvSpPr>
      <xdr:spPr bwMode="auto">
        <a:xfrm>
          <a:off x="4486275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12036</xdr:colOff>
      <xdr:row>21</xdr:row>
      <xdr:rowOff>123825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74ED086B-2E19-4916-BBB4-3CEA844B82C8}"/>
            </a:ext>
          </a:extLst>
        </xdr:cNvPr>
        <xdr:cNvSpPr>
          <a:spLocks noChangeAspect="1" noChangeArrowheads="1"/>
        </xdr:cNvSpPr>
      </xdr:nvSpPr>
      <xdr:spPr bwMode="auto">
        <a:xfrm>
          <a:off x="4486275" y="2238375"/>
          <a:ext cx="1897986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13</xdr:row>
      <xdr:rowOff>9525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E9A40D09-2362-4AD1-B892-B54F4D7EEC8A}"/>
            </a:ext>
          </a:extLst>
        </xdr:cNvPr>
        <xdr:cNvSpPr>
          <a:spLocks noChangeAspect="1" noChangeArrowheads="1"/>
        </xdr:cNvSpPr>
      </xdr:nvSpPr>
      <xdr:spPr bwMode="auto">
        <a:xfrm>
          <a:off x="4486275" y="2857500"/>
          <a:ext cx="30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78B3888F-1655-4303-8216-4E8E6271E9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6275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E0D7CF6-A7E3-4BAE-A098-5BA27D046D7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6275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980CB81E-18DF-4A1E-BDB3-4D4ACDE3A40C}"/>
            </a:ext>
          </a:extLst>
        </xdr:cNvPr>
        <xdr:cNvSpPr>
          <a:spLocks noChangeAspect="1" noChangeArrowheads="1"/>
        </xdr:cNvSpPr>
      </xdr:nvSpPr>
      <xdr:spPr bwMode="auto">
        <a:xfrm>
          <a:off x="4486275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12036</xdr:colOff>
      <xdr:row>19</xdr:row>
      <xdr:rowOff>57150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D6BA9AFD-C9FD-4B48-BEC2-FFFD3EA3FC0D}"/>
            </a:ext>
          </a:extLst>
        </xdr:cNvPr>
        <xdr:cNvSpPr>
          <a:spLocks noChangeAspect="1" noChangeArrowheads="1"/>
        </xdr:cNvSpPr>
      </xdr:nvSpPr>
      <xdr:spPr bwMode="auto">
        <a:xfrm>
          <a:off x="4486275" y="2238375"/>
          <a:ext cx="1897986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96805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19C61D80-28CF-4BDB-91B7-779AB939D7B1}"/>
            </a:ext>
          </a:extLst>
        </xdr:cNvPr>
        <xdr:cNvSpPr>
          <a:spLocks noChangeAspect="1" noChangeArrowheads="1"/>
        </xdr:cNvSpPr>
      </xdr:nvSpPr>
      <xdr:spPr bwMode="auto">
        <a:xfrm>
          <a:off x="4486275" y="2857500"/>
          <a:ext cx="304800" cy="47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AACF28B9-B031-4F95-A6F3-0D345DC211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6275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341194</xdr:colOff>
      <xdr:row>491</xdr:row>
      <xdr:rowOff>211128</xdr:rowOff>
    </xdr:from>
    <xdr:to>
      <xdr:col>2</xdr:col>
      <xdr:colOff>814449</xdr:colOff>
      <xdr:row>501</xdr:row>
      <xdr:rowOff>22429</xdr:rowOff>
    </xdr:to>
    <xdr:pic>
      <xdr:nvPicPr>
        <xdr:cNvPr id="13" name="Picture 4" descr="C:\Users\c07850\Desktop\001 - Copy.png">
          <a:extLst>
            <a:ext uri="{FF2B5EF4-FFF2-40B4-BE49-F238E27FC236}">
              <a16:creationId xmlns:a16="http://schemas.microsoft.com/office/drawing/2014/main" id="{BED92855-0938-41D4-A13C-43A863EC2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284169" y="106948278"/>
          <a:ext cx="1635305" cy="219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12036</xdr:colOff>
      <xdr:row>17</xdr:row>
      <xdr:rowOff>47625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9E4308E3-F2F8-4CFC-AD0F-670193C9B88D}"/>
            </a:ext>
          </a:extLst>
        </xdr:cNvPr>
        <xdr:cNvSpPr>
          <a:spLocks noChangeAspect="1" noChangeArrowheads="1"/>
        </xdr:cNvSpPr>
      </xdr:nvSpPr>
      <xdr:spPr bwMode="auto">
        <a:xfrm>
          <a:off x="4486275" y="2238375"/>
          <a:ext cx="1897986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38100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E5966E3-2CE2-4036-A67C-0CD2AA066559}"/>
            </a:ext>
          </a:extLst>
        </xdr:cNvPr>
        <xdr:cNvSpPr>
          <a:spLocks noChangeAspect="1" noChangeArrowheads="1"/>
        </xdr:cNvSpPr>
      </xdr:nvSpPr>
      <xdr:spPr bwMode="auto">
        <a:xfrm>
          <a:off x="4486275" y="285750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496855"/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6AA522F-C050-469C-AAC8-72859DBB42F2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2238375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438150"/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F93BDD7-C5C1-45C4-A4B9-95D8111BC56A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2238375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276225</xdr:colOff>
      <xdr:row>4</xdr:row>
      <xdr:rowOff>66676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81A01-9484-4711-B66F-ACBC4BB46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247775" cy="923924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6CE0F86-5DA5-40C1-B615-2DE0AD2C716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63100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8D844C1F-7F99-4DE9-A2BC-012C40594FB2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373986</xdr:colOff>
      <xdr:row>22</xdr:row>
      <xdr:rowOff>85725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80C123A8-FE17-44D3-8104-E27843816915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2238375"/>
          <a:ext cx="1897986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13</xdr:row>
      <xdr:rowOff>38100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B9FDD683-4357-4C6A-8CED-4E02BE98D039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2857500"/>
          <a:ext cx="3048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0FE0A2C-820D-4B4B-BB86-F86DA1043B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63100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DF846CFB-196E-4481-B97F-8467281EA77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63100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FACFA4E1-175B-41E8-89D3-989E602A1133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373986</xdr:colOff>
      <xdr:row>20</xdr:row>
      <xdr:rowOff>0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586BFF1B-FE2D-48B5-BFF0-FBA22EB679B2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2238375"/>
          <a:ext cx="1897986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115855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4CEF9809-84BB-48A8-ADCE-196334A66750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2857500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4A38A65B-DE11-4127-9B49-9D345B4588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63100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341194</xdr:colOff>
      <xdr:row>491</xdr:row>
      <xdr:rowOff>211128</xdr:rowOff>
    </xdr:from>
    <xdr:to>
      <xdr:col>2</xdr:col>
      <xdr:colOff>1176399</xdr:colOff>
      <xdr:row>501</xdr:row>
      <xdr:rowOff>146254</xdr:rowOff>
    </xdr:to>
    <xdr:pic>
      <xdr:nvPicPr>
        <xdr:cNvPr id="13" name="Picture 4" descr="C:\Users\c07850\Desktop\001 - Copy.png">
          <a:extLst>
            <a:ext uri="{FF2B5EF4-FFF2-40B4-BE49-F238E27FC236}">
              <a16:creationId xmlns:a16="http://schemas.microsoft.com/office/drawing/2014/main" id="{EA3299CF-1E38-4400-AB85-B7E794CC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284169" y="110186778"/>
          <a:ext cx="1635305" cy="219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373986</xdr:colOff>
      <xdr:row>17</xdr:row>
      <xdr:rowOff>161925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8EAF2178-4886-4176-803F-D5DCBDD2B2E7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2238375"/>
          <a:ext cx="1897986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57150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A15AF567-0D9F-439F-AC07-E09B29EB20E5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285750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496855"/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76591DE2-4705-4B7C-B08A-E7228C30E72B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3057525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438150"/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1E98EBEE-EC57-467C-B229-7F27C678B7DE}"/>
            </a:ext>
          </a:extLst>
        </xdr:cNvPr>
        <xdr:cNvSpPr>
          <a:spLocks noChangeAspect="1" noChangeArrowheads="1"/>
        </xdr:cNvSpPr>
      </xdr:nvSpPr>
      <xdr:spPr bwMode="auto">
        <a:xfrm>
          <a:off x="13335000" y="3057525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457200</xdr:colOff>
      <xdr:row>5</xdr:row>
      <xdr:rowOff>66676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0C4C79-AB42-4AEA-B059-615E02585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428750" cy="1114424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896B2F3-78D1-418C-AD50-5C535CF80D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1040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EDF0ADEC-10F8-45C3-BE24-8C27CD3A9B17}"/>
            </a:ext>
          </a:extLst>
        </xdr:cNvPr>
        <xdr:cNvSpPr>
          <a:spLocks noChangeAspect="1" noChangeArrowheads="1"/>
        </xdr:cNvSpPr>
      </xdr:nvSpPr>
      <xdr:spPr bwMode="auto">
        <a:xfrm>
          <a:off x="87058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735936</xdr:colOff>
      <xdr:row>23</xdr:row>
      <xdr:rowOff>57150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CF492237-6581-48D3-859E-507BFA7A839E}"/>
            </a:ext>
          </a:extLst>
        </xdr:cNvPr>
        <xdr:cNvSpPr>
          <a:spLocks noChangeAspect="1" noChangeArrowheads="1"/>
        </xdr:cNvSpPr>
      </xdr:nvSpPr>
      <xdr:spPr bwMode="auto">
        <a:xfrm>
          <a:off x="8705850" y="2124075"/>
          <a:ext cx="2259936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13</xdr:row>
      <xdr:rowOff>66675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7ABA31CF-385A-4E7B-8F56-AED48337E06C}"/>
            </a:ext>
          </a:extLst>
        </xdr:cNvPr>
        <xdr:cNvSpPr>
          <a:spLocks noChangeAspect="1" noChangeArrowheads="1"/>
        </xdr:cNvSpPr>
      </xdr:nvSpPr>
      <xdr:spPr bwMode="auto">
        <a:xfrm>
          <a:off x="8705850" y="2743200"/>
          <a:ext cx="3048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10B2476A-1635-40F4-8423-D88E6774A36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1040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BF4BD8AC-90E4-4EA2-BD89-E6A7158C739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1040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FBEEE6A5-8860-4A22-B0EE-24B6822FE09B}"/>
            </a:ext>
          </a:extLst>
        </xdr:cNvPr>
        <xdr:cNvSpPr>
          <a:spLocks noChangeAspect="1" noChangeArrowheads="1"/>
        </xdr:cNvSpPr>
      </xdr:nvSpPr>
      <xdr:spPr bwMode="auto">
        <a:xfrm>
          <a:off x="87058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735936</xdr:colOff>
      <xdr:row>20</xdr:row>
      <xdr:rowOff>142875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5233CDCB-91CF-4C48-BF6E-9E5BA274DA5C}"/>
            </a:ext>
          </a:extLst>
        </xdr:cNvPr>
        <xdr:cNvSpPr>
          <a:spLocks noChangeAspect="1" noChangeArrowheads="1"/>
        </xdr:cNvSpPr>
      </xdr:nvSpPr>
      <xdr:spPr bwMode="auto">
        <a:xfrm>
          <a:off x="8705850" y="2124075"/>
          <a:ext cx="2259936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134905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EC85F87B-481C-491E-9BC6-4BFBF91C5CE9}"/>
            </a:ext>
          </a:extLst>
        </xdr:cNvPr>
        <xdr:cNvSpPr>
          <a:spLocks noChangeAspect="1" noChangeArrowheads="1"/>
        </xdr:cNvSpPr>
      </xdr:nvSpPr>
      <xdr:spPr bwMode="auto">
        <a:xfrm>
          <a:off x="8705850" y="2743200"/>
          <a:ext cx="304800" cy="51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6326DAE9-C38A-4BA5-9A5E-CE4D387342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1040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341194</xdr:colOff>
      <xdr:row>491</xdr:row>
      <xdr:rowOff>211128</xdr:rowOff>
    </xdr:from>
    <xdr:to>
      <xdr:col>2</xdr:col>
      <xdr:colOff>1719324</xdr:colOff>
      <xdr:row>502</xdr:row>
      <xdr:rowOff>31954</xdr:rowOff>
    </xdr:to>
    <xdr:pic>
      <xdr:nvPicPr>
        <xdr:cNvPr id="13" name="Picture 4" descr="C:\Users\c07850\Desktop\001 - Copy.png">
          <a:extLst>
            <a:ext uri="{FF2B5EF4-FFF2-40B4-BE49-F238E27FC236}">
              <a16:creationId xmlns:a16="http://schemas.microsoft.com/office/drawing/2014/main" id="{1039F5F4-0FCC-4058-9908-11A3B753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493719" y="110072478"/>
          <a:ext cx="1997255" cy="2316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12</xdr:col>
      <xdr:colOff>735936</xdr:colOff>
      <xdr:row>18</xdr:row>
      <xdr:rowOff>85725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ED6B9EF5-19C3-4E19-994F-0C4B7BE09B90}"/>
            </a:ext>
          </a:extLst>
        </xdr:cNvPr>
        <xdr:cNvSpPr>
          <a:spLocks noChangeAspect="1" noChangeArrowheads="1"/>
        </xdr:cNvSpPr>
      </xdr:nvSpPr>
      <xdr:spPr bwMode="auto">
        <a:xfrm>
          <a:off x="8705850" y="2124075"/>
          <a:ext cx="2259936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76200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617D870-9BDE-40B5-A21C-8B2F7228BAD8}"/>
            </a:ext>
          </a:extLst>
        </xdr:cNvPr>
        <xdr:cNvSpPr>
          <a:spLocks noChangeAspect="1" noChangeArrowheads="1"/>
        </xdr:cNvSpPr>
      </xdr:nvSpPr>
      <xdr:spPr bwMode="auto">
        <a:xfrm>
          <a:off x="8705850" y="274320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496855"/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1C295CD0-4448-44B9-ADEE-87ADC7AD5EF8}"/>
            </a:ext>
          </a:extLst>
        </xdr:cNvPr>
        <xdr:cNvSpPr>
          <a:spLocks noChangeAspect="1" noChangeArrowheads="1"/>
        </xdr:cNvSpPr>
      </xdr:nvSpPr>
      <xdr:spPr bwMode="auto">
        <a:xfrm>
          <a:off x="8705850" y="2943225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438150"/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92D0932C-A407-478F-A854-179FE5A1B382}"/>
            </a:ext>
          </a:extLst>
        </xdr:cNvPr>
        <xdr:cNvSpPr>
          <a:spLocks noChangeAspect="1" noChangeArrowheads="1"/>
        </xdr:cNvSpPr>
      </xdr:nvSpPr>
      <xdr:spPr bwMode="auto">
        <a:xfrm>
          <a:off x="8705850" y="2943225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819150</xdr:colOff>
      <xdr:row>6</xdr:row>
      <xdr:rowOff>476251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85EC3E-79CF-438B-A475-7360C6FA9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609725" cy="1352549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B2DF0C6-30B5-4099-8134-23F7C7E48C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53375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72495503-B8B3-42AC-8691-A741BD74791C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13</xdr:col>
      <xdr:colOff>335886</xdr:colOff>
      <xdr:row>24</xdr:row>
      <xdr:rowOff>38100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DBB280C3-871D-42A2-A76D-119E08C06EE3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124075"/>
          <a:ext cx="2621886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13</xdr:row>
      <xdr:rowOff>95250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996DD04F-070F-4B35-AAA3-82C2EC79E113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743200"/>
          <a:ext cx="3048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8238818-E8F2-41C2-8C8A-8E1374ECDE1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53375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E2BBD4DD-0866-4212-BE6D-44C3C05DAB3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53375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4FAF1792-594C-4601-B7F0-F55FC4069238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13</xdr:col>
      <xdr:colOff>335886</xdr:colOff>
      <xdr:row>21</xdr:row>
      <xdr:rowOff>95250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5F2868AC-62B1-49A8-9A75-AD582C4E174B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124075"/>
          <a:ext cx="2621886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153955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AFABE8F1-A2A6-4450-AE1B-93A5093BCCAC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743200"/>
          <a:ext cx="304800" cy="53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8E2CE154-65DB-4871-B734-6409686C3D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53375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341194</xdr:colOff>
      <xdr:row>491</xdr:row>
      <xdr:rowOff>211128</xdr:rowOff>
    </xdr:from>
    <xdr:to>
      <xdr:col>2</xdr:col>
      <xdr:colOff>2262249</xdr:colOff>
      <xdr:row>502</xdr:row>
      <xdr:rowOff>155779</xdr:rowOff>
    </xdr:to>
    <xdr:pic>
      <xdr:nvPicPr>
        <xdr:cNvPr id="13" name="Picture 4" descr="C:\Users\c07850\Desktop\001 - Copy.png">
          <a:extLst>
            <a:ext uri="{FF2B5EF4-FFF2-40B4-BE49-F238E27FC236}">
              <a16:creationId xmlns:a16="http://schemas.microsoft.com/office/drawing/2014/main" id="{2D9DC1D9-37D6-4111-969E-A332A156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493719" y="108872328"/>
          <a:ext cx="2540180" cy="244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13</xdr:col>
      <xdr:colOff>335886</xdr:colOff>
      <xdr:row>19</xdr:row>
      <xdr:rowOff>19050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7FDF736D-5EC5-4AB5-A2DB-1CE0598EB311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124075"/>
          <a:ext cx="2621886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12</xdr:row>
      <xdr:rowOff>95250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20A5F7A-2C8B-4FB9-B9CB-9B6FEDE23293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743200"/>
          <a:ext cx="3048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496855"/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681E3A33-A577-4757-B7CE-5D41C51032E3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943225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438150"/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E2080E99-E6ED-4217-936A-5155B6585899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943225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65F9B-06B4-4F86-B136-2CD8C0BE6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2125" cy="1000125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C295C8E-B9A2-4748-B23B-BCA8DE06524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53375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1920FDE3-42FF-4D65-8BAA-A05A60B20D4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18</xdr:col>
      <xdr:colOff>116811</xdr:colOff>
      <xdr:row>25</xdr:row>
      <xdr:rowOff>28575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1B88DB7F-7630-4834-90E4-28F937C77202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124075"/>
          <a:ext cx="3164811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12</xdr:col>
      <xdr:colOff>304800</xdr:colOff>
      <xdr:row>13</xdr:row>
      <xdr:rowOff>123825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97D9440-81A3-413B-89A8-5300C794026B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7432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7C7DA473-C889-472C-BD26-41009F02D1E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53375" y="99342"/>
          <a:ext cx="9429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742950</xdr:colOff>
      <xdr:row>1</xdr:row>
      <xdr:rowOff>28575</xdr:rowOff>
    </xdr:from>
    <xdr:to>
      <xdr:col>15</xdr:col>
      <xdr:colOff>104775</xdr:colOff>
      <xdr:row>2</xdr:row>
      <xdr:rowOff>152400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274024BC-DA23-487B-948A-8F5F0BD9A7FC}"/>
            </a:ext>
          </a:extLst>
        </xdr:cNvPr>
        <xdr:cNvSpPr>
          <a:spLocks noChangeAspect="1" noChangeArrowheads="1"/>
        </xdr:cNvSpPr>
      </xdr:nvSpPr>
      <xdr:spPr bwMode="auto">
        <a:xfrm>
          <a:off x="6724650" y="26670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18</xdr:col>
      <xdr:colOff>116811</xdr:colOff>
      <xdr:row>22</xdr:row>
      <xdr:rowOff>57150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209ED9EB-F90E-4E0F-86C0-579F3E8203D7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124075"/>
          <a:ext cx="3164811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12</xdr:col>
      <xdr:colOff>304800</xdr:colOff>
      <xdr:row>12</xdr:row>
      <xdr:rowOff>173005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274123C3-32BE-4FE0-92EB-5BD25C4845DB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743200"/>
          <a:ext cx="304800" cy="55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18</xdr:col>
      <xdr:colOff>116811</xdr:colOff>
      <xdr:row>19</xdr:row>
      <xdr:rowOff>152400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A78B928F-383C-4CD1-B223-BB8FC30CD56B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124075"/>
          <a:ext cx="3164811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12</xdr:col>
      <xdr:colOff>304800</xdr:colOff>
      <xdr:row>12</xdr:row>
      <xdr:rowOff>114300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82C94D1-CC32-4636-9D0F-BB54175669B7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7432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496855"/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438E8E2D-4693-42DC-821A-72DB88BEC53B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943225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438150"/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9126C012-3787-41F7-AB36-777B03B28D75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943225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601652</xdr:colOff>
      <xdr:row>0</xdr:row>
      <xdr:rowOff>123826</xdr:rowOff>
    </xdr:from>
    <xdr:to>
      <xdr:col>15</xdr:col>
      <xdr:colOff>742950</xdr:colOff>
      <xdr:row>4</xdr:row>
      <xdr:rowOff>162684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1352" y="123826"/>
          <a:ext cx="1846273" cy="991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10</xdr:col>
      <xdr:colOff>371475</xdr:colOff>
      <xdr:row>13</xdr:row>
      <xdr:rowOff>9525</xdr:rowOff>
    </xdr:to>
    <xdr:sp macro="" textlink="">
      <xdr:nvSpPr>
        <xdr:cNvPr id="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714500"/>
          <a:ext cx="11334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114300</xdr:rowOff>
    </xdr:to>
    <xdr:sp macro="" textlink="">
      <xdr:nvSpPr>
        <xdr:cNvPr id="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1739900</xdr:colOff>
      <xdr:row>4</xdr:row>
      <xdr:rowOff>171449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9900" cy="933449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48750" y="99342"/>
          <a:ext cx="1438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91453</xdr:colOff>
      <xdr:row>254</xdr:row>
      <xdr:rowOff>152400</xdr:rowOff>
    </xdr:from>
    <xdr:to>
      <xdr:col>0</xdr:col>
      <xdr:colOff>2094069</xdr:colOff>
      <xdr:row>261</xdr:row>
      <xdr:rowOff>104438</xdr:rowOff>
    </xdr:to>
    <xdr:pic>
      <xdr:nvPicPr>
        <xdr:cNvPr id="6" name="Picture 4" descr="C:\Users\c07850\Desktop\001 - Copy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91453" y="51825525"/>
          <a:ext cx="2002616" cy="135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10</xdr:col>
      <xdr:colOff>371475</xdr:colOff>
      <xdr:row>13</xdr:row>
      <xdr:rowOff>66675</xdr:rowOff>
    </xdr:to>
    <xdr:sp macro="" textlink="">
      <xdr:nvSpPr>
        <xdr:cNvPr id="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714500"/>
          <a:ext cx="11334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123825</xdr:rowOff>
    </xdr:to>
    <xdr:sp macro="" textlink="">
      <xdr:nvSpPr>
        <xdr:cNvPr id="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5146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171251</xdr:rowOff>
    </xdr:from>
    <xdr:to>
      <xdr:col>0</xdr:col>
      <xdr:colOff>1739900</xdr:colOff>
      <xdr:row>4</xdr:row>
      <xdr:rowOff>190697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51"/>
          <a:ext cx="1739900" cy="924321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48750" y="99342"/>
          <a:ext cx="1438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1758329</xdr:colOff>
      <xdr:row>246</xdr:row>
      <xdr:rowOff>209550</xdr:rowOff>
    </xdr:from>
    <xdr:to>
      <xdr:col>2</xdr:col>
      <xdr:colOff>84295</xdr:colOff>
      <xdr:row>253</xdr:row>
      <xdr:rowOff>66338</xdr:rowOff>
    </xdr:to>
    <xdr:pic>
      <xdr:nvPicPr>
        <xdr:cNvPr id="7" name="Picture 4" descr="C:\Users\c07850\Desktop\001 - Copy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758329" y="49615725"/>
          <a:ext cx="2002616" cy="135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10</xdr:col>
      <xdr:colOff>523875</xdr:colOff>
      <xdr:row>14</xdr:row>
      <xdr:rowOff>123825</xdr:rowOff>
    </xdr:to>
    <xdr:sp macro="" textlink="">
      <xdr:nvSpPr>
        <xdr:cNvPr id="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905000"/>
          <a:ext cx="113347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133350</xdr:rowOff>
    </xdr:to>
    <xdr:sp macro="" textlink="">
      <xdr:nvSpPr>
        <xdr:cNvPr id="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50507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171251</xdr:rowOff>
    </xdr:from>
    <xdr:to>
      <xdr:col>0</xdr:col>
      <xdr:colOff>2044700</xdr:colOff>
      <xdr:row>5</xdr:row>
      <xdr:rowOff>143072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51"/>
          <a:ext cx="1739900" cy="924321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63050" y="99342"/>
          <a:ext cx="1438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1766081</xdr:colOff>
      <xdr:row>319</xdr:row>
      <xdr:rowOff>17479</xdr:rowOff>
    </xdr:from>
    <xdr:to>
      <xdr:col>1</xdr:col>
      <xdr:colOff>756882</xdr:colOff>
      <xdr:row>326</xdr:row>
      <xdr:rowOff>149026</xdr:rowOff>
    </xdr:to>
    <xdr:pic>
      <xdr:nvPicPr>
        <xdr:cNvPr id="6" name="Picture 4" descr="C:\Users\c07850\Desktop\001 - Copy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766081" y="63629825"/>
          <a:ext cx="1137589" cy="1487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523875</xdr:colOff>
      <xdr:row>13</xdr:row>
      <xdr:rowOff>130420</xdr:rowOff>
    </xdr:to>
    <xdr:sp macro="" textlink="">
      <xdr:nvSpPr>
        <xdr:cNvPr id="7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905000"/>
          <a:ext cx="12858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133350</xdr:rowOff>
    </xdr:to>
    <xdr:sp macro="" textlink="">
      <xdr:nvSpPr>
        <xdr:cNvPr id="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30505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171251</xdr:rowOff>
    </xdr:from>
    <xdr:to>
      <xdr:col>0</xdr:col>
      <xdr:colOff>2044700</xdr:colOff>
      <xdr:row>5</xdr:row>
      <xdr:rowOff>143072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51"/>
          <a:ext cx="2044700" cy="1114821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63050" y="99342"/>
          <a:ext cx="1438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10</xdr:col>
      <xdr:colOff>711444</xdr:colOff>
      <xdr:row>14</xdr:row>
      <xdr:rowOff>180975</xdr:rowOff>
    </xdr:to>
    <xdr:sp macro="" textlink="">
      <xdr:nvSpPr>
        <xdr:cNvPr id="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782675" y="2095500"/>
          <a:ext cx="1282944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142875</xdr:rowOff>
    </xdr:to>
    <xdr:sp macro="" textlink="">
      <xdr:nvSpPr>
        <xdr:cNvPr id="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82675" y="2695575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171251</xdr:rowOff>
    </xdr:from>
    <xdr:to>
      <xdr:col>1</xdr:col>
      <xdr:colOff>1514475</xdr:colOff>
      <xdr:row>6</xdr:row>
      <xdr:rowOff>143072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51"/>
          <a:ext cx="2044700" cy="1114821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63050" y="99342"/>
          <a:ext cx="1438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1753311</xdr:colOff>
      <xdr:row>334</xdr:row>
      <xdr:rowOff>45912</xdr:rowOff>
    </xdr:from>
    <xdr:to>
      <xdr:col>1</xdr:col>
      <xdr:colOff>1325126</xdr:colOff>
      <xdr:row>341</xdr:row>
      <xdr:rowOff>105736</xdr:rowOff>
    </xdr:to>
    <xdr:pic>
      <xdr:nvPicPr>
        <xdr:cNvPr id="6" name="Picture 4" descr="C:\Users\c07850\Desktop\001 - Copy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753311" y="66847912"/>
          <a:ext cx="1324415" cy="1482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12</xdr:col>
      <xdr:colOff>254244</xdr:colOff>
      <xdr:row>15</xdr:row>
      <xdr:rowOff>47625</xdr:rowOff>
    </xdr:to>
    <xdr:sp macro="" textlink="">
      <xdr:nvSpPr>
        <xdr:cNvPr id="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886575" y="2200275"/>
          <a:ext cx="1587744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10</xdr:col>
      <xdr:colOff>304800</xdr:colOff>
      <xdr:row>12</xdr:row>
      <xdr:rowOff>152400</xdr:rowOff>
    </xdr:to>
    <xdr:sp macro="" textlink="">
      <xdr:nvSpPr>
        <xdr:cNvPr id="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886575" y="28003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647700</xdr:colOff>
      <xdr:row>0</xdr:row>
      <xdr:rowOff>0</xdr:rowOff>
    </xdr:from>
    <xdr:to>
      <xdr:col>1</xdr:col>
      <xdr:colOff>957263</xdr:colOff>
      <xdr:row>4</xdr:row>
      <xdr:rowOff>47625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0"/>
          <a:ext cx="1371600" cy="95250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86575" y="99342"/>
          <a:ext cx="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1753311</xdr:colOff>
      <xdr:row>333</xdr:row>
      <xdr:rowOff>45912</xdr:rowOff>
    </xdr:from>
    <xdr:to>
      <xdr:col>1</xdr:col>
      <xdr:colOff>1633101</xdr:colOff>
      <xdr:row>340</xdr:row>
      <xdr:rowOff>172410</xdr:rowOff>
    </xdr:to>
    <xdr:pic>
      <xdr:nvPicPr>
        <xdr:cNvPr id="6" name="Picture 4" descr="C:\Users\c07850\Desktop\001 - Copy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991311" y="67435287"/>
          <a:ext cx="1324415" cy="1459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14</xdr:row>
      <xdr:rowOff>114300</xdr:rowOff>
    </xdr:to>
    <xdr:sp macro="" textlink="">
      <xdr:nvSpPr>
        <xdr:cNvPr id="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2200275"/>
          <a:ext cx="1892544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161925</xdr:rowOff>
    </xdr:to>
    <xdr:sp macro="" textlink="">
      <xdr:nvSpPr>
        <xdr:cNvPr id="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280035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3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7775" cy="89535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00950" y="99342"/>
          <a:ext cx="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1753311</xdr:colOff>
      <xdr:row>332</xdr:row>
      <xdr:rowOff>45912</xdr:rowOff>
    </xdr:from>
    <xdr:to>
      <xdr:col>2</xdr:col>
      <xdr:colOff>347226</xdr:colOff>
      <xdr:row>338</xdr:row>
      <xdr:rowOff>220035</xdr:rowOff>
    </xdr:to>
    <xdr:pic>
      <xdr:nvPicPr>
        <xdr:cNvPr id="6" name="Picture 4" descr="C:\Users\c07850\Desktop\001 - Copy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067511" y="67235262"/>
          <a:ext cx="1632390" cy="1526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7775" cy="89535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14</xdr:row>
      <xdr:rowOff>171450</xdr:rowOff>
    </xdr:to>
    <xdr:sp macro="" textlink="">
      <xdr:nvSpPr>
        <xdr:cNvPr id="6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161925</xdr:rowOff>
    </xdr:to>
    <xdr:sp macro="" textlink="">
      <xdr:nvSpPr>
        <xdr:cNvPr id="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765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3</xdr:row>
      <xdr:rowOff>85725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7775" cy="89535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1753311</xdr:colOff>
      <xdr:row>391</xdr:row>
      <xdr:rowOff>45912</xdr:rowOff>
    </xdr:from>
    <xdr:to>
      <xdr:col>2</xdr:col>
      <xdr:colOff>347226</xdr:colOff>
      <xdr:row>397</xdr:row>
      <xdr:rowOff>220035</xdr:rowOff>
    </xdr:to>
    <xdr:pic>
      <xdr:nvPicPr>
        <xdr:cNvPr id="10" name="Picture 4" descr="C:\Users\c07850\Desktop\001 - Copy.pn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067511" y="69978462"/>
          <a:ext cx="1632390" cy="160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5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7775" cy="118110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123825</xdr:rowOff>
    </xdr:to>
    <xdr:sp macro="" textlink="">
      <xdr:nvSpPr>
        <xdr:cNvPr id="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16</xdr:row>
      <xdr:rowOff>57150</xdr:rowOff>
    </xdr:to>
    <xdr:sp macro="" textlink="">
      <xdr:nvSpPr>
        <xdr:cNvPr id="6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12</xdr:row>
      <xdr:rowOff>9525</xdr:rowOff>
    </xdr:to>
    <xdr:sp macro="" textlink="">
      <xdr:nvSpPr>
        <xdr:cNvPr id="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9560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4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7775" cy="89535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9075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1753311</xdr:colOff>
      <xdr:row>398</xdr:row>
      <xdr:rowOff>45912</xdr:rowOff>
    </xdr:from>
    <xdr:to>
      <xdr:col>2</xdr:col>
      <xdr:colOff>347226</xdr:colOff>
      <xdr:row>406</xdr:row>
      <xdr:rowOff>124785</xdr:rowOff>
    </xdr:to>
    <xdr:pic>
      <xdr:nvPicPr>
        <xdr:cNvPr id="10" name="Picture 4" descr="C:\Users\c07850\Desktop\001 - Copy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067511" y="85132737"/>
          <a:ext cx="1632390" cy="160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139944</xdr:colOff>
      <xdr:row>14</xdr:row>
      <xdr:rowOff>133350</xdr:rowOff>
    </xdr:to>
    <xdr:sp macro="" textlink="">
      <xdr:nvSpPr>
        <xdr:cNvPr id="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238375"/>
          <a:ext cx="1892544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161925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81940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7"/>
  <sheetViews>
    <sheetView zoomScaleNormal="100" workbookViewId="0">
      <selection activeCell="H91" sqref="H91"/>
    </sheetView>
  </sheetViews>
  <sheetFormatPr baseColWidth="10" defaultColWidth="11.42578125" defaultRowHeight="15" x14ac:dyDescent="0.25"/>
  <cols>
    <col min="1" max="1" width="32.140625" customWidth="1"/>
    <col min="2" max="2" width="23" customWidth="1"/>
    <col min="3" max="3" width="49.5703125" customWidth="1"/>
    <col min="4" max="4" width="14.140625" customWidth="1"/>
    <col min="5" max="5" width="17.140625" customWidth="1"/>
    <col min="6" max="6" width="22.42578125" customWidth="1"/>
  </cols>
  <sheetData>
    <row r="3" spans="1:6" ht="26.25" x14ac:dyDescent="0.4">
      <c r="A3" s="234" t="s">
        <v>0</v>
      </c>
      <c r="B3" s="234"/>
      <c r="C3" s="234"/>
      <c r="D3" s="234"/>
      <c r="E3" s="234"/>
      <c r="F3" s="234"/>
    </row>
    <row r="4" spans="1:6" x14ac:dyDescent="0.25">
      <c r="A4" s="235" t="s">
        <v>1</v>
      </c>
      <c r="B4" s="236"/>
      <c r="C4" s="236"/>
      <c r="D4" s="236"/>
      <c r="E4" s="236"/>
      <c r="F4" s="236"/>
    </row>
    <row r="5" spans="1:6" ht="18.75" x14ac:dyDescent="0.3">
      <c r="A5" s="237" t="s">
        <v>500</v>
      </c>
      <c r="B5" s="237"/>
      <c r="C5" s="237"/>
      <c r="D5" s="237"/>
      <c r="E5" s="237"/>
      <c r="F5" s="237"/>
    </row>
    <row r="7" spans="1:6" ht="30" x14ac:dyDescent="0.25">
      <c r="A7" s="5" t="s">
        <v>118</v>
      </c>
      <c r="B7" s="6" t="s">
        <v>9</v>
      </c>
      <c r="C7" s="5" t="s">
        <v>2</v>
      </c>
      <c r="D7" s="5" t="s">
        <v>3</v>
      </c>
      <c r="E7" s="5" t="s">
        <v>117</v>
      </c>
      <c r="F7" s="5" t="s">
        <v>4</v>
      </c>
    </row>
    <row r="8" spans="1:6" s="8" customFormat="1" ht="15.75" x14ac:dyDescent="0.25">
      <c r="A8" s="15" t="s">
        <v>10</v>
      </c>
      <c r="B8" s="16">
        <v>44193</v>
      </c>
      <c r="C8" s="25" t="s">
        <v>144</v>
      </c>
      <c r="D8" s="14">
        <v>9</v>
      </c>
      <c r="E8" s="13">
        <v>1005</v>
      </c>
      <c r="F8" s="17">
        <f t="shared" ref="F8:F71" si="0">D8*E8</f>
        <v>9045</v>
      </c>
    </row>
    <row r="9" spans="1:6" s="8" customFormat="1" ht="15.75" x14ac:dyDescent="0.25">
      <c r="A9" s="15" t="s">
        <v>11</v>
      </c>
      <c r="B9" s="16">
        <v>44193</v>
      </c>
      <c r="C9" s="25" t="s">
        <v>145</v>
      </c>
      <c r="D9" s="14">
        <v>1</v>
      </c>
      <c r="E9" s="13">
        <v>215</v>
      </c>
      <c r="F9" s="17">
        <f t="shared" si="0"/>
        <v>215</v>
      </c>
    </row>
    <row r="10" spans="1:6" s="8" customFormat="1" ht="15.75" x14ac:dyDescent="0.25">
      <c r="A10" s="15" t="s">
        <v>120</v>
      </c>
      <c r="B10" s="16">
        <v>44193</v>
      </c>
      <c r="C10" s="25" t="s">
        <v>476</v>
      </c>
      <c r="D10" s="14">
        <v>3</v>
      </c>
      <c r="E10" s="13">
        <v>12</v>
      </c>
      <c r="F10" s="17">
        <f t="shared" si="0"/>
        <v>36</v>
      </c>
    </row>
    <row r="11" spans="1:6" s="8" customFormat="1" ht="15.75" x14ac:dyDescent="0.25">
      <c r="A11" s="15" t="s">
        <v>12</v>
      </c>
      <c r="B11" s="16" t="s">
        <v>107</v>
      </c>
      <c r="C11" s="25" t="s">
        <v>146</v>
      </c>
      <c r="D11" s="18">
        <v>4</v>
      </c>
      <c r="E11" s="19">
        <v>118</v>
      </c>
      <c r="F11" s="17">
        <f t="shared" si="0"/>
        <v>472</v>
      </c>
    </row>
    <row r="12" spans="1:6" s="8" customFormat="1" ht="15.75" x14ac:dyDescent="0.25">
      <c r="A12" s="15" t="s">
        <v>121</v>
      </c>
      <c r="B12" s="16">
        <v>44193</v>
      </c>
      <c r="C12" s="25" t="s">
        <v>477</v>
      </c>
      <c r="D12" s="14">
        <v>1</v>
      </c>
      <c r="E12" s="13">
        <v>4.6399999999999997</v>
      </c>
      <c r="F12" s="17">
        <f t="shared" si="0"/>
        <v>4.6399999999999997</v>
      </c>
    </row>
    <row r="13" spans="1:6" s="8" customFormat="1" ht="15.75" x14ac:dyDescent="0.25">
      <c r="A13" s="15" t="s">
        <v>122</v>
      </c>
      <c r="B13" s="16">
        <v>44193</v>
      </c>
      <c r="C13" s="25" t="s">
        <v>478</v>
      </c>
      <c r="D13" s="14">
        <v>1</v>
      </c>
      <c r="E13" s="13">
        <v>5.6</v>
      </c>
      <c r="F13" s="17">
        <f t="shared" si="0"/>
        <v>5.6</v>
      </c>
    </row>
    <row r="14" spans="1:6" s="8" customFormat="1" ht="15.75" x14ac:dyDescent="0.25">
      <c r="A14" s="15" t="s">
        <v>123</v>
      </c>
      <c r="B14" s="16">
        <v>44193</v>
      </c>
      <c r="C14" s="25" t="s">
        <v>147</v>
      </c>
      <c r="D14" s="14">
        <v>40</v>
      </c>
      <c r="E14" s="13">
        <v>21.4</v>
      </c>
      <c r="F14" s="17">
        <f t="shared" si="0"/>
        <v>856</v>
      </c>
    </row>
    <row r="15" spans="1:6" s="8" customFormat="1" ht="15.75" x14ac:dyDescent="0.25">
      <c r="A15" s="15" t="s">
        <v>13</v>
      </c>
      <c r="B15" s="16">
        <v>44193</v>
      </c>
      <c r="C15" s="25" t="s">
        <v>148</v>
      </c>
      <c r="D15" s="14">
        <v>42</v>
      </c>
      <c r="E15" s="13">
        <v>48</v>
      </c>
      <c r="F15" s="17">
        <f t="shared" si="0"/>
        <v>2016</v>
      </c>
    </row>
    <row r="16" spans="1:6" s="8" customFormat="1" ht="15.75" x14ac:dyDescent="0.25">
      <c r="A16" s="15" t="s">
        <v>14</v>
      </c>
      <c r="B16" s="16" t="s">
        <v>107</v>
      </c>
      <c r="C16" s="25" t="s">
        <v>149</v>
      </c>
      <c r="D16" s="14">
        <v>6</v>
      </c>
      <c r="E16" s="21">
        <v>15.84</v>
      </c>
      <c r="F16" s="17">
        <f t="shared" si="0"/>
        <v>95.039999999999992</v>
      </c>
    </row>
    <row r="17" spans="1:6" s="8" customFormat="1" ht="15.75" x14ac:dyDescent="0.25">
      <c r="A17" s="15" t="s">
        <v>15</v>
      </c>
      <c r="B17" s="16">
        <v>44193</v>
      </c>
      <c r="C17" s="25" t="s">
        <v>474</v>
      </c>
      <c r="D17" s="30">
        <v>23</v>
      </c>
      <c r="E17" s="13">
        <v>5.46</v>
      </c>
      <c r="F17" s="17">
        <f t="shared" si="0"/>
        <v>125.58</v>
      </c>
    </row>
    <row r="18" spans="1:6" s="8" customFormat="1" ht="15.75" x14ac:dyDescent="0.25">
      <c r="A18" s="15" t="s">
        <v>124</v>
      </c>
      <c r="B18" s="16">
        <v>44193</v>
      </c>
      <c r="C18" s="25" t="s">
        <v>150</v>
      </c>
      <c r="D18" s="30">
        <v>1</v>
      </c>
      <c r="E18" s="22">
        <v>22.41</v>
      </c>
      <c r="F18" s="17">
        <f t="shared" si="0"/>
        <v>22.41</v>
      </c>
    </row>
    <row r="19" spans="1:6" s="8" customFormat="1" ht="15.75" x14ac:dyDescent="0.25">
      <c r="A19" s="15" t="s">
        <v>16</v>
      </c>
      <c r="B19" s="16" t="s">
        <v>107</v>
      </c>
      <c r="C19" s="25" t="s">
        <v>151</v>
      </c>
      <c r="D19" s="30">
        <v>42</v>
      </c>
      <c r="E19" s="21">
        <v>6.45</v>
      </c>
      <c r="F19" s="17">
        <f t="shared" si="0"/>
        <v>270.90000000000003</v>
      </c>
    </row>
    <row r="20" spans="1:6" s="8" customFormat="1" ht="15.75" x14ac:dyDescent="0.25">
      <c r="A20" s="15" t="s">
        <v>17</v>
      </c>
      <c r="B20" s="16">
        <v>44193</v>
      </c>
      <c r="C20" s="9" t="s">
        <v>152</v>
      </c>
      <c r="D20" s="31">
        <v>16</v>
      </c>
      <c r="E20" s="13">
        <v>48</v>
      </c>
      <c r="F20" s="17">
        <f t="shared" si="0"/>
        <v>768</v>
      </c>
    </row>
    <row r="21" spans="1:6" s="8" customFormat="1" ht="15.75" x14ac:dyDescent="0.25">
      <c r="A21" s="15" t="s">
        <v>18</v>
      </c>
      <c r="B21" s="16">
        <v>44193</v>
      </c>
      <c r="C21" s="25" t="s">
        <v>153</v>
      </c>
      <c r="D21" s="30">
        <v>9</v>
      </c>
      <c r="E21" s="13">
        <v>15</v>
      </c>
      <c r="F21" s="17">
        <f t="shared" si="0"/>
        <v>135</v>
      </c>
    </row>
    <row r="22" spans="1:6" s="8" customFormat="1" ht="15.75" x14ac:dyDescent="0.25">
      <c r="A22" s="15" t="s">
        <v>19</v>
      </c>
      <c r="B22" s="16">
        <v>44193</v>
      </c>
      <c r="C22" s="26" t="s">
        <v>154</v>
      </c>
      <c r="D22" s="30">
        <v>5</v>
      </c>
      <c r="E22" s="13">
        <v>9</v>
      </c>
      <c r="F22" s="17">
        <f t="shared" si="0"/>
        <v>45</v>
      </c>
    </row>
    <row r="23" spans="1:6" s="8" customFormat="1" ht="15.75" x14ac:dyDescent="0.25">
      <c r="A23" s="15" t="s">
        <v>20</v>
      </c>
      <c r="B23" s="16">
        <v>44193</v>
      </c>
      <c r="C23" s="26" t="s">
        <v>479</v>
      </c>
      <c r="D23" s="30">
        <v>1</v>
      </c>
      <c r="E23" s="13">
        <v>15</v>
      </c>
      <c r="F23" s="17">
        <f t="shared" si="0"/>
        <v>15</v>
      </c>
    </row>
    <row r="24" spans="1:6" s="8" customFormat="1" ht="15.75" x14ac:dyDescent="0.25">
      <c r="A24" s="15" t="s">
        <v>21</v>
      </c>
      <c r="B24" s="16" t="s">
        <v>107</v>
      </c>
      <c r="C24" s="26" t="s">
        <v>155</v>
      </c>
      <c r="D24" s="30">
        <v>1</v>
      </c>
      <c r="E24" s="21">
        <v>15</v>
      </c>
      <c r="F24" s="17">
        <f t="shared" si="0"/>
        <v>15</v>
      </c>
    </row>
    <row r="25" spans="1:6" s="8" customFormat="1" ht="15.75" x14ac:dyDescent="0.25">
      <c r="A25" s="15" t="s">
        <v>22</v>
      </c>
      <c r="B25" s="16" t="s">
        <v>107</v>
      </c>
      <c r="C25" s="26" t="s">
        <v>156</v>
      </c>
      <c r="D25" s="30">
        <v>1</v>
      </c>
      <c r="E25" s="21">
        <v>5.17</v>
      </c>
      <c r="F25" s="17">
        <f t="shared" si="0"/>
        <v>5.17</v>
      </c>
    </row>
    <row r="26" spans="1:6" s="8" customFormat="1" ht="15.75" x14ac:dyDescent="0.25">
      <c r="A26" s="15" t="s">
        <v>23</v>
      </c>
      <c r="B26" s="16">
        <v>44193</v>
      </c>
      <c r="C26" s="26" t="s">
        <v>157</v>
      </c>
      <c r="D26" s="30">
        <v>5</v>
      </c>
      <c r="E26" s="13">
        <v>15</v>
      </c>
      <c r="F26" s="17">
        <f t="shared" si="0"/>
        <v>75</v>
      </c>
    </row>
    <row r="27" spans="1:6" s="8" customFormat="1" ht="15.75" x14ac:dyDescent="0.25">
      <c r="A27" s="15" t="s">
        <v>24</v>
      </c>
      <c r="B27" s="16">
        <v>44193</v>
      </c>
      <c r="C27" s="26" t="s">
        <v>158</v>
      </c>
      <c r="D27" s="30">
        <v>8</v>
      </c>
      <c r="E27" s="13">
        <v>45.95</v>
      </c>
      <c r="F27" s="17">
        <f t="shared" si="0"/>
        <v>367.6</v>
      </c>
    </row>
    <row r="28" spans="1:6" s="8" customFormat="1" ht="15.75" x14ac:dyDescent="0.25">
      <c r="A28" s="15" t="s">
        <v>110</v>
      </c>
      <c r="B28" s="16">
        <v>44193</v>
      </c>
      <c r="C28" s="9" t="s">
        <v>159</v>
      </c>
      <c r="D28" s="30">
        <v>50</v>
      </c>
      <c r="E28" s="13">
        <v>11</v>
      </c>
      <c r="F28" s="17">
        <f t="shared" si="0"/>
        <v>550</v>
      </c>
    </row>
    <row r="29" spans="1:6" s="8" customFormat="1" ht="15.75" x14ac:dyDescent="0.25">
      <c r="A29" s="15" t="s">
        <v>125</v>
      </c>
      <c r="B29" s="16">
        <v>44193</v>
      </c>
      <c r="C29" s="9" t="s">
        <v>160</v>
      </c>
      <c r="D29" s="30">
        <v>13</v>
      </c>
      <c r="E29" s="13">
        <v>2.4500000000000002</v>
      </c>
      <c r="F29" s="17">
        <f t="shared" si="0"/>
        <v>31.85</v>
      </c>
    </row>
    <row r="30" spans="1:6" s="8" customFormat="1" ht="15.75" x14ac:dyDescent="0.25">
      <c r="A30" s="15" t="s">
        <v>25</v>
      </c>
      <c r="B30" s="16">
        <v>44193</v>
      </c>
      <c r="C30" s="9" t="s">
        <v>161</v>
      </c>
      <c r="D30" s="30">
        <v>12</v>
      </c>
      <c r="E30" s="13">
        <v>63.14</v>
      </c>
      <c r="F30" s="17">
        <f t="shared" si="0"/>
        <v>757.68000000000006</v>
      </c>
    </row>
    <row r="31" spans="1:6" s="8" customFormat="1" ht="15.75" x14ac:dyDescent="0.25">
      <c r="A31" s="15" t="s">
        <v>126</v>
      </c>
      <c r="B31" s="16">
        <v>44193</v>
      </c>
      <c r="C31" s="9" t="s">
        <v>162</v>
      </c>
      <c r="D31" s="30">
        <v>93</v>
      </c>
      <c r="E31" s="13">
        <v>200</v>
      </c>
      <c r="F31" s="17">
        <f t="shared" si="0"/>
        <v>18600</v>
      </c>
    </row>
    <row r="32" spans="1:6" s="8" customFormat="1" ht="15.75" x14ac:dyDescent="0.25">
      <c r="A32" s="15" t="s">
        <v>26</v>
      </c>
      <c r="B32" s="16">
        <v>44193</v>
      </c>
      <c r="C32" s="9" t="s">
        <v>163</v>
      </c>
      <c r="D32" s="30">
        <v>113</v>
      </c>
      <c r="E32" s="13">
        <v>350</v>
      </c>
      <c r="F32" s="17">
        <f t="shared" si="0"/>
        <v>39550</v>
      </c>
    </row>
    <row r="33" spans="1:6" s="8" customFormat="1" ht="15.75" x14ac:dyDescent="0.25">
      <c r="A33" s="15" t="s">
        <v>27</v>
      </c>
      <c r="B33" s="16">
        <v>44193</v>
      </c>
      <c r="C33" s="9" t="s">
        <v>164</v>
      </c>
      <c r="D33" s="30">
        <v>2</v>
      </c>
      <c r="E33" s="13">
        <v>68</v>
      </c>
      <c r="F33" s="17">
        <f t="shared" si="0"/>
        <v>136</v>
      </c>
    </row>
    <row r="34" spans="1:6" s="8" customFormat="1" ht="15.75" x14ac:dyDescent="0.25">
      <c r="A34" s="15" t="s">
        <v>28</v>
      </c>
      <c r="B34" s="16">
        <v>44193</v>
      </c>
      <c r="C34" s="26" t="s">
        <v>480</v>
      </c>
      <c r="D34" s="32">
        <v>2</v>
      </c>
      <c r="E34" s="13">
        <v>15.08</v>
      </c>
      <c r="F34" s="17">
        <f t="shared" si="0"/>
        <v>30.16</v>
      </c>
    </row>
    <row r="35" spans="1:6" s="8" customFormat="1" ht="15.75" x14ac:dyDescent="0.25">
      <c r="A35" s="15" t="s">
        <v>127</v>
      </c>
      <c r="B35" s="16">
        <v>44193</v>
      </c>
      <c r="C35" s="26" t="s">
        <v>481</v>
      </c>
      <c r="D35" s="32">
        <v>6</v>
      </c>
      <c r="E35" s="13">
        <v>3400</v>
      </c>
      <c r="F35" s="17">
        <f t="shared" si="0"/>
        <v>20400</v>
      </c>
    </row>
    <row r="36" spans="1:6" s="8" customFormat="1" ht="15.75" x14ac:dyDescent="0.25">
      <c r="A36" s="15" t="s">
        <v>29</v>
      </c>
      <c r="B36" s="16">
        <v>44193</v>
      </c>
      <c r="C36" s="26" t="s">
        <v>165</v>
      </c>
      <c r="D36" s="32">
        <v>11</v>
      </c>
      <c r="E36" s="13">
        <v>3000</v>
      </c>
      <c r="F36" s="17">
        <f t="shared" si="0"/>
        <v>33000</v>
      </c>
    </row>
    <row r="37" spans="1:6" s="8" customFormat="1" ht="15.75" x14ac:dyDescent="0.25">
      <c r="A37" s="15" t="s">
        <v>30</v>
      </c>
      <c r="B37" s="16">
        <v>44193</v>
      </c>
      <c r="C37" s="25" t="s">
        <v>166</v>
      </c>
      <c r="D37" s="14">
        <v>19</v>
      </c>
      <c r="E37" s="13">
        <v>2550</v>
      </c>
      <c r="F37" s="17">
        <f t="shared" si="0"/>
        <v>48450</v>
      </c>
    </row>
    <row r="38" spans="1:6" s="8" customFormat="1" ht="15.75" x14ac:dyDescent="0.25">
      <c r="A38" s="15" t="s">
        <v>99</v>
      </c>
      <c r="B38" s="16">
        <v>44193</v>
      </c>
      <c r="C38" s="26" t="s">
        <v>167</v>
      </c>
      <c r="D38" s="32">
        <v>1</v>
      </c>
      <c r="E38" s="13">
        <v>6000</v>
      </c>
      <c r="F38" s="17">
        <f t="shared" si="0"/>
        <v>6000</v>
      </c>
    </row>
    <row r="39" spans="1:6" s="8" customFormat="1" ht="15.75" x14ac:dyDescent="0.25">
      <c r="A39" s="15" t="s">
        <v>31</v>
      </c>
      <c r="B39" s="23" t="s">
        <v>106</v>
      </c>
      <c r="C39" s="26" t="s">
        <v>168</v>
      </c>
      <c r="D39" s="32">
        <v>1</v>
      </c>
      <c r="E39" s="21">
        <v>7500</v>
      </c>
      <c r="F39" s="17">
        <f t="shared" si="0"/>
        <v>7500</v>
      </c>
    </row>
    <row r="40" spans="1:6" s="8" customFormat="1" ht="15.75" x14ac:dyDescent="0.25">
      <c r="A40" s="15" t="s">
        <v>32</v>
      </c>
      <c r="B40" s="16">
        <v>44193</v>
      </c>
      <c r="C40" s="26" t="s">
        <v>169</v>
      </c>
      <c r="D40" s="32">
        <v>4</v>
      </c>
      <c r="E40" s="13">
        <v>3000</v>
      </c>
      <c r="F40" s="17">
        <f t="shared" si="0"/>
        <v>12000</v>
      </c>
    </row>
    <row r="41" spans="1:6" s="8" customFormat="1" ht="15.75" x14ac:dyDescent="0.25">
      <c r="A41" s="15" t="s">
        <v>33</v>
      </c>
      <c r="B41" s="16">
        <v>44193</v>
      </c>
      <c r="C41" s="26" t="s">
        <v>482</v>
      </c>
      <c r="D41" s="32">
        <v>20</v>
      </c>
      <c r="E41" s="13">
        <v>3000</v>
      </c>
      <c r="F41" s="17">
        <f t="shared" si="0"/>
        <v>60000</v>
      </c>
    </row>
    <row r="42" spans="1:6" s="8" customFormat="1" ht="15.75" x14ac:dyDescent="0.25">
      <c r="A42" s="15" t="s">
        <v>34</v>
      </c>
      <c r="B42" s="16">
        <v>44193</v>
      </c>
      <c r="C42" s="26" t="s">
        <v>170</v>
      </c>
      <c r="D42" s="32">
        <v>1</v>
      </c>
      <c r="E42" s="13">
        <v>2500</v>
      </c>
      <c r="F42" s="17">
        <f t="shared" si="0"/>
        <v>2500</v>
      </c>
    </row>
    <row r="43" spans="1:6" s="8" customFormat="1" ht="15.75" x14ac:dyDescent="0.25">
      <c r="A43" s="15" t="s">
        <v>111</v>
      </c>
      <c r="B43" s="16">
        <v>44193</v>
      </c>
      <c r="C43" s="26" t="s">
        <v>483</v>
      </c>
      <c r="D43" s="32">
        <v>3</v>
      </c>
      <c r="E43" s="13">
        <v>3000</v>
      </c>
      <c r="F43" s="17">
        <f t="shared" si="0"/>
        <v>9000</v>
      </c>
    </row>
    <row r="44" spans="1:6" s="8" customFormat="1" ht="15.75" x14ac:dyDescent="0.25">
      <c r="A44" s="15" t="s">
        <v>128</v>
      </c>
      <c r="B44" s="16">
        <v>44193</v>
      </c>
      <c r="C44" s="26" t="s">
        <v>171</v>
      </c>
      <c r="D44" s="32">
        <v>6</v>
      </c>
      <c r="E44" s="13">
        <v>8100</v>
      </c>
      <c r="F44" s="17">
        <f t="shared" si="0"/>
        <v>48600</v>
      </c>
    </row>
    <row r="45" spans="1:6" s="8" customFormat="1" ht="15.75" x14ac:dyDescent="0.25">
      <c r="A45" s="15" t="s">
        <v>129</v>
      </c>
      <c r="B45" s="16">
        <v>44193</v>
      </c>
      <c r="C45" s="9" t="s">
        <v>172</v>
      </c>
      <c r="D45" s="33">
        <v>18</v>
      </c>
      <c r="E45" s="13">
        <v>5940</v>
      </c>
      <c r="F45" s="17">
        <f t="shared" si="0"/>
        <v>106920</v>
      </c>
    </row>
    <row r="46" spans="1:6" s="8" customFormat="1" ht="15.75" x14ac:dyDescent="0.25">
      <c r="A46" s="15" t="s">
        <v>130</v>
      </c>
      <c r="B46" s="23" t="s">
        <v>106</v>
      </c>
      <c r="C46" s="9" t="s">
        <v>173</v>
      </c>
      <c r="D46" s="33">
        <v>30</v>
      </c>
      <c r="E46" s="24">
        <v>3200</v>
      </c>
      <c r="F46" s="17">
        <f t="shared" si="0"/>
        <v>96000</v>
      </c>
    </row>
    <row r="47" spans="1:6" s="8" customFormat="1" ht="15.75" x14ac:dyDescent="0.25">
      <c r="A47" s="15" t="s">
        <v>35</v>
      </c>
      <c r="B47" s="16">
        <v>44193</v>
      </c>
      <c r="C47" s="9" t="s">
        <v>174</v>
      </c>
      <c r="D47" s="33">
        <v>84</v>
      </c>
      <c r="E47" s="13">
        <v>3200</v>
      </c>
      <c r="F47" s="17">
        <f t="shared" si="0"/>
        <v>268800</v>
      </c>
    </row>
    <row r="48" spans="1:6" s="8" customFormat="1" ht="15.75" x14ac:dyDescent="0.25">
      <c r="A48" s="15" t="s">
        <v>36</v>
      </c>
      <c r="B48" s="16">
        <v>44193</v>
      </c>
      <c r="C48" s="26" t="s">
        <v>175</v>
      </c>
      <c r="D48" s="14">
        <v>1</v>
      </c>
      <c r="E48" s="13">
        <v>2400</v>
      </c>
      <c r="F48" s="17">
        <f t="shared" si="0"/>
        <v>2400</v>
      </c>
    </row>
    <row r="49" spans="1:6" s="8" customFormat="1" ht="15.75" x14ac:dyDescent="0.25">
      <c r="A49" s="15" t="s">
        <v>37</v>
      </c>
      <c r="B49" s="16">
        <v>44193</v>
      </c>
      <c r="C49" s="9" t="s">
        <v>176</v>
      </c>
      <c r="D49" s="30">
        <v>8</v>
      </c>
      <c r="E49" s="13">
        <v>2655</v>
      </c>
      <c r="F49" s="17">
        <f t="shared" si="0"/>
        <v>21240</v>
      </c>
    </row>
    <row r="50" spans="1:6" s="8" customFormat="1" ht="15.75" x14ac:dyDescent="0.25">
      <c r="A50" s="15" t="s">
        <v>38</v>
      </c>
      <c r="B50" s="16">
        <v>44193</v>
      </c>
      <c r="C50" s="26" t="s">
        <v>484</v>
      </c>
      <c r="D50" s="30">
        <v>84</v>
      </c>
      <c r="E50" s="13">
        <v>1900</v>
      </c>
      <c r="F50" s="17">
        <f t="shared" si="0"/>
        <v>159600</v>
      </c>
    </row>
    <row r="51" spans="1:6" s="8" customFormat="1" ht="15.75" x14ac:dyDescent="0.25">
      <c r="A51" s="15" t="s">
        <v>131</v>
      </c>
      <c r="B51" s="23" t="s">
        <v>106</v>
      </c>
      <c r="C51" s="26" t="s">
        <v>485</v>
      </c>
      <c r="D51" s="30">
        <v>95</v>
      </c>
      <c r="E51" s="21">
        <v>4980</v>
      </c>
      <c r="F51" s="17">
        <f t="shared" si="0"/>
        <v>473100</v>
      </c>
    </row>
    <row r="52" spans="1:6" s="8" customFormat="1" ht="15.75" x14ac:dyDescent="0.25">
      <c r="A52" s="15" t="s">
        <v>39</v>
      </c>
      <c r="B52" s="16">
        <v>44193</v>
      </c>
      <c r="C52" s="26" t="s">
        <v>177</v>
      </c>
      <c r="D52" s="30">
        <v>96</v>
      </c>
      <c r="E52" s="13">
        <v>200</v>
      </c>
      <c r="F52" s="17">
        <f t="shared" si="0"/>
        <v>19200</v>
      </c>
    </row>
    <row r="53" spans="1:6" s="8" customFormat="1" ht="15.75" x14ac:dyDescent="0.25">
      <c r="A53" s="15" t="s">
        <v>40</v>
      </c>
      <c r="B53" s="16">
        <v>44193</v>
      </c>
      <c r="C53" s="9" t="s">
        <v>178</v>
      </c>
      <c r="D53" s="30">
        <v>12</v>
      </c>
      <c r="E53" s="13">
        <v>10</v>
      </c>
      <c r="F53" s="17">
        <f t="shared" si="0"/>
        <v>120</v>
      </c>
    </row>
    <row r="54" spans="1:6" s="8" customFormat="1" ht="15.75" x14ac:dyDescent="0.25">
      <c r="A54" s="15" t="s">
        <v>132</v>
      </c>
      <c r="B54" s="23" t="s">
        <v>106</v>
      </c>
      <c r="C54" s="9" t="s">
        <v>178</v>
      </c>
      <c r="D54" s="30">
        <v>2</v>
      </c>
      <c r="E54" s="21">
        <v>1625</v>
      </c>
      <c r="F54" s="17">
        <f t="shared" si="0"/>
        <v>3250</v>
      </c>
    </row>
    <row r="55" spans="1:6" s="8" customFormat="1" ht="15.75" x14ac:dyDescent="0.25">
      <c r="A55" s="15" t="s">
        <v>41</v>
      </c>
      <c r="B55" s="16">
        <v>44193</v>
      </c>
      <c r="C55" s="9" t="s">
        <v>179</v>
      </c>
      <c r="D55" s="30">
        <v>15</v>
      </c>
      <c r="E55" s="13">
        <v>19.07</v>
      </c>
      <c r="F55" s="17">
        <f t="shared" si="0"/>
        <v>286.05</v>
      </c>
    </row>
    <row r="56" spans="1:6" s="8" customFormat="1" ht="15.75" x14ac:dyDescent="0.25">
      <c r="A56" s="15" t="s">
        <v>133</v>
      </c>
      <c r="B56" s="16">
        <v>44193</v>
      </c>
      <c r="C56" s="9" t="s">
        <v>180</v>
      </c>
      <c r="D56" s="30">
        <v>3</v>
      </c>
      <c r="E56" s="13">
        <v>66.3</v>
      </c>
      <c r="F56" s="17">
        <f t="shared" si="0"/>
        <v>198.89999999999998</v>
      </c>
    </row>
    <row r="57" spans="1:6" s="8" customFormat="1" ht="15.75" x14ac:dyDescent="0.25">
      <c r="A57" s="15" t="s">
        <v>134</v>
      </c>
      <c r="B57" s="16">
        <v>44193</v>
      </c>
      <c r="C57" s="26" t="s">
        <v>181</v>
      </c>
      <c r="D57" s="30">
        <v>1</v>
      </c>
      <c r="E57" s="13">
        <v>66.3</v>
      </c>
      <c r="F57" s="17">
        <f t="shared" si="0"/>
        <v>66.3</v>
      </c>
    </row>
    <row r="58" spans="1:6" s="8" customFormat="1" ht="15.75" x14ac:dyDescent="0.25">
      <c r="A58" s="15" t="s">
        <v>42</v>
      </c>
      <c r="B58" s="16">
        <v>44193</v>
      </c>
      <c r="C58" s="9" t="s">
        <v>182</v>
      </c>
      <c r="D58" s="30">
        <v>25</v>
      </c>
      <c r="E58" s="13">
        <v>17.239999999999998</v>
      </c>
      <c r="F58" s="17">
        <f t="shared" si="0"/>
        <v>430.99999999999994</v>
      </c>
    </row>
    <row r="59" spans="1:6" s="8" customFormat="1" ht="15.75" x14ac:dyDescent="0.25">
      <c r="A59" s="15" t="s">
        <v>109</v>
      </c>
      <c r="B59" s="16">
        <v>44193</v>
      </c>
      <c r="C59" s="9" t="s">
        <v>183</v>
      </c>
      <c r="D59" s="30">
        <v>4</v>
      </c>
      <c r="E59" s="13">
        <v>70</v>
      </c>
      <c r="F59" s="17">
        <f t="shared" si="0"/>
        <v>280</v>
      </c>
    </row>
    <row r="60" spans="1:6" s="8" customFormat="1" ht="15.75" x14ac:dyDescent="0.25">
      <c r="A60" s="15" t="s">
        <v>135</v>
      </c>
      <c r="B60" s="16">
        <v>44193</v>
      </c>
      <c r="C60" s="9" t="s">
        <v>184</v>
      </c>
      <c r="D60" s="30">
        <v>2</v>
      </c>
      <c r="E60" s="13">
        <v>125</v>
      </c>
      <c r="F60" s="17">
        <f t="shared" si="0"/>
        <v>250</v>
      </c>
    </row>
    <row r="61" spans="1:6" s="8" customFormat="1" ht="15.75" x14ac:dyDescent="0.25">
      <c r="A61" s="15" t="s">
        <v>43</v>
      </c>
      <c r="B61" s="16">
        <v>44193</v>
      </c>
      <c r="C61" s="9" t="s">
        <v>185</v>
      </c>
      <c r="D61" s="30">
        <v>4</v>
      </c>
      <c r="E61" s="13">
        <v>16.559999999999999</v>
      </c>
      <c r="F61" s="17">
        <f t="shared" si="0"/>
        <v>66.239999999999995</v>
      </c>
    </row>
    <row r="62" spans="1:6" s="8" customFormat="1" ht="15.75" x14ac:dyDescent="0.25">
      <c r="A62" s="15" t="s">
        <v>45</v>
      </c>
      <c r="B62" s="16">
        <v>44193</v>
      </c>
      <c r="C62" s="9" t="s">
        <v>186</v>
      </c>
      <c r="D62" s="30">
        <v>6</v>
      </c>
      <c r="E62" s="13">
        <v>16.559999999999999</v>
      </c>
      <c r="F62" s="17">
        <f t="shared" si="0"/>
        <v>99.359999999999985</v>
      </c>
    </row>
    <row r="63" spans="1:6" s="8" customFormat="1" ht="15.75" x14ac:dyDescent="0.25">
      <c r="A63" s="15" t="s">
        <v>46</v>
      </c>
      <c r="B63" s="16">
        <v>44193</v>
      </c>
      <c r="C63" s="25" t="s">
        <v>486</v>
      </c>
      <c r="D63" s="14">
        <v>14</v>
      </c>
      <c r="E63" s="13">
        <v>16.559999999999999</v>
      </c>
      <c r="F63" s="17">
        <f t="shared" si="0"/>
        <v>231.83999999999997</v>
      </c>
    </row>
    <row r="64" spans="1:6" s="8" customFormat="1" ht="15.75" x14ac:dyDescent="0.25">
      <c r="A64" s="15" t="s">
        <v>47</v>
      </c>
      <c r="B64" s="16">
        <v>44193</v>
      </c>
      <c r="C64" s="25" t="s">
        <v>187</v>
      </c>
      <c r="D64" s="14">
        <v>1</v>
      </c>
      <c r="E64" s="13">
        <v>16.559999999999999</v>
      </c>
      <c r="F64" s="17">
        <f t="shared" si="0"/>
        <v>16.559999999999999</v>
      </c>
    </row>
    <row r="65" spans="1:6" s="8" customFormat="1" ht="15.75" x14ac:dyDescent="0.25">
      <c r="A65" s="15" t="s">
        <v>48</v>
      </c>
      <c r="B65" s="16">
        <v>44193</v>
      </c>
      <c r="C65" s="25" t="s">
        <v>192</v>
      </c>
      <c r="D65" s="14">
        <v>6</v>
      </c>
      <c r="E65" s="13">
        <v>16.559999999999999</v>
      </c>
      <c r="F65" s="17">
        <f t="shared" si="0"/>
        <v>99.359999999999985</v>
      </c>
    </row>
    <row r="66" spans="1:6" s="8" customFormat="1" ht="15.75" x14ac:dyDescent="0.25">
      <c r="A66" s="15" t="s">
        <v>49</v>
      </c>
      <c r="B66" s="16">
        <v>44193</v>
      </c>
      <c r="C66" s="25" t="s">
        <v>191</v>
      </c>
      <c r="D66" s="14">
        <v>1</v>
      </c>
      <c r="E66" s="13">
        <v>21</v>
      </c>
      <c r="F66" s="17">
        <f t="shared" si="0"/>
        <v>21</v>
      </c>
    </row>
    <row r="67" spans="1:6" s="8" customFormat="1" ht="15.75" x14ac:dyDescent="0.25">
      <c r="A67" s="15" t="s">
        <v>50</v>
      </c>
      <c r="B67" s="16">
        <v>44193</v>
      </c>
      <c r="C67" s="25" t="s">
        <v>487</v>
      </c>
      <c r="D67" s="14">
        <v>1</v>
      </c>
      <c r="E67" s="13">
        <v>39</v>
      </c>
      <c r="F67" s="17">
        <f t="shared" si="0"/>
        <v>39</v>
      </c>
    </row>
    <row r="68" spans="1:6" s="8" customFormat="1" ht="15.75" x14ac:dyDescent="0.25">
      <c r="A68" s="15" t="s">
        <v>51</v>
      </c>
      <c r="B68" s="16">
        <v>44193</v>
      </c>
      <c r="C68" s="25" t="s">
        <v>190</v>
      </c>
      <c r="D68" s="14">
        <v>43</v>
      </c>
      <c r="E68" s="13">
        <v>8</v>
      </c>
      <c r="F68" s="17">
        <f t="shared" si="0"/>
        <v>344</v>
      </c>
    </row>
    <row r="69" spans="1:6" s="8" customFormat="1" ht="15.75" x14ac:dyDescent="0.25">
      <c r="A69" s="15" t="s">
        <v>52</v>
      </c>
      <c r="B69" s="16">
        <v>44193</v>
      </c>
      <c r="C69" s="25" t="s">
        <v>189</v>
      </c>
      <c r="D69" s="14">
        <v>32</v>
      </c>
      <c r="E69" s="13">
        <v>75</v>
      </c>
      <c r="F69" s="17">
        <f t="shared" si="0"/>
        <v>2400</v>
      </c>
    </row>
    <row r="70" spans="1:6" s="8" customFormat="1" ht="15.75" x14ac:dyDescent="0.25">
      <c r="A70" s="15" t="s">
        <v>53</v>
      </c>
      <c r="B70" s="16">
        <v>44193</v>
      </c>
      <c r="C70" s="25" t="s">
        <v>488</v>
      </c>
      <c r="D70" s="14">
        <v>30</v>
      </c>
      <c r="E70" s="13">
        <v>3</v>
      </c>
      <c r="F70" s="17">
        <f t="shared" si="0"/>
        <v>90</v>
      </c>
    </row>
    <row r="71" spans="1:6" s="8" customFormat="1" ht="15.75" x14ac:dyDescent="0.25">
      <c r="A71" s="15" t="s">
        <v>44</v>
      </c>
      <c r="B71" s="16">
        <v>44193</v>
      </c>
      <c r="C71" s="25" t="s">
        <v>188</v>
      </c>
      <c r="D71" s="32">
        <v>10</v>
      </c>
      <c r="E71" s="13">
        <v>6.5</v>
      </c>
      <c r="F71" s="17">
        <f t="shared" si="0"/>
        <v>65</v>
      </c>
    </row>
    <row r="72" spans="1:6" s="8" customFormat="1" ht="15.75" x14ac:dyDescent="0.25">
      <c r="A72" s="15" t="s">
        <v>113</v>
      </c>
      <c r="B72" s="16">
        <v>44193</v>
      </c>
      <c r="C72" s="25" t="s">
        <v>193</v>
      </c>
      <c r="D72" s="32">
        <v>63</v>
      </c>
      <c r="E72" s="13">
        <v>5</v>
      </c>
      <c r="F72" s="17">
        <f t="shared" ref="F72:F135" si="1">D72*E72</f>
        <v>315</v>
      </c>
    </row>
    <row r="73" spans="1:6" s="8" customFormat="1" ht="15.75" x14ac:dyDescent="0.25">
      <c r="A73" s="15" t="s">
        <v>136</v>
      </c>
      <c r="B73" s="16">
        <v>44193</v>
      </c>
      <c r="C73" s="25" t="s">
        <v>194</v>
      </c>
      <c r="D73" s="32">
        <v>1</v>
      </c>
      <c r="E73" s="13">
        <v>5</v>
      </c>
      <c r="F73" s="17">
        <f t="shared" si="1"/>
        <v>5</v>
      </c>
    </row>
    <row r="74" spans="1:6" s="8" customFormat="1" ht="15.75" x14ac:dyDescent="0.25">
      <c r="A74" s="15" t="s">
        <v>137</v>
      </c>
      <c r="B74" s="16">
        <v>44193</v>
      </c>
      <c r="C74" s="25" t="s">
        <v>195</v>
      </c>
      <c r="D74" s="30">
        <v>3</v>
      </c>
      <c r="E74" s="13">
        <v>5.08</v>
      </c>
      <c r="F74" s="17">
        <f t="shared" si="1"/>
        <v>15.24</v>
      </c>
    </row>
    <row r="75" spans="1:6" s="8" customFormat="1" ht="15.75" x14ac:dyDescent="0.25">
      <c r="A75" s="15" t="s">
        <v>138</v>
      </c>
      <c r="B75" s="16">
        <v>44193</v>
      </c>
      <c r="C75" s="25" t="s">
        <v>196</v>
      </c>
      <c r="D75" s="30">
        <v>24</v>
      </c>
      <c r="E75" s="13">
        <v>2.4</v>
      </c>
      <c r="F75" s="17">
        <f t="shared" si="1"/>
        <v>57.599999999999994</v>
      </c>
    </row>
    <row r="76" spans="1:6" s="8" customFormat="1" ht="15.75" x14ac:dyDescent="0.25">
      <c r="A76" s="15" t="s">
        <v>54</v>
      </c>
      <c r="B76" s="16">
        <v>44193</v>
      </c>
      <c r="C76" s="26" t="s">
        <v>197</v>
      </c>
      <c r="D76" s="30">
        <v>118</v>
      </c>
      <c r="E76" s="13">
        <v>9.1999999999999993</v>
      </c>
      <c r="F76" s="17">
        <f t="shared" si="1"/>
        <v>1085.5999999999999</v>
      </c>
    </row>
    <row r="77" spans="1:6" s="8" customFormat="1" ht="15.75" x14ac:dyDescent="0.25">
      <c r="A77" s="15" t="s">
        <v>55</v>
      </c>
      <c r="B77" s="16">
        <v>44193</v>
      </c>
      <c r="C77" s="26" t="s">
        <v>78</v>
      </c>
      <c r="D77" s="30">
        <v>2</v>
      </c>
      <c r="E77" s="13">
        <v>5</v>
      </c>
      <c r="F77" s="17">
        <f t="shared" si="1"/>
        <v>10</v>
      </c>
    </row>
    <row r="78" spans="1:6" s="8" customFormat="1" ht="15.75" x14ac:dyDescent="0.25">
      <c r="A78" s="15" t="s">
        <v>56</v>
      </c>
      <c r="B78" s="16">
        <v>44193</v>
      </c>
      <c r="C78" s="26" t="s">
        <v>77</v>
      </c>
      <c r="D78" s="30">
        <v>6</v>
      </c>
      <c r="E78" s="13">
        <v>430</v>
      </c>
      <c r="F78" s="17">
        <f t="shared" si="1"/>
        <v>2580</v>
      </c>
    </row>
    <row r="79" spans="1:6" s="8" customFormat="1" ht="15.75" x14ac:dyDescent="0.25">
      <c r="A79" s="15" t="s">
        <v>100</v>
      </c>
      <c r="B79" s="16">
        <v>44193</v>
      </c>
      <c r="C79" s="26" t="s">
        <v>76</v>
      </c>
      <c r="D79" s="30">
        <v>2</v>
      </c>
      <c r="E79" s="13">
        <v>50</v>
      </c>
      <c r="F79" s="17">
        <f t="shared" si="1"/>
        <v>100</v>
      </c>
    </row>
    <row r="80" spans="1:6" s="8" customFormat="1" ht="15.75" x14ac:dyDescent="0.25">
      <c r="A80" s="15" t="s">
        <v>57</v>
      </c>
      <c r="B80" s="23" t="s">
        <v>106</v>
      </c>
      <c r="C80" s="9" t="s">
        <v>198</v>
      </c>
      <c r="D80" s="30">
        <v>10</v>
      </c>
      <c r="E80" s="21">
        <v>1300</v>
      </c>
      <c r="F80" s="17">
        <f t="shared" si="1"/>
        <v>13000</v>
      </c>
    </row>
    <row r="81" spans="1:6" s="8" customFormat="1" ht="15.75" x14ac:dyDescent="0.25">
      <c r="A81" s="15" t="s">
        <v>139</v>
      </c>
      <c r="B81" s="23" t="s">
        <v>106</v>
      </c>
      <c r="C81" s="25" t="s">
        <v>489</v>
      </c>
      <c r="D81" s="30">
        <v>191</v>
      </c>
      <c r="E81" s="21">
        <v>216.8</v>
      </c>
      <c r="F81" s="17">
        <f t="shared" si="1"/>
        <v>41408.800000000003</v>
      </c>
    </row>
    <row r="82" spans="1:6" s="8" customFormat="1" ht="15.75" x14ac:dyDescent="0.25">
      <c r="A82" s="15" t="s">
        <v>140</v>
      </c>
      <c r="B82" s="16">
        <v>44193</v>
      </c>
      <c r="C82" s="27" t="s">
        <v>79</v>
      </c>
      <c r="D82" s="34">
        <v>205</v>
      </c>
      <c r="E82" s="13">
        <v>160</v>
      </c>
      <c r="F82" s="17">
        <f t="shared" si="1"/>
        <v>32800</v>
      </c>
    </row>
    <row r="83" spans="1:6" s="8" customFormat="1" ht="15.75" x14ac:dyDescent="0.25">
      <c r="A83" s="15" t="s">
        <v>141</v>
      </c>
      <c r="B83" s="16">
        <v>44193</v>
      </c>
      <c r="C83" s="26" t="s">
        <v>199</v>
      </c>
      <c r="D83" s="32">
        <v>1</v>
      </c>
      <c r="E83" s="13">
        <v>156.09</v>
      </c>
      <c r="F83" s="17">
        <f t="shared" si="1"/>
        <v>156.09</v>
      </c>
    </row>
    <row r="84" spans="1:6" s="8" customFormat="1" x14ac:dyDescent="0.25">
      <c r="A84" s="15" t="s">
        <v>58</v>
      </c>
      <c r="B84" s="23" t="s">
        <v>106</v>
      </c>
      <c r="C84" s="28" t="s">
        <v>200</v>
      </c>
      <c r="D84" s="35">
        <v>133</v>
      </c>
      <c r="E84" s="15">
        <v>2500</v>
      </c>
      <c r="F84" s="17">
        <f t="shared" si="1"/>
        <v>332500</v>
      </c>
    </row>
    <row r="85" spans="1:6" s="8" customFormat="1" ht="15.75" x14ac:dyDescent="0.25">
      <c r="A85" s="15" t="s">
        <v>59</v>
      </c>
      <c r="B85" s="23" t="s">
        <v>114</v>
      </c>
      <c r="C85" s="26" t="s">
        <v>80</v>
      </c>
      <c r="D85" s="32">
        <v>10</v>
      </c>
      <c r="E85" s="21">
        <v>5</v>
      </c>
      <c r="F85" s="17">
        <f t="shared" si="1"/>
        <v>50</v>
      </c>
    </row>
    <row r="86" spans="1:6" s="8" customFormat="1" ht="15.75" x14ac:dyDescent="0.25">
      <c r="A86" s="15" t="s">
        <v>60</v>
      </c>
      <c r="B86" s="16">
        <v>44193</v>
      </c>
      <c r="C86" s="9" t="s">
        <v>201</v>
      </c>
      <c r="D86" s="33">
        <v>1</v>
      </c>
      <c r="E86" s="13">
        <v>186.2</v>
      </c>
      <c r="F86" s="17">
        <f t="shared" si="1"/>
        <v>186.2</v>
      </c>
    </row>
    <row r="87" spans="1:6" s="8" customFormat="1" ht="15.75" x14ac:dyDescent="0.25">
      <c r="A87" s="15" t="s">
        <v>61</v>
      </c>
      <c r="B87" s="16">
        <v>44193</v>
      </c>
      <c r="C87" s="25" t="s">
        <v>202</v>
      </c>
      <c r="D87" s="32">
        <v>13</v>
      </c>
      <c r="E87" s="13">
        <v>5</v>
      </c>
      <c r="F87" s="17">
        <f t="shared" si="1"/>
        <v>65</v>
      </c>
    </row>
    <row r="88" spans="1:6" s="8" customFormat="1" ht="15.75" x14ac:dyDescent="0.25">
      <c r="A88" s="15" t="s">
        <v>62</v>
      </c>
      <c r="B88" s="16">
        <v>44193</v>
      </c>
      <c r="C88" s="25" t="s">
        <v>81</v>
      </c>
      <c r="D88" s="32">
        <v>10</v>
      </c>
      <c r="E88" s="13">
        <v>190</v>
      </c>
      <c r="F88" s="17">
        <f t="shared" si="1"/>
        <v>1900</v>
      </c>
    </row>
    <row r="89" spans="1:6" s="8" customFormat="1" ht="15.75" x14ac:dyDescent="0.25">
      <c r="A89" s="15" t="s">
        <v>63</v>
      </c>
      <c r="B89" s="16">
        <v>44193</v>
      </c>
      <c r="C89" s="26" t="s">
        <v>203</v>
      </c>
      <c r="D89" s="32">
        <v>10</v>
      </c>
      <c r="E89" s="13">
        <v>56.7</v>
      </c>
      <c r="F89" s="17">
        <f t="shared" si="1"/>
        <v>567</v>
      </c>
    </row>
    <row r="90" spans="1:6" s="8" customFormat="1" ht="15.75" x14ac:dyDescent="0.25">
      <c r="A90" s="15" t="s">
        <v>64</v>
      </c>
      <c r="B90" s="16">
        <v>44193</v>
      </c>
      <c r="C90" s="26" t="s">
        <v>204</v>
      </c>
      <c r="D90" s="14">
        <v>10</v>
      </c>
      <c r="E90" s="13">
        <v>35</v>
      </c>
      <c r="F90" s="17">
        <f t="shared" si="1"/>
        <v>350</v>
      </c>
    </row>
    <row r="91" spans="1:6" s="8" customFormat="1" ht="15.75" x14ac:dyDescent="0.25">
      <c r="A91" s="15" t="s">
        <v>65</v>
      </c>
      <c r="B91" s="16">
        <v>44193</v>
      </c>
      <c r="C91" s="9" t="s">
        <v>205</v>
      </c>
      <c r="D91" s="32">
        <v>14</v>
      </c>
      <c r="E91" s="13">
        <v>35</v>
      </c>
      <c r="F91" s="17">
        <f t="shared" si="1"/>
        <v>490</v>
      </c>
    </row>
    <row r="92" spans="1:6" s="8" customFormat="1" ht="15.75" x14ac:dyDescent="0.25">
      <c r="A92" s="15" t="s">
        <v>66</v>
      </c>
      <c r="B92" s="16">
        <v>44193</v>
      </c>
      <c r="C92" s="26" t="s">
        <v>206</v>
      </c>
      <c r="D92" s="33">
        <v>1</v>
      </c>
      <c r="E92" s="13">
        <v>425</v>
      </c>
      <c r="F92" s="17">
        <f t="shared" si="1"/>
        <v>425</v>
      </c>
    </row>
    <row r="93" spans="1:6" s="8" customFormat="1" ht="15.75" x14ac:dyDescent="0.25">
      <c r="A93" s="15" t="s">
        <v>68</v>
      </c>
      <c r="B93" s="23" t="s">
        <v>106</v>
      </c>
      <c r="C93" s="25" t="s">
        <v>207</v>
      </c>
      <c r="D93" s="32">
        <v>2</v>
      </c>
      <c r="E93" s="21">
        <v>2600</v>
      </c>
      <c r="F93" s="17">
        <f t="shared" si="1"/>
        <v>5200</v>
      </c>
    </row>
    <row r="94" spans="1:6" s="8" customFormat="1" ht="15.75" x14ac:dyDescent="0.25">
      <c r="A94" s="15" t="s">
        <v>67</v>
      </c>
      <c r="B94" s="23" t="s">
        <v>106</v>
      </c>
      <c r="C94" s="25" t="s">
        <v>490</v>
      </c>
      <c r="D94" s="32">
        <v>42</v>
      </c>
      <c r="E94" s="21">
        <v>2600</v>
      </c>
      <c r="F94" s="17">
        <f t="shared" si="1"/>
        <v>109200</v>
      </c>
    </row>
    <row r="95" spans="1:6" s="8" customFormat="1" ht="15.75" x14ac:dyDescent="0.25">
      <c r="A95" s="15" t="s">
        <v>69</v>
      </c>
      <c r="B95" s="16">
        <v>44193</v>
      </c>
      <c r="C95" s="25" t="s">
        <v>82</v>
      </c>
      <c r="D95" s="32">
        <v>2</v>
      </c>
      <c r="E95" s="13">
        <v>2600</v>
      </c>
      <c r="F95" s="17">
        <f t="shared" si="1"/>
        <v>5200</v>
      </c>
    </row>
    <row r="96" spans="1:6" s="8" customFormat="1" ht="15.75" x14ac:dyDescent="0.25">
      <c r="A96" s="15" t="s">
        <v>103</v>
      </c>
      <c r="B96" s="16">
        <v>44193</v>
      </c>
      <c r="C96" s="25" t="s">
        <v>208</v>
      </c>
      <c r="D96" s="32">
        <v>8</v>
      </c>
      <c r="E96" s="13">
        <v>180</v>
      </c>
      <c r="F96" s="17">
        <f t="shared" si="1"/>
        <v>1440</v>
      </c>
    </row>
    <row r="97" spans="1:6" s="8" customFormat="1" ht="15.75" x14ac:dyDescent="0.25">
      <c r="A97" s="15" t="s">
        <v>104</v>
      </c>
      <c r="B97" s="23" t="s">
        <v>106</v>
      </c>
      <c r="C97" s="25" t="s">
        <v>491</v>
      </c>
      <c r="D97" s="32">
        <v>3</v>
      </c>
      <c r="E97" s="21">
        <v>180</v>
      </c>
      <c r="F97" s="17">
        <f t="shared" si="1"/>
        <v>540</v>
      </c>
    </row>
    <row r="98" spans="1:6" s="8" customFormat="1" ht="15.75" x14ac:dyDescent="0.25">
      <c r="A98" s="15" t="s">
        <v>142</v>
      </c>
      <c r="B98" s="16">
        <v>44193</v>
      </c>
      <c r="C98" s="25" t="s">
        <v>209</v>
      </c>
      <c r="D98" s="32">
        <v>8</v>
      </c>
      <c r="E98" s="13">
        <v>2600</v>
      </c>
      <c r="F98" s="17">
        <f t="shared" si="1"/>
        <v>20800</v>
      </c>
    </row>
    <row r="99" spans="1:6" s="8" customFormat="1" ht="15.75" x14ac:dyDescent="0.25">
      <c r="A99" s="15" t="s">
        <v>70</v>
      </c>
      <c r="B99" s="23" t="s">
        <v>106</v>
      </c>
      <c r="C99" s="25" t="s">
        <v>83</v>
      </c>
      <c r="D99" s="32">
        <v>9</v>
      </c>
      <c r="E99" s="21">
        <v>2600</v>
      </c>
      <c r="F99" s="17">
        <f t="shared" si="1"/>
        <v>23400</v>
      </c>
    </row>
    <row r="100" spans="1:6" s="8" customFormat="1" ht="15.75" x14ac:dyDescent="0.25">
      <c r="A100" s="15" t="s">
        <v>71</v>
      </c>
      <c r="B100" s="23" t="s">
        <v>114</v>
      </c>
      <c r="C100" s="25" t="s">
        <v>492</v>
      </c>
      <c r="D100" s="32">
        <v>1</v>
      </c>
      <c r="E100" s="21">
        <v>2600</v>
      </c>
      <c r="F100" s="17">
        <f t="shared" si="1"/>
        <v>2600</v>
      </c>
    </row>
    <row r="101" spans="1:6" s="8" customFormat="1" ht="15.75" x14ac:dyDescent="0.25">
      <c r="A101" s="15" t="s">
        <v>72</v>
      </c>
      <c r="B101" s="16">
        <v>44193</v>
      </c>
      <c r="C101" s="25" t="s">
        <v>210</v>
      </c>
      <c r="D101" s="32">
        <v>5</v>
      </c>
      <c r="E101" s="13">
        <v>2600</v>
      </c>
      <c r="F101" s="17">
        <f t="shared" si="1"/>
        <v>13000</v>
      </c>
    </row>
    <row r="102" spans="1:6" s="8" customFormat="1" ht="15.75" x14ac:dyDescent="0.25">
      <c r="A102" s="15" t="s">
        <v>73</v>
      </c>
      <c r="B102" s="16">
        <v>44193</v>
      </c>
      <c r="C102" s="25" t="s">
        <v>84</v>
      </c>
      <c r="D102" s="32">
        <v>1</v>
      </c>
      <c r="E102" s="13">
        <v>2600</v>
      </c>
      <c r="F102" s="17">
        <f t="shared" si="1"/>
        <v>2600</v>
      </c>
    </row>
    <row r="103" spans="1:6" s="8" customFormat="1" ht="15.75" x14ac:dyDescent="0.25">
      <c r="A103" s="15" t="s">
        <v>74</v>
      </c>
      <c r="B103" s="16">
        <v>44193</v>
      </c>
      <c r="C103" s="9" t="s">
        <v>211</v>
      </c>
      <c r="D103" s="32">
        <v>5</v>
      </c>
      <c r="E103" s="13">
        <v>240</v>
      </c>
      <c r="F103" s="17">
        <f t="shared" si="1"/>
        <v>1200</v>
      </c>
    </row>
    <row r="104" spans="1:6" s="8" customFormat="1" ht="15.75" x14ac:dyDescent="0.25">
      <c r="A104" s="15" t="s">
        <v>101</v>
      </c>
      <c r="B104" s="16">
        <v>44193</v>
      </c>
      <c r="C104" s="26" t="s">
        <v>212</v>
      </c>
      <c r="D104" s="33">
        <v>26</v>
      </c>
      <c r="E104" s="13">
        <v>9.68</v>
      </c>
      <c r="F104" s="17">
        <f t="shared" si="1"/>
        <v>251.68</v>
      </c>
    </row>
    <row r="105" spans="1:6" s="8" customFormat="1" ht="15.75" x14ac:dyDescent="0.25">
      <c r="A105" s="15" t="s">
        <v>75</v>
      </c>
      <c r="B105" s="16">
        <v>44193</v>
      </c>
      <c r="C105" s="9" t="s">
        <v>213</v>
      </c>
      <c r="D105" s="32">
        <v>1</v>
      </c>
      <c r="E105" s="13">
        <v>25</v>
      </c>
      <c r="F105" s="17">
        <f t="shared" si="1"/>
        <v>25</v>
      </c>
    </row>
    <row r="106" spans="1:6" s="8" customFormat="1" ht="15.75" x14ac:dyDescent="0.25">
      <c r="A106" s="15" t="s">
        <v>102</v>
      </c>
      <c r="B106" s="16">
        <v>44193</v>
      </c>
      <c r="C106" s="9" t="s">
        <v>214</v>
      </c>
      <c r="D106" s="33">
        <v>496</v>
      </c>
      <c r="E106" s="13">
        <v>25</v>
      </c>
      <c r="F106" s="17">
        <f t="shared" si="1"/>
        <v>12400</v>
      </c>
    </row>
    <row r="107" spans="1:6" s="8" customFormat="1" ht="15.75" x14ac:dyDescent="0.25">
      <c r="A107" s="15" t="s">
        <v>143</v>
      </c>
      <c r="B107" s="16">
        <v>44193</v>
      </c>
      <c r="C107" s="9" t="s">
        <v>215</v>
      </c>
      <c r="D107" s="33">
        <v>300</v>
      </c>
      <c r="E107" s="13">
        <v>319</v>
      </c>
      <c r="F107" s="17">
        <f t="shared" si="1"/>
        <v>95700</v>
      </c>
    </row>
    <row r="108" spans="1:6" s="8" customFormat="1" ht="15.75" x14ac:dyDescent="0.25">
      <c r="A108" s="15" t="s">
        <v>334</v>
      </c>
      <c r="B108" s="16">
        <v>44193</v>
      </c>
      <c r="C108" s="9" t="s">
        <v>216</v>
      </c>
      <c r="D108" s="36">
        <v>64</v>
      </c>
      <c r="E108" s="13">
        <v>40</v>
      </c>
      <c r="F108" s="17">
        <f t="shared" si="1"/>
        <v>2560</v>
      </c>
    </row>
    <row r="109" spans="1:6" s="8" customFormat="1" ht="15.75" x14ac:dyDescent="0.25">
      <c r="A109" s="15" t="s">
        <v>335</v>
      </c>
      <c r="B109" s="16">
        <v>44193</v>
      </c>
      <c r="C109" s="26" t="s">
        <v>217</v>
      </c>
      <c r="D109" s="36">
        <v>5</v>
      </c>
      <c r="E109" s="13">
        <v>35</v>
      </c>
      <c r="F109" s="17">
        <f t="shared" si="1"/>
        <v>175</v>
      </c>
    </row>
    <row r="110" spans="1:6" s="8" customFormat="1" ht="15.75" x14ac:dyDescent="0.25">
      <c r="A110" s="15" t="s">
        <v>336</v>
      </c>
      <c r="B110" s="16">
        <v>44193</v>
      </c>
      <c r="C110" s="25" t="s">
        <v>218</v>
      </c>
      <c r="D110" s="37">
        <v>2</v>
      </c>
      <c r="E110" s="13">
        <v>64.66</v>
      </c>
      <c r="F110" s="17">
        <f t="shared" si="1"/>
        <v>129.32</v>
      </c>
    </row>
    <row r="111" spans="1:6" s="8" customFormat="1" ht="15.75" x14ac:dyDescent="0.25">
      <c r="A111" s="15" t="s">
        <v>337</v>
      </c>
      <c r="B111" s="16">
        <v>44193</v>
      </c>
      <c r="C111" s="25" t="s">
        <v>219</v>
      </c>
      <c r="D111" s="37">
        <v>26</v>
      </c>
      <c r="E111" s="13">
        <v>40</v>
      </c>
      <c r="F111" s="17">
        <f t="shared" si="1"/>
        <v>1040</v>
      </c>
    </row>
    <row r="112" spans="1:6" s="8" customFormat="1" ht="15.75" x14ac:dyDescent="0.25">
      <c r="A112" s="15" t="s">
        <v>338</v>
      </c>
      <c r="B112" s="16">
        <v>44193</v>
      </c>
      <c r="C112" s="9" t="s">
        <v>220</v>
      </c>
      <c r="D112" s="37">
        <v>18</v>
      </c>
      <c r="E112" s="13">
        <v>45</v>
      </c>
      <c r="F112" s="17">
        <f t="shared" si="1"/>
        <v>810</v>
      </c>
    </row>
    <row r="113" spans="1:6" s="8" customFormat="1" ht="15.75" x14ac:dyDescent="0.25">
      <c r="A113" s="15" t="s">
        <v>339</v>
      </c>
      <c r="B113" s="16">
        <v>44193</v>
      </c>
      <c r="C113" s="25" t="s">
        <v>221</v>
      </c>
      <c r="D113" s="36">
        <v>7</v>
      </c>
      <c r="E113" s="13">
        <v>80</v>
      </c>
      <c r="F113" s="17">
        <f t="shared" si="1"/>
        <v>560</v>
      </c>
    </row>
    <row r="114" spans="1:6" s="8" customFormat="1" ht="15.75" x14ac:dyDescent="0.25">
      <c r="A114" s="15" t="s">
        <v>340</v>
      </c>
      <c r="B114" s="16">
        <v>44193</v>
      </c>
      <c r="C114" s="26" t="s">
        <v>222</v>
      </c>
      <c r="D114" s="32">
        <v>12</v>
      </c>
      <c r="E114" s="13">
        <v>26.01</v>
      </c>
      <c r="F114" s="17">
        <f t="shared" si="1"/>
        <v>312.12</v>
      </c>
    </row>
    <row r="115" spans="1:6" s="8" customFormat="1" ht="15.75" x14ac:dyDescent="0.25">
      <c r="A115" s="15" t="s">
        <v>341</v>
      </c>
      <c r="B115" s="16">
        <v>44193</v>
      </c>
      <c r="C115" s="9" t="s">
        <v>223</v>
      </c>
      <c r="D115" s="32">
        <v>14</v>
      </c>
      <c r="E115" s="13">
        <v>231</v>
      </c>
      <c r="F115" s="17">
        <f t="shared" si="1"/>
        <v>3234</v>
      </c>
    </row>
    <row r="116" spans="1:6" s="8" customFormat="1" ht="15.75" x14ac:dyDescent="0.25">
      <c r="A116" s="15" t="s">
        <v>342</v>
      </c>
      <c r="B116" s="16">
        <v>44193</v>
      </c>
      <c r="C116" s="9" t="s">
        <v>224</v>
      </c>
      <c r="D116" s="36">
        <v>3</v>
      </c>
      <c r="E116" s="13">
        <v>181.71</v>
      </c>
      <c r="F116" s="17">
        <f t="shared" si="1"/>
        <v>545.13</v>
      </c>
    </row>
    <row r="117" spans="1:6" s="8" customFormat="1" ht="15.75" x14ac:dyDescent="0.25">
      <c r="A117" s="15" t="s">
        <v>343</v>
      </c>
      <c r="B117" s="16">
        <v>44193</v>
      </c>
      <c r="C117" s="26" t="s">
        <v>225</v>
      </c>
      <c r="D117" s="36">
        <v>19</v>
      </c>
      <c r="E117" s="13">
        <v>125</v>
      </c>
      <c r="F117" s="17">
        <f t="shared" si="1"/>
        <v>2375</v>
      </c>
    </row>
    <row r="118" spans="1:6" s="8" customFormat="1" ht="15.75" x14ac:dyDescent="0.25">
      <c r="A118" s="15" t="s">
        <v>344</v>
      </c>
      <c r="B118" s="16">
        <v>44193</v>
      </c>
      <c r="C118" s="25" t="s">
        <v>226</v>
      </c>
      <c r="D118" s="38">
        <v>59</v>
      </c>
      <c r="E118" s="13">
        <v>125</v>
      </c>
      <c r="F118" s="17">
        <f t="shared" si="1"/>
        <v>7375</v>
      </c>
    </row>
    <row r="119" spans="1:6" s="8" customFormat="1" ht="15.75" x14ac:dyDescent="0.25">
      <c r="A119" s="15" t="s">
        <v>345</v>
      </c>
      <c r="B119" s="16">
        <v>44193</v>
      </c>
      <c r="C119" s="26" t="s">
        <v>227</v>
      </c>
      <c r="D119" s="32">
        <v>2</v>
      </c>
      <c r="E119" s="13">
        <v>125</v>
      </c>
      <c r="F119" s="17">
        <f t="shared" si="1"/>
        <v>250</v>
      </c>
    </row>
    <row r="120" spans="1:6" s="8" customFormat="1" ht="15.75" x14ac:dyDescent="0.25">
      <c r="A120" s="15" t="s">
        <v>346</v>
      </c>
      <c r="B120" s="16">
        <v>44193</v>
      </c>
      <c r="C120" s="26" t="s">
        <v>228</v>
      </c>
      <c r="D120" s="32">
        <v>7</v>
      </c>
      <c r="E120" s="13">
        <v>125</v>
      </c>
      <c r="F120" s="17">
        <f t="shared" si="1"/>
        <v>875</v>
      </c>
    </row>
    <row r="121" spans="1:6" s="8" customFormat="1" ht="15.75" x14ac:dyDescent="0.25">
      <c r="A121" s="15" t="s">
        <v>347</v>
      </c>
      <c r="B121" s="16">
        <v>44193</v>
      </c>
      <c r="C121" s="26" t="s">
        <v>85</v>
      </c>
      <c r="D121" s="32">
        <v>9</v>
      </c>
      <c r="E121" s="13">
        <v>125</v>
      </c>
      <c r="F121" s="17">
        <f t="shared" si="1"/>
        <v>1125</v>
      </c>
    </row>
    <row r="122" spans="1:6" s="8" customFormat="1" ht="15.75" x14ac:dyDescent="0.25">
      <c r="A122" s="15" t="s">
        <v>348</v>
      </c>
      <c r="B122" s="16">
        <v>44193</v>
      </c>
      <c r="C122" s="25" t="s">
        <v>86</v>
      </c>
      <c r="D122" s="32">
        <v>7</v>
      </c>
      <c r="E122" s="13">
        <v>125</v>
      </c>
      <c r="F122" s="17">
        <f t="shared" si="1"/>
        <v>875</v>
      </c>
    </row>
    <row r="123" spans="1:6" s="8" customFormat="1" ht="15.75" x14ac:dyDescent="0.25">
      <c r="A123" s="15" t="s">
        <v>349</v>
      </c>
      <c r="B123" s="23" t="s">
        <v>106</v>
      </c>
      <c r="C123" s="25" t="s">
        <v>229</v>
      </c>
      <c r="D123" s="32">
        <v>9</v>
      </c>
      <c r="E123" s="40">
        <v>116</v>
      </c>
      <c r="F123" s="17">
        <f t="shared" si="1"/>
        <v>1044</v>
      </c>
    </row>
    <row r="124" spans="1:6" s="8" customFormat="1" ht="15.75" x14ac:dyDescent="0.25">
      <c r="A124" s="15" t="s">
        <v>350</v>
      </c>
      <c r="B124" s="16">
        <v>44193</v>
      </c>
      <c r="C124" s="9" t="s">
        <v>230</v>
      </c>
      <c r="D124" s="32">
        <v>13</v>
      </c>
      <c r="E124" s="13">
        <v>230</v>
      </c>
      <c r="F124" s="17">
        <f t="shared" si="1"/>
        <v>2990</v>
      </c>
    </row>
    <row r="125" spans="1:6" s="8" customFormat="1" ht="15.75" x14ac:dyDescent="0.25">
      <c r="A125" s="15" t="s">
        <v>351</v>
      </c>
      <c r="B125" s="16">
        <v>44193</v>
      </c>
      <c r="C125" s="9" t="s">
        <v>231</v>
      </c>
      <c r="D125" s="36">
        <v>50</v>
      </c>
      <c r="E125" s="13">
        <v>35</v>
      </c>
      <c r="F125" s="17">
        <f t="shared" si="1"/>
        <v>1750</v>
      </c>
    </row>
    <row r="126" spans="1:6" s="8" customFormat="1" ht="15.75" x14ac:dyDescent="0.25">
      <c r="A126" s="15" t="s">
        <v>352</v>
      </c>
      <c r="B126" s="16">
        <v>44193</v>
      </c>
      <c r="C126" s="9" t="s">
        <v>232</v>
      </c>
      <c r="D126" s="36">
        <v>2</v>
      </c>
      <c r="E126" s="13">
        <v>35</v>
      </c>
      <c r="F126" s="17">
        <f t="shared" si="1"/>
        <v>70</v>
      </c>
    </row>
    <row r="127" spans="1:6" s="8" customFormat="1" ht="15.75" x14ac:dyDescent="0.25">
      <c r="A127" s="15" t="s">
        <v>353</v>
      </c>
      <c r="B127" s="16">
        <v>44193</v>
      </c>
      <c r="C127" s="9" t="s">
        <v>233</v>
      </c>
      <c r="D127" s="36">
        <v>5</v>
      </c>
      <c r="E127" s="13">
        <v>17.920000000000002</v>
      </c>
      <c r="F127" s="17">
        <f t="shared" si="1"/>
        <v>89.600000000000009</v>
      </c>
    </row>
    <row r="128" spans="1:6" s="8" customFormat="1" ht="15.75" x14ac:dyDescent="0.25">
      <c r="A128" s="15" t="s">
        <v>354</v>
      </c>
      <c r="B128" s="16">
        <v>44193</v>
      </c>
      <c r="C128" s="26" t="s">
        <v>87</v>
      </c>
      <c r="D128" s="36">
        <v>200</v>
      </c>
      <c r="E128" s="13">
        <v>62</v>
      </c>
      <c r="F128" s="17">
        <f t="shared" si="1"/>
        <v>12400</v>
      </c>
    </row>
    <row r="129" spans="1:6" s="8" customFormat="1" ht="15.75" x14ac:dyDescent="0.25">
      <c r="A129" s="15" t="s">
        <v>355</v>
      </c>
      <c r="B129" s="16">
        <v>44193</v>
      </c>
      <c r="C129" s="25" t="s">
        <v>234</v>
      </c>
      <c r="D129" s="37">
        <v>63</v>
      </c>
      <c r="E129" s="13">
        <v>231</v>
      </c>
      <c r="F129" s="17">
        <f t="shared" si="1"/>
        <v>14553</v>
      </c>
    </row>
    <row r="130" spans="1:6" s="8" customFormat="1" ht="15.75" x14ac:dyDescent="0.25">
      <c r="A130" s="15" t="s">
        <v>356</v>
      </c>
      <c r="B130" s="16">
        <v>44193</v>
      </c>
      <c r="C130" s="9" t="s">
        <v>235</v>
      </c>
      <c r="D130" s="37">
        <v>129</v>
      </c>
      <c r="E130" s="13">
        <v>58.68</v>
      </c>
      <c r="F130" s="17">
        <f t="shared" si="1"/>
        <v>7569.72</v>
      </c>
    </row>
    <row r="131" spans="1:6" s="8" customFormat="1" ht="15.75" x14ac:dyDescent="0.25">
      <c r="A131" s="15" t="s">
        <v>357</v>
      </c>
      <c r="B131" s="16">
        <v>44193</v>
      </c>
      <c r="C131" s="9" t="s">
        <v>236</v>
      </c>
      <c r="D131" s="36">
        <v>29</v>
      </c>
      <c r="E131" s="13">
        <v>500</v>
      </c>
      <c r="F131" s="17">
        <f t="shared" si="1"/>
        <v>14500</v>
      </c>
    </row>
    <row r="132" spans="1:6" s="8" customFormat="1" ht="15.75" x14ac:dyDescent="0.25">
      <c r="A132" s="15" t="s">
        <v>358</v>
      </c>
      <c r="B132" s="16">
        <v>44193</v>
      </c>
      <c r="C132" s="9" t="s">
        <v>237</v>
      </c>
      <c r="D132" s="30">
        <v>22</v>
      </c>
      <c r="E132" s="13">
        <v>110</v>
      </c>
      <c r="F132" s="17">
        <f t="shared" si="1"/>
        <v>2420</v>
      </c>
    </row>
    <row r="133" spans="1:6" s="8" customFormat="1" ht="15.75" x14ac:dyDescent="0.25">
      <c r="A133" s="15" t="s">
        <v>359</v>
      </c>
      <c r="B133" s="16">
        <v>44193</v>
      </c>
      <c r="C133" s="9" t="s">
        <v>238</v>
      </c>
      <c r="D133" s="36">
        <v>180</v>
      </c>
      <c r="E133" s="13">
        <v>175</v>
      </c>
      <c r="F133" s="17">
        <f t="shared" si="1"/>
        <v>31500</v>
      </c>
    </row>
    <row r="134" spans="1:6" s="8" customFormat="1" ht="15.75" x14ac:dyDescent="0.25">
      <c r="A134" s="15" t="s">
        <v>360</v>
      </c>
      <c r="B134" s="23" t="s">
        <v>106</v>
      </c>
      <c r="C134" s="9" t="s">
        <v>239</v>
      </c>
      <c r="D134" s="36">
        <v>47</v>
      </c>
      <c r="E134" s="21">
        <v>300</v>
      </c>
      <c r="F134" s="17">
        <f t="shared" si="1"/>
        <v>14100</v>
      </c>
    </row>
    <row r="135" spans="1:6" s="8" customFormat="1" ht="15.75" x14ac:dyDescent="0.25">
      <c r="A135" s="15" t="s">
        <v>361</v>
      </c>
      <c r="B135" s="23" t="s">
        <v>106</v>
      </c>
      <c r="C135" s="9" t="s">
        <v>240</v>
      </c>
      <c r="D135" s="36">
        <v>40</v>
      </c>
      <c r="E135" s="21">
        <v>350</v>
      </c>
      <c r="F135" s="17">
        <f t="shared" si="1"/>
        <v>14000</v>
      </c>
    </row>
    <row r="136" spans="1:6" s="8" customFormat="1" ht="15.75" x14ac:dyDescent="0.25">
      <c r="A136" s="15" t="s">
        <v>362</v>
      </c>
      <c r="B136" s="23" t="s">
        <v>106</v>
      </c>
      <c r="C136" s="9" t="s">
        <v>241</v>
      </c>
      <c r="D136" s="36">
        <v>10</v>
      </c>
      <c r="E136" s="21">
        <v>110</v>
      </c>
      <c r="F136" s="17">
        <f t="shared" ref="F136:F199" si="2">D136*E136</f>
        <v>1100</v>
      </c>
    </row>
    <row r="137" spans="1:6" s="8" customFormat="1" ht="15.75" x14ac:dyDescent="0.25">
      <c r="A137" s="15" t="s">
        <v>363</v>
      </c>
      <c r="B137" s="23" t="s">
        <v>106</v>
      </c>
      <c r="C137" s="26" t="s">
        <v>242</v>
      </c>
      <c r="D137" s="36">
        <v>1</v>
      </c>
      <c r="E137" s="21">
        <v>175</v>
      </c>
      <c r="F137" s="17">
        <f t="shared" si="2"/>
        <v>175</v>
      </c>
    </row>
    <row r="138" spans="1:6" s="8" customFormat="1" ht="15.75" x14ac:dyDescent="0.25">
      <c r="A138" s="15" t="s">
        <v>364</v>
      </c>
      <c r="B138" s="16">
        <v>44193</v>
      </c>
      <c r="C138" s="9" t="s">
        <v>243</v>
      </c>
      <c r="D138" s="32">
        <v>1</v>
      </c>
      <c r="E138" s="13">
        <v>900</v>
      </c>
      <c r="F138" s="17">
        <f t="shared" si="2"/>
        <v>900</v>
      </c>
    </row>
    <row r="139" spans="1:6" s="8" customFormat="1" ht="15.75" x14ac:dyDescent="0.25">
      <c r="A139" s="15" t="s">
        <v>365</v>
      </c>
      <c r="B139" s="16">
        <v>44193</v>
      </c>
      <c r="C139" s="25" t="s">
        <v>244</v>
      </c>
      <c r="D139" s="33">
        <v>2</v>
      </c>
      <c r="E139" s="13">
        <v>17.07</v>
      </c>
      <c r="F139" s="17">
        <f t="shared" si="2"/>
        <v>34.14</v>
      </c>
    </row>
    <row r="140" spans="1:6" s="8" customFormat="1" ht="15.75" x14ac:dyDescent="0.25">
      <c r="A140" s="15" t="s">
        <v>366</v>
      </c>
      <c r="B140" s="16">
        <v>44193</v>
      </c>
      <c r="C140" s="25" t="s">
        <v>245</v>
      </c>
      <c r="D140" s="32">
        <v>4</v>
      </c>
      <c r="E140" s="13">
        <v>18</v>
      </c>
      <c r="F140" s="17">
        <f t="shared" si="2"/>
        <v>72</v>
      </c>
    </row>
    <row r="141" spans="1:6" s="8" customFormat="1" ht="15.75" x14ac:dyDescent="0.25">
      <c r="A141" s="15" t="s">
        <v>367</v>
      </c>
      <c r="B141" s="16">
        <v>44193</v>
      </c>
      <c r="C141" s="25" t="s">
        <v>246</v>
      </c>
      <c r="D141" s="32">
        <v>1</v>
      </c>
      <c r="E141" s="13">
        <v>2100</v>
      </c>
      <c r="F141" s="17">
        <f t="shared" si="2"/>
        <v>2100</v>
      </c>
    </row>
    <row r="142" spans="1:6" s="8" customFormat="1" ht="15.75" x14ac:dyDescent="0.25">
      <c r="A142" s="15" t="s">
        <v>368</v>
      </c>
      <c r="B142" s="16">
        <v>44193</v>
      </c>
      <c r="C142" s="25" t="s">
        <v>247</v>
      </c>
      <c r="D142" s="37">
        <v>11</v>
      </c>
      <c r="E142" s="13">
        <v>1285.2</v>
      </c>
      <c r="F142" s="17">
        <f t="shared" si="2"/>
        <v>14137.2</v>
      </c>
    </row>
    <row r="143" spans="1:6" s="8" customFormat="1" ht="15.75" x14ac:dyDescent="0.25">
      <c r="A143" s="15" t="s">
        <v>369</v>
      </c>
      <c r="B143" s="16">
        <v>44193</v>
      </c>
      <c r="C143" s="26" t="s">
        <v>248</v>
      </c>
      <c r="D143" s="37">
        <v>17</v>
      </c>
      <c r="E143" s="13">
        <v>690.28</v>
      </c>
      <c r="F143" s="17">
        <f t="shared" si="2"/>
        <v>11734.76</v>
      </c>
    </row>
    <row r="144" spans="1:6" s="8" customFormat="1" ht="15.75" x14ac:dyDescent="0.25">
      <c r="A144" s="15" t="s">
        <v>370</v>
      </c>
      <c r="B144" s="16">
        <v>44193</v>
      </c>
      <c r="C144" s="25" t="s">
        <v>249</v>
      </c>
      <c r="D144" s="37">
        <v>1</v>
      </c>
      <c r="E144" s="13">
        <v>905.19</v>
      </c>
      <c r="F144" s="17">
        <f t="shared" si="2"/>
        <v>905.19</v>
      </c>
    </row>
    <row r="145" spans="1:6" s="8" customFormat="1" ht="15.75" x14ac:dyDescent="0.25">
      <c r="A145" s="15" t="s">
        <v>371</v>
      </c>
      <c r="B145" s="16">
        <v>44193</v>
      </c>
      <c r="C145" s="26" t="s">
        <v>250</v>
      </c>
      <c r="D145" s="37">
        <v>15</v>
      </c>
      <c r="E145" s="13">
        <v>676.73</v>
      </c>
      <c r="F145" s="17">
        <f t="shared" si="2"/>
        <v>10150.950000000001</v>
      </c>
    </row>
    <row r="146" spans="1:6" s="8" customFormat="1" ht="15.75" x14ac:dyDescent="0.25">
      <c r="A146" s="15" t="s">
        <v>372</v>
      </c>
      <c r="B146" s="16">
        <v>44193</v>
      </c>
      <c r="C146" s="26" t="s">
        <v>251</v>
      </c>
      <c r="D146" s="37">
        <v>4</v>
      </c>
      <c r="E146" s="13">
        <v>676.73</v>
      </c>
      <c r="F146" s="17">
        <f t="shared" si="2"/>
        <v>2706.92</v>
      </c>
    </row>
    <row r="147" spans="1:6" s="8" customFormat="1" ht="15.75" x14ac:dyDescent="0.25">
      <c r="A147" s="15" t="s">
        <v>373</v>
      </c>
      <c r="B147" s="16">
        <v>44193</v>
      </c>
      <c r="C147" s="26" t="s">
        <v>89</v>
      </c>
      <c r="D147" s="37">
        <v>10</v>
      </c>
      <c r="E147" s="13">
        <v>603.45000000000005</v>
      </c>
      <c r="F147" s="17">
        <f t="shared" si="2"/>
        <v>6034.5</v>
      </c>
    </row>
    <row r="148" spans="1:6" s="8" customFormat="1" ht="15.75" x14ac:dyDescent="0.25">
      <c r="A148" s="15" t="s">
        <v>374</v>
      </c>
      <c r="B148" s="16">
        <v>44193</v>
      </c>
      <c r="C148" s="26" t="s">
        <v>88</v>
      </c>
      <c r="D148" s="38">
        <v>20</v>
      </c>
      <c r="E148" s="13">
        <v>770</v>
      </c>
      <c r="F148" s="17">
        <f t="shared" si="2"/>
        <v>15400</v>
      </c>
    </row>
    <row r="149" spans="1:6" s="8" customFormat="1" ht="15.75" x14ac:dyDescent="0.25">
      <c r="A149" s="15" t="s">
        <v>375</v>
      </c>
      <c r="B149" s="16">
        <v>44193</v>
      </c>
      <c r="C149" s="26" t="s">
        <v>252</v>
      </c>
      <c r="D149" s="38">
        <v>1</v>
      </c>
      <c r="E149" s="13">
        <v>760</v>
      </c>
      <c r="F149" s="17">
        <f t="shared" si="2"/>
        <v>760</v>
      </c>
    </row>
    <row r="150" spans="1:6" s="8" customFormat="1" ht="15.75" x14ac:dyDescent="0.25">
      <c r="A150" s="15" t="s">
        <v>376</v>
      </c>
      <c r="B150" s="16">
        <v>44193</v>
      </c>
      <c r="C150" s="9" t="s">
        <v>253</v>
      </c>
      <c r="D150" s="33">
        <v>4</v>
      </c>
      <c r="E150" s="13">
        <v>960</v>
      </c>
      <c r="F150" s="17">
        <f t="shared" si="2"/>
        <v>3840</v>
      </c>
    </row>
    <row r="151" spans="1:6" s="8" customFormat="1" ht="15.75" x14ac:dyDescent="0.25">
      <c r="A151" s="15" t="s">
        <v>377</v>
      </c>
      <c r="B151" s="16">
        <v>44193</v>
      </c>
      <c r="C151" s="9" t="s">
        <v>254</v>
      </c>
      <c r="D151" s="33">
        <v>43</v>
      </c>
      <c r="E151" s="13">
        <v>676.73</v>
      </c>
      <c r="F151" s="17">
        <f t="shared" si="2"/>
        <v>29099.39</v>
      </c>
    </row>
    <row r="152" spans="1:6" s="8" customFormat="1" ht="15.75" x14ac:dyDescent="0.25">
      <c r="A152" s="15" t="s">
        <v>378</v>
      </c>
      <c r="B152" s="16">
        <v>44193</v>
      </c>
      <c r="C152" s="9" t="s">
        <v>255</v>
      </c>
      <c r="D152" s="33">
        <v>8</v>
      </c>
      <c r="E152" s="13">
        <v>700.56</v>
      </c>
      <c r="F152" s="17">
        <f t="shared" si="2"/>
        <v>5604.48</v>
      </c>
    </row>
    <row r="153" spans="1:6" s="8" customFormat="1" ht="15.75" x14ac:dyDescent="0.25">
      <c r="A153" s="15" t="s">
        <v>379</v>
      </c>
      <c r="B153" s="16">
        <v>44193</v>
      </c>
      <c r="C153" s="9" t="s">
        <v>256</v>
      </c>
      <c r="D153" s="33">
        <v>2</v>
      </c>
      <c r="E153" s="13">
        <v>719.1</v>
      </c>
      <c r="F153" s="17">
        <f t="shared" si="2"/>
        <v>1438.2</v>
      </c>
    </row>
    <row r="154" spans="1:6" s="8" customFormat="1" ht="15.75" x14ac:dyDescent="0.25">
      <c r="A154" s="15" t="s">
        <v>380</v>
      </c>
      <c r="B154" s="16">
        <v>44193</v>
      </c>
      <c r="C154" s="9" t="s">
        <v>257</v>
      </c>
      <c r="D154" s="33">
        <v>3</v>
      </c>
      <c r="E154" s="13">
        <v>719.1</v>
      </c>
      <c r="F154" s="17">
        <f t="shared" si="2"/>
        <v>2157.3000000000002</v>
      </c>
    </row>
    <row r="155" spans="1:6" s="8" customFormat="1" ht="15.75" x14ac:dyDescent="0.25">
      <c r="A155" s="15" t="s">
        <v>381</v>
      </c>
      <c r="B155" s="16">
        <v>44193</v>
      </c>
      <c r="C155" s="26" t="s">
        <v>258</v>
      </c>
      <c r="D155" s="32">
        <v>11</v>
      </c>
      <c r="E155" s="13">
        <v>13</v>
      </c>
      <c r="F155" s="17">
        <f t="shared" si="2"/>
        <v>143</v>
      </c>
    </row>
    <row r="156" spans="1:6" s="8" customFormat="1" ht="15.75" x14ac:dyDescent="0.25">
      <c r="A156" s="15" t="s">
        <v>382</v>
      </c>
      <c r="B156" s="16">
        <v>44193</v>
      </c>
      <c r="C156" s="25" t="s">
        <v>259</v>
      </c>
      <c r="D156" s="32">
        <v>2</v>
      </c>
      <c r="E156" s="13">
        <v>15</v>
      </c>
      <c r="F156" s="17">
        <f t="shared" si="2"/>
        <v>30</v>
      </c>
    </row>
    <row r="157" spans="1:6" s="8" customFormat="1" ht="15.75" x14ac:dyDescent="0.25">
      <c r="A157" s="15" t="s">
        <v>383</v>
      </c>
      <c r="B157" s="16">
        <v>44193</v>
      </c>
      <c r="C157" s="25" t="s">
        <v>260</v>
      </c>
      <c r="D157" s="32">
        <v>2</v>
      </c>
      <c r="E157" s="13">
        <v>550</v>
      </c>
      <c r="F157" s="17">
        <f t="shared" si="2"/>
        <v>1100</v>
      </c>
    </row>
    <row r="158" spans="1:6" s="8" customFormat="1" ht="15.75" x14ac:dyDescent="0.25">
      <c r="A158" s="15" t="s">
        <v>384</v>
      </c>
      <c r="B158" s="16">
        <v>44193</v>
      </c>
      <c r="C158" s="26" t="s">
        <v>493</v>
      </c>
      <c r="D158" s="39">
        <v>13.5</v>
      </c>
      <c r="E158" s="13">
        <v>17.07</v>
      </c>
      <c r="F158" s="17">
        <f t="shared" si="2"/>
        <v>230.44499999999999</v>
      </c>
    </row>
    <row r="159" spans="1:6" s="8" customFormat="1" ht="15.75" x14ac:dyDescent="0.25">
      <c r="A159" s="15" t="s">
        <v>385</v>
      </c>
      <c r="B159" s="23" t="s">
        <v>108</v>
      </c>
      <c r="C159" s="26" t="s">
        <v>90</v>
      </c>
      <c r="D159" s="32">
        <v>4</v>
      </c>
      <c r="E159" s="21">
        <v>65</v>
      </c>
      <c r="F159" s="17">
        <f t="shared" si="2"/>
        <v>260</v>
      </c>
    </row>
    <row r="160" spans="1:6" s="8" customFormat="1" ht="15.75" x14ac:dyDescent="0.25">
      <c r="A160" s="15" t="s">
        <v>386</v>
      </c>
      <c r="B160" s="23" t="s">
        <v>116</v>
      </c>
      <c r="C160" s="25" t="s">
        <v>261</v>
      </c>
      <c r="D160" s="32">
        <v>19</v>
      </c>
      <c r="E160" s="21">
        <v>122.43</v>
      </c>
      <c r="F160" s="17">
        <f t="shared" si="2"/>
        <v>2326.17</v>
      </c>
    </row>
    <row r="161" spans="1:6" s="8" customFormat="1" ht="15.75" x14ac:dyDescent="0.25">
      <c r="A161" s="15" t="s">
        <v>387</v>
      </c>
      <c r="B161" s="16">
        <v>44193</v>
      </c>
      <c r="C161" s="9" t="s">
        <v>262</v>
      </c>
      <c r="D161" s="33">
        <v>6</v>
      </c>
      <c r="E161" s="13">
        <v>125</v>
      </c>
      <c r="F161" s="17">
        <f t="shared" si="2"/>
        <v>750</v>
      </c>
    </row>
    <row r="162" spans="1:6" s="8" customFormat="1" ht="15.75" x14ac:dyDescent="0.25">
      <c r="A162" s="15" t="s">
        <v>388</v>
      </c>
      <c r="B162" s="16">
        <v>44193</v>
      </c>
      <c r="C162" s="9" t="s">
        <v>263</v>
      </c>
      <c r="D162" s="33">
        <v>1</v>
      </c>
      <c r="E162" s="13">
        <v>5</v>
      </c>
      <c r="F162" s="17">
        <f t="shared" si="2"/>
        <v>5</v>
      </c>
    </row>
    <row r="163" spans="1:6" s="8" customFormat="1" ht="15.75" x14ac:dyDescent="0.25">
      <c r="A163" s="15" t="s">
        <v>389</v>
      </c>
      <c r="B163" s="16">
        <v>44193</v>
      </c>
      <c r="C163" s="9" t="s">
        <v>494</v>
      </c>
      <c r="D163" s="33">
        <v>10</v>
      </c>
      <c r="E163" s="13">
        <v>72.8</v>
      </c>
      <c r="F163" s="17">
        <f t="shared" si="2"/>
        <v>728</v>
      </c>
    </row>
    <row r="164" spans="1:6" s="8" customFormat="1" ht="15.75" x14ac:dyDescent="0.25">
      <c r="A164" s="15" t="s">
        <v>390</v>
      </c>
      <c r="B164" s="16">
        <v>44193</v>
      </c>
      <c r="C164" s="9" t="s">
        <v>264</v>
      </c>
      <c r="D164" s="33">
        <v>2</v>
      </c>
      <c r="E164" s="13">
        <v>50</v>
      </c>
      <c r="F164" s="17">
        <f t="shared" si="2"/>
        <v>100</v>
      </c>
    </row>
    <row r="165" spans="1:6" s="8" customFormat="1" ht="15.75" x14ac:dyDescent="0.25">
      <c r="A165" s="15" t="s">
        <v>391</v>
      </c>
      <c r="B165" s="16">
        <v>44193</v>
      </c>
      <c r="C165" s="9" t="s">
        <v>265</v>
      </c>
      <c r="D165" s="33">
        <v>11</v>
      </c>
      <c r="E165" s="13">
        <v>37.74</v>
      </c>
      <c r="F165" s="17">
        <f t="shared" si="2"/>
        <v>415.14000000000004</v>
      </c>
    </row>
    <row r="166" spans="1:6" s="8" customFormat="1" ht="15.75" x14ac:dyDescent="0.25">
      <c r="A166" s="15" t="s">
        <v>392</v>
      </c>
      <c r="B166" s="16">
        <v>44193</v>
      </c>
      <c r="C166" s="9" t="s">
        <v>266</v>
      </c>
      <c r="D166" s="33">
        <v>94</v>
      </c>
      <c r="E166" s="13">
        <v>50</v>
      </c>
      <c r="F166" s="17">
        <f t="shared" si="2"/>
        <v>4700</v>
      </c>
    </row>
    <row r="167" spans="1:6" s="8" customFormat="1" ht="15.75" x14ac:dyDescent="0.25">
      <c r="A167" s="15" t="s">
        <v>393</v>
      </c>
      <c r="B167" s="16">
        <v>44193</v>
      </c>
      <c r="C167" s="9" t="s">
        <v>267</v>
      </c>
      <c r="D167" s="14">
        <v>10</v>
      </c>
      <c r="E167" s="13">
        <v>55</v>
      </c>
      <c r="F167" s="17">
        <f t="shared" si="2"/>
        <v>550</v>
      </c>
    </row>
    <row r="168" spans="1:6" s="8" customFormat="1" ht="15.75" x14ac:dyDescent="0.25">
      <c r="A168" s="15" t="s">
        <v>394</v>
      </c>
      <c r="B168" s="16">
        <v>44193</v>
      </c>
      <c r="C168" s="9" t="s">
        <v>495</v>
      </c>
      <c r="D168" s="14">
        <v>109</v>
      </c>
      <c r="E168" s="13">
        <v>110.17</v>
      </c>
      <c r="F168" s="17">
        <f t="shared" si="2"/>
        <v>12008.53</v>
      </c>
    </row>
    <row r="169" spans="1:6" s="8" customFormat="1" ht="15.75" x14ac:dyDescent="0.25">
      <c r="A169" s="15" t="s">
        <v>395</v>
      </c>
      <c r="B169" s="16">
        <v>44193</v>
      </c>
      <c r="C169" s="9" t="s">
        <v>496</v>
      </c>
      <c r="D169" s="30">
        <v>75</v>
      </c>
      <c r="E169" s="13">
        <v>1416</v>
      </c>
      <c r="F169" s="17">
        <f t="shared" si="2"/>
        <v>106200</v>
      </c>
    </row>
    <row r="170" spans="1:6" s="8" customFormat="1" ht="15.75" x14ac:dyDescent="0.25">
      <c r="A170" s="15" t="s">
        <v>396</v>
      </c>
      <c r="B170" s="16">
        <v>44193</v>
      </c>
      <c r="C170" s="9" t="s">
        <v>268</v>
      </c>
      <c r="D170" s="30">
        <v>10</v>
      </c>
      <c r="E170" s="13">
        <v>128</v>
      </c>
      <c r="F170" s="17">
        <f t="shared" si="2"/>
        <v>1280</v>
      </c>
    </row>
    <row r="171" spans="1:6" s="8" customFormat="1" ht="15.75" x14ac:dyDescent="0.25">
      <c r="A171" s="15" t="s">
        <v>397</v>
      </c>
      <c r="B171" s="16">
        <v>44193</v>
      </c>
      <c r="C171" s="9" t="s">
        <v>269</v>
      </c>
      <c r="D171" s="30">
        <v>25</v>
      </c>
      <c r="E171" s="13">
        <v>107</v>
      </c>
      <c r="F171" s="17">
        <f t="shared" si="2"/>
        <v>2675</v>
      </c>
    </row>
    <row r="172" spans="1:6" s="8" customFormat="1" ht="15.75" x14ac:dyDescent="0.25">
      <c r="A172" s="15" t="s">
        <v>398</v>
      </c>
      <c r="B172" s="16">
        <v>44193</v>
      </c>
      <c r="C172" s="9" t="s">
        <v>270</v>
      </c>
      <c r="D172" s="30">
        <v>2</v>
      </c>
      <c r="E172" s="13">
        <v>107</v>
      </c>
      <c r="F172" s="17">
        <f t="shared" si="2"/>
        <v>214</v>
      </c>
    </row>
    <row r="173" spans="1:6" s="8" customFormat="1" ht="15.75" x14ac:dyDescent="0.25">
      <c r="A173" s="15" t="s">
        <v>399</v>
      </c>
      <c r="B173" s="16">
        <v>44193</v>
      </c>
      <c r="C173" s="9" t="s">
        <v>271</v>
      </c>
      <c r="D173" s="30">
        <v>4</v>
      </c>
      <c r="E173" s="13">
        <v>33</v>
      </c>
      <c r="F173" s="17">
        <f t="shared" si="2"/>
        <v>132</v>
      </c>
    </row>
    <row r="174" spans="1:6" s="8" customFormat="1" ht="15.75" x14ac:dyDescent="0.25">
      <c r="A174" s="15" t="s">
        <v>400</v>
      </c>
      <c r="B174" s="16">
        <v>44193</v>
      </c>
      <c r="C174" s="9" t="s">
        <v>272</v>
      </c>
      <c r="D174" s="30">
        <v>5</v>
      </c>
      <c r="E174" s="13">
        <v>118.3</v>
      </c>
      <c r="F174" s="17">
        <f t="shared" si="2"/>
        <v>591.5</v>
      </c>
    </row>
    <row r="175" spans="1:6" s="8" customFormat="1" ht="15.75" x14ac:dyDescent="0.25">
      <c r="A175" s="15" t="s">
        <v>401</v>
      </c>
      <c r="B175" s="16">
        <v>44193</v>
      </c>
      <c r="C175" s="9" t="s">
        <v>273</v>
      </c>
      <c r="D175" s="30">
        <v>2</v>
      </c>
      <c r="E175" s="13">
        <v>30</v>
      </c>
      <c r="F175" s="17">
        <f t="shared" si="2"/>
        <v>60</v>
      </c>
    </row>
    <row r="176" spans="1:6" s="8" customFormat="1" ht="15.75" x14ac:dyDescent="0.25">
      <c r="A176" s="15" t="s">
        <v>402</v>
      </c>
      <c r="B176" s="16">
        <v>44193</v>
      </c>
      <c r="C176" s="9" t="s">
        <v>274</v>
      </c>
      <c r="D176" s="30">
        <v>11</v>
      </c>
      <c r="E176" s="13">
        <v>75</v>
      </c>
      <c r="F176" s="17">
        <f t="shared" si="2"/>
        <v>825</v>
      </c>
    </row>
    <row r="177" spans="1:6" s="8" customFormat="1" ht="15.75" x14ac:dyDescent="0.25">
      <c r="A177" s="15" t="s">
        <v>403</v>
      </c>
      <c r="B177" s="16">
        <v>44193</v>
      </c>
      <c r="C177" s="9" t="s">
        <v>275</v>
      </c>
      <c r="D177" s="30">
        <v>32</v>
      </c>
      <c r="E177" s="13">
        <v>16.45</v>
      </c>
      <c r="F177" s="17">
        <f t="shared" si="2"/>
        <v>526.4</v>
      </c>
    </row>
    <row r="178" spans="1:6" s="8" customFormat="1" ht="15.75" x14ac:dyDescent="0.25">
      <c r="A178" s="15" t="s">
        <v>404</v>
      </c>
      <c r="B178" s="16">
        <v>44193</v>
      </c>
      <c r="C178" s="9" t="s">
        <v>276</v>
      </c>
      <c r="D178" s="30">
        <v>22</v>
      </c>
      <c r="E178" s="13">
        <v>78</v>
      </c>
      <c r="F178" s="17">
        <f t="shared" si="2"/>
        <v>1716</v>
      </c>
    </row>
    <row r="179" spans="1:6" s="8" customFormat="1" ht="15.75" x14ac:dyDescent="0.25">
      <c r="A179" s="15" t="s">
        <v>405</v>
      </c>
      <c r="B179" s="16">
        <v>44193</v>
      </c>
      <c r="C179" s="25" t="s">
        <v>277</v>
      </c>
      <c r="D179" s="38">
        <v>13</v>
      </c>
      <c r="E179" s="13">
        <v>219.95</v>
      </c>
      <c r="F179" s="17">
        <f t="shared" si="2"/>
        <v>2859.35</v>
      </c>
    </row>
    <row r="180" spans="1:6" s="8" customFormat="1" ht="15.75" x14ac:dyDescent="0.25">
      <c r="A180" s="15" t="s">
        <v>406</v>
      </c>
      <c r="B180" s="16">
        <v>44193</v>
      </c>
      <c r="C180" s="25" t="s">
        <v>278</v>
      </c>
      <c r="D180" s="38">
        <v>7</v>
      </c>
      <c r="E180" s="13">
        <v>16.559999999999999</v>
      </c>
      <c r="F180" s="17">
        <f t="shared" si="2"/>
        <v>115.91999999999999</v>
      </c>
    </row>
    <row r="181" spans="1:6" s="8" customFormat="1" ht="15.75" x14ac:dyDescent="0.25">
      <c r="A181" s="15" t="s">
        <v>407</v>
      </c>
      <c r="B181" s="16">
        <v>44193</v>
      </c>
      <c r="C181" s="9" t="s">
        <v>279</v>
      </c>
      <c r="D181" s="30">
        <v>84</v>
      </c>
      <c r="E181" s="13">
        <v>21</v>
      </c>
      <c r="F181" s="17">
        <f t="shared" si="2"/>
        <v>1764</v>
      </c>
    </row>
    <row r="182" spans="1:6" s="8" customFormat="1" ht="15.75" x14ac:dyDescent="0.25">
      <c r="A182" s="15" t="s">
        <v>408</v>
      </c>
      <c r="B182" s="16">
        <v>44193</v>
      </c>
      <c r="C182" s="9" t="s">
        <v>280</v>
      </c>
      <c r="D182" s="30">
        <v>3</v>
      </c>
      <c r="E182" s="13">
        <v>23</v>
      </c>
      <c r="F182" s="17">
        <f t="shared" si="2"/>
        <v>69</v>
      </c>
    </row>
    <row r="183" spans="1:6" s="8" customFormat="1" ht="15.75" x14ac:dyDescent="0.25">
      <c r="A183" s="15" t="s">
        <v>409</v>
      </c>
      <c r="B183" s="16">
        <v>44193</v>
      </c>
      <c r="C183" s="9" t="s">
        <v>281</v>
      </c>
      <c r="D183" s="30">
        <v>413</v>
      </c>
      <c r="E183" s="13">
        <v>18.97</v>
      </c>
      <c r="F183" s="17">
        <f t="shared" si="2"/>
        <v>7834.61</v>
      </c>
    </row>
    <row r="184" spans="1:6" s="8" customFormat="1" ht="15.75" x14ac:dyDescent="0.25">
      <c r="A184" s="15" t="s">
        <v>410</v>
      </c>
      <c r="B184" s="16">
        <v>44193</v>
      </c>
      <c r="C184" s="9" t="s">
        <v>282</v>
      </c>
      <c r="D184" s="30">
        <v>24</v>
      </c>
      <c r="E184" s="13">
        <v>186.21</v>
      </c>
      <c r="F184" s="17">
        <f t="shared" si="2"/>
        <v>4469.04</v>
      </c>
    </row>
    <row r="185" spans="1:6" s="8" customFormat="1" ht="15.75" x14ac:dyDescent="0.25">
      <c r="A185" s="15" t="s">
        <v>411</v>
      </c>
      <c r="B185" s="23" t="s">
        <v>112</v>
      </c>
      <c r="C185" s="9" t="s">
        <v>283</v>
      </c>
      <c r="D185" s="30">
        <v>10</v>
      </c>
      <c r="E185" s="21">
        <v>3900</v>
      </c>
      <c r="F185" s="17">
        <f t="shared" si="2"/>
        <v>39000</v>
      </c>
    </row>
    <row r="186" spans="1:6" s="8" customFormat="1" ht="15.75" x14ac:dyDescent="0.25">
      <c r="A186" s="15" t="s">
        <v>412</v>
      </c>
      <c r="B186" s="23" t="s">
        <v>105</v>
      </c>
      <c r="C186" s="9" t="s">
        <v>284</v>
      </c>
      <c r="D186" s="30">
        <v>141</v>
      </c>
      <c r="E186" s="21">
        <v>150</v>
      </c>
      <c r="F186" s="17">
        <f t="shared" si="2"/>
        <v>21150</v>
      </c>
    </row>
    <row r="187" spans="1:6" s="8" customFormat="1" ht="15.75" x14ac:dyDescent="0.25">
      <c r="A187" s="15" t="s">
        <v>413</v>
      </c>
      <c r="B187" s="16">
        <v>44193</v>
      </c>
      <c r="C187" s="9" t="s">
        <v>285</v>
      </c>
      <c r="D187" s="30">
        <v>115</v>
      </c>
      <c r="E187" s="13">
        <v>3900</v>
      </c>
      <c r="F187" s="17">
        <f t="shared" si="2"/>
        <v>448500</v>
      </c>
    </row>
    <row r="188" spans="1:6" s="8" customFormat="1" ht="15.75" x14ac:dyDescent="0.25">
      <c r="A188" s="15" t="s">
        <v>414</v>
      </c>
      <c r="B188" s="16">
        <v>44193</v>
      </c>
      <c r="C188" s="25" t="s">
        <v>497</v>
      </c>
      <c r="D188" s="38">
        <v>7</v>
      </c>
      <c r="E188" s="13">
        <v>150</v>
      </c>
      <c r="F188" s="17">
        <f t="shared" si="2"/>
        <v>1050</v>
      </c>
    </row>
    <row r="189" spans="1:6" s="8" customFormat="1" ht="15.75" x14ac:dyDescent="0.25">
      <c r="A189" s="15" t="s">
        <v>415</v>
      </c>
      <c r="B189" s="16">
        <v>44193</v>
      </c>
      <c r="C189" s="25" t="s">
        <v>498</v>
      </c>
      <c r="D189" s="38">
        <v>7</v>
      </c>
      <c r="E189" s="13">
        <v>105</v>
      </c>
      <c r="F189" s="17">
        <f t="shared" si="2"/>
        <v>735</v>
      </c>
    </row>
    <row r="190" spans="1:6" s="8" customFormat="1" ht="15.75" x14ac:dyDescent="0.25">
      <c r="A190" s="15" t="s">
        <v>416</v>
      </c>
      <c r="B190" s="16">
        <v>44193</v>
      </c>
      <c r="C190" s="26" t="s">
        <v>286</v>
      </c>
      <c r="D190" s="38">
        <v>8</v>
      </c>
      <c r="E190" s="13">
        <v>40</v>
      </c>
      <c r="F190" s="17">
        <f t="shared" si="2"/>
        <v>320</v>
      </c>
    </row>
    <row r="191" spans="1:6" s="8" customFormat="1" ht="15.75" x14ac:dyDescent="0.25">
      <c r="A191" s="15" t="s">
        <v>417</v>
      </c>
      <c r="B191" s="16">
        <v>44193</v>
      </c>
      <c r="C191" s="9" t="s">
        <v>287</v>
      </c>
      <c r="D191" s="30">
        <v>18</v>
      </c>
      <c r="E191" s="13">
        <v>40</v>
      </c>
      <c r="F191" s="17">
        <f t="shared" si="2"/>
        <v>720</v>
      </c>
    </row>
    <row r="192" spans="1:6" s="8" customFormat="1" ht="15.75" x14ac:dyDescent="0.25">
      <c r="A192" s="15" t="s">
        <v>418</v>
      </c>
      <c r="B192" s="16" t="s">
        <v>107</v>
      </c>
      <c r="C192" s="26" t="s">
        <v>288</v>
      </c>
      <c r="D192" s="38">
        <v>4</v>
      </c>
      <c r="E192" s="21">
        <v>40</v>
      </c>
      <c r="F192" s="17">
        <f t="shared" si="2"/>
        <v>160</v>
      </c>
    </row>
    <row r="193" spans="1:6" s="8" customFormat="1" ht="15.75" x14ac:dyDescent="0.25">
      <c r="A193" s="15" t="s">
        <v>419</v>
      </c>
      <c r="B193" s="16">
        <v>44193</v>
      </c>
      <c r="C193" s="26" t="s">
        <v>289</v>
      </c>
      <c r="D193" s="38">
        <v>10</v>
      </c>
      <c r="E193" s="13">
        <v>40</v>
      </c>
      <c r="F193" s="17">
        <f t="shared" si="2"/>
        <v>400</v>
      </c>
    </row>
    <row r="194" spans="1:6" s="8" customFormat="1" ht="15.75" x14ac:dyDescent="0.25">
      <c r="A194" s="15" t="s">
        <v>420</v>
      </c>
      <c r="B194" s="16" t="s">
        <v>107</v>
      </c>
      <c r="C194" s="26" t="s">
        <v>290</v>
      </c>
      <c r="D194" s="38">
        <v>4</v>
      </c>
      <c r="E194" s="21">
        <v>45</v>
      </c>
      <c r="F194" s="17">
        <f t="shared" si="2"/>
        <v>180</v>
      </c>
    </row>
    <row r="195" spans="1:6" s="8" customFormat="1" ht="15.75" x14ac:dyDescent="0.25">
      <c r="A195" s="15" t="s">
        <v>421</v>
      </c>
      <c r="B195" s="16">
        <v>44193</v>
      </c>
      <c r="C195" s="9" t="s">
        <v>291</v>
      </c>
      <c r="D195" s="30">
        <v>11</v>
      </c>
      <c r="E195" s="13">
        <v>45</v>
      </c>
      <c r="F195" s="17">
        <f t="shared" si="2"/>
        <v>495</v>
      </c>
    </row>
    <row r="196" spans="1:6" s="8" customFormat="1" ht="15.75" x14ac:dyDescent="0.25">
      <c r="A196" s="15" t="s">
        <v>422</v>
      </c>
      <c r="B196" s="16">
        <v>44193</v>
      </c>
      <c r="C196" s="9" t="s">
        <v>292</v>
      </c>
      <c r="D196" s="30">
        <v>63</v>
      </c>
      <c r="E196" s="13">
        <v>40</v>
      </c>
      <c r="F196" s="17">
        <f t="shared" si="2"/>
        <v>2520</v>
      </c>
    </row>
    <row r="197" spans="1:6" s="8" customFormat="1" ht="15.75" x14ac:dyDescent="0.25">
      <c r="A197" s="15" t="s">
        <v>423</v>
      </c>
      <c r="B197" s="16">
        <v>44193</v>
      </c>
      <c r="C197" s="9" t="s">
        <v>293</v>
      </c>
      <c r="D197" s="30">
        <v>1</v>
      </c>
      <c r="E197" s="13">
        <v>40</v>
      </c>
      <c r="F197" s="17">
        <f t="shared" si="2"/>
        <v>40</v>
      </c>
    </row>
    <row r="198" spans="1:6" s="8" customFormat="1" ht="15.75" x14ac:dyDescent="0.25">
      <c r="A198" s="15" t="s">
        <v>424</v>
      </c>
      <c r="B198" s="16">
        <v>44193</v>
      </c>
      <c r="C198" s="26" t="s">
        <v>294</v>
      </c>
      <c r="D198" s="38">
        <v>1</v>
      </c>
      <c r="E198" s="13">
        <v>45</v>
      </c>
      <c r="F198" s="17">
        <f t="shared" si="2"/>
        <v>45</v>
      </c>
    </row>
    <row r="199" spans="1:6" s="8" customFormat="1" ht="15.75" x14ac:dyDescent="0.25">
      <c r="A199" s="15" t="s">
        <v>425</v>
      </c>
      <c r="B199" s="16">
        <v>44193</v>
      </c>
      <c r="C199" s="26" t="s">
        <v>295</v>
      </c>
      <c r="D199" s="14">
        <v>2</v>
      </c>
      <c r="E199" s="13">
        <v>556.79999999999995</v>
      </c>
      <c r="F199" s="17">
        <f t="shared" si="2"/>
        <v>1113.5999999999999</v>
      </c>
    </row>
    <row r="200" spans="1:6" s="8" customFormat="1" ht="15.75" x14ac:dyDescent="0.25">
      <c r="A200" s="15" t="s">
        <v>426</v>
      </c>
      <c r="B200" s="16">
        <v>44193</v>
      </c>
      <c r="C200" s="26" t="s">
        <v>296</v>
      </c>
      <c r="D200" s="38">
        <v>9</v>
      </c>
      <c r="E200" s="13">
        <v>5.94</v>
      </c>
      <c r="F200" s="17">
        <f t="shared" ref="F200:F247" si="3">D200*E200</f>
        <v>53.46</v>
      </c>
    </row>
    <row r="201" spans="1:6" s="8" customFormat="1" ht="15.75" x14ac:dyDescent="0.25">
      <c r="A201" s="15" t="s">
        <v>427</v>
      </c>
      <c r="B201" s="16">
        <v>44193</v>
      </c>
      <c r="C201" s="25" t="s">
        <v>297</v>
      </c>
      <c r="D201" s="38">
        <v>14</v>
      </c>
      <c r="E201" s="13">
        <v>43</v>
      </c>
      <c r="F201" s="17">
        <f t="shared" si="3"/>
        <v>602</v>
      </c>
    </row>
    <row r="202" spans="1:6" s="8" customFormat="1" ht="15.75" x14ac:dyDescent="0.25">
      <c r="A202" s="15" t="s">
        <v>428</v>
      </c>
      <c r="B202" s="16">
        <v>44193</v>
      </c>
      <c r="C202" s="9" t="s">
        <v>298</v>
      </c>
      <c r="D202" s="30">
        <v>5</v>
      </c>
      <c r="E202" s="13">
        <v>719.2</v>
      </c>
      <c r="F202" s="17">
        <f t="shared" si="3"/>
        <v>3596</v>
      </c>
    </row>
    <row r="203" spans="1:6" s="8" customFormat="1" ht="15.75" x14ac:dyDescent="0.25">
      <c r="A203" s="15" t="s">
        <v>429</v>
      </c>
      <c r="B203" s="16">
        <v>44193</v>
      </c>
      <c r="C203" s="25" t="s">
        <v>299</v>
      </c>
      <c r="D203" s="38">
        <v>14</v>
      </c>
      <c r="E203" s="13">
        <v>12.21</v>
      </c>
      <c r="F203" s="17">
        <f t="shared" si="3"/>
        <v>170.94</v>
      </c>
    </row>
    <row r="204" spans="1:6" s="8" customFormat="1" ht="15.75" x14ac:dyDescent="0.25">
      <c r="A204" s="15" t="s">
        <v>430</v>
      </c>
      <c r="B204" s="16">
        <v>44193</v>
      </c>
      <c r="C204" s="25" t="s">
        <v>300</v>
      </c>
      <c r="D204" s="14">
        <v>41</v>
      </c>
      <c r="E204" s="13">
        <v>39.950000000000003</v>
      </c>
      <c r="F204" s="17">
        <f t="shared" si="3"/>
        <v>1637.95</v>
      </c>
    </row>
    <row r="205" spans="1:6" s="8" customFormat="1" ht="15.75" x14ac:dyDescent="0.25">
      <c r="A205" s="15" t="s">
        <v>431</v>
      </c>
      <c r="B205" s="16">
        <v>44193</v>
      </c>
      <c r="C205" s="9" t="s">
        <v>301</v>
      </c>
      <c r="D205" s="30">
        <v>1</v>
      </c>
      <c r="E205" s="13">
        <v>107</v>
      </c>
      <c r="F205" s="17">
        <f t="shared" si="3"/>
        <v>107</v>
      </c>
    </row>
    <row r="206" spans="1:6" s="8" customFormat="1" ht="15.75" x14ac:dyDescent="0.25">
      <c r="A206" s="15" t="s">
        <v>432</v>
      </c>
      <c r="B206" s="16">
        <v>44193</v>
      </c>
      <c r="C206" s="9" t="s">
        <v>302</v>
      </c>
      <c r="D206" s="30">
        <v>250</v>
      </c>
      <c r="E206" s="13">
        <v>5.05</v>
      </c>
      <c r="F206" s="17">
        <f t="shared" si="3"/>
        <v>1262.5</v>
      </c>
    </row>
    <row r="207" spans="1:6" s="8" customFormat="1" ht="15.75" x14ac:dyDescent="0.25">
      <c r="A207" s="15" t="s">
        <v>433</v>
      </c>
      <c r="B207" s="16">
        <v>44193</v>
      </c>
      <c r="C207" s="9" t="s">
        <v>303</v>
      </c>
      <c r="D207" s="30">
        <v>32</v>
      </c>
      <c r="E207" s="13">
        <v>29</v>
      </c>
      <c r="F207" s="17">
        <f t="shared" si="3"/>
        <v>928</v>
      </c>
    </row>
    <row r="208" spans="1:6" s="8" customFormat="1" ht="15.75" x14ac:dyDescent="0.25">
      <c r="A208" s="15" t="s">
        <v>434</v>
      </c>
      <c r="B208" s="16">
        <v>44193</v>
      </c>
      <c r="C208" s="9" t="s">
        <v>304</v>
      </c>
      <c r="D208" s="30">
        <v>437</v>
      </c>
      <c r="E208" s="13">
        <v>42.95</v>
      </c>
      <c r="F208" s="17">
        <f t="shared" si="3"/>
        <v>18769.150000000001</v>
      </c>
    </row>
    <row r="209" spans="1:6" s="8" customFormat="1" ht="15.75" x14ac:dyDescent="0.25">
      <c r="A209" s="15" t="s">
        <v>435</v>
      </c>
      <c r="B209" s="16" t="s">
        <v>107</v>
      </c>
      <c r="C209" s="9" t="s">
        <v>305</v>
      </c>
      <c r="D209" s="30">
        <v>980</v>
      </c>
      <c r="E209" s="15">
        <v>5.05</v>
      </c>
      <c r="F209" s="17">
        <f t="shared" si="3"/>
        <v>4949</v>
      </c>
    </row>
    <row r="210" spans="1:6" s="8" customFormat="1" ht="15.75" x14ac:dyDescent="0.25">
      <c r="A210" s="15" t="s">
        <v>436</v>
      </c>
      <c r="B210" s="16">
        <v>44193</v>
      </c>
      <c r="C210" s="25" t="s">
        <v>306</v>
      </c>
      <c r="D210" s="38">
        <v>16</v>
      </c>
      <c r="E210" s="13">
        <v>19.95</v>
      </c>
      <c r="F210" s="17">
        <f t="shared" si="3"/>
        <v>319.2</v>
      </c>
    </row>
    <row r="211" spans="1:6" s="8" customFormat="1" ht="15.75" x14ac:dyDescent="0.25">
      <c r="A211" s="15" t="s">
        <v>437</v>
      </c>
      <c r="B211" s="16">
        <v>44193</v>
      </c>
      <c r="C211" s="9" t="s">
        <v>307</v>
      </c>
      <c r="D211" s="30">
        <v>9</v>
      </c>
      <c r="E211" s="13">
        <v>5.78</v>
      </c>
      <c r="F211" s="17">
        <f t="shared" si="3"/>
        <v>52.02</v>
      </c>
    </row>
    <row r="212" spans="1:6" s="8" customFormat="1" ht="15.75" x14ac:dyDescent="0.25">
      <c r="A212" s="15" t="s">
        <v>438</v>
      </c>
      <c r="B212" s="16">
        <v>44193</v>
      </c>
      <c r="C212" s="26" t="s">
        <v>91</v>
      </c>
      <c r="D212" s="38">
        <v>53</v>
      </c>
      <c r="E212" s="13">
        <v>29</v>
      </c>
      <c r="F212" s="17">
        <f t="shared" si="3"/>
        <v>1537</v>
      </c>
    </row>
    <row r="213" spans="1:6" s="8" customFormat="1" ht="15.75" x14ac:dyDescent="0.25">
      <c r="A213" s="15" t="s">
        <v>439</v>
      </c>
      <c r="B213" s="16">
        <v>44193</v>
      </c>
      <c r="C213" s="25" t="s">
        <v>308</v>
      </c>
      <c r="D213" s="14">
        <v>11</v>
      </c>
      <c r="E213" s="13">
        <v>35</v>
      </c>
      <c r="F213" s="17">
        <f t="shared" si="3"/>
        <v>385</v>
      </c>
    </row>
    <row r="214" spans="1:6" s="8" customFormat="1" ht="15.75" x14ac:dyDescent="0.25">
      <c r="A214" s="15" t="s">
        <v>440</v>
      </c>
      <c r="B214" s="16">
        <v>44193</v>
      </c>
      <c r="C214" s="25" t="s">
        <v>499</v>
      </c>
      <c r="D214" s="38">
        <v>19</v>
      </c>
      <c r="E214" s="13">
        <v>95</v>
      </c>
      <c r="F214" s="17">
        <f t="shared" si="3"/>
        <v>1805</v>
      </c>
    </row>
    <row r="215" spans="1:6" s="8" customFormat="1" ht="15.75" x14ac:dyDescent="0.25">
      <c r="A215" s="15" t="s">
        <v>441</v>
      </c>
      <c r="B215" s="23" t="s">
        <v>106</v>
      </c>
      <c r="C215" s="25" t="s">
        <v>92</v>
      </c>
      <c r="D215" s="38">
        <v>35</v>
      </c>
      <c r="E215" s="21">
        <v>90</v>
      </c>
      <c r="F215" s="17">
        <f t="shared" si="3"/>
        <v>3150</v>
      </c>
    </row>
    <row r="216" spans="1:6" s="8" customFormat="1" ht="15.75" x14ac:dyDescent="0.25">
      <c r="A216" s="15" t="s">
        <v>442</v>
      </c>
      <c r="B216" s="23" t="s">
        <v>106</v>
      </c>
      <c r="C216" s="25" t="s">
        <v>309</v>
      </c>
      <c r="D216" s="38">
        <v>16</v>
      </c>
      <c r="E216" s="21">
        <v>90</v>
      </c>
      <c r="F216" s="17">
        <f t="shared" si="3"/>
        <v>1440</v>
      </c>
    </row>
    <row r="217" spans="1:6" s="8" customFormat="1" ht="15.75" x14ac:dyDescent="0.25">
      <c r="A217" s="15" t="s">
        <v>443</v>
      </c>
      <c r="B217" s="16">
        <v>44193</v>
      </c>
      <c r="C217" s="25" t="s">
        <v>93</v>
      </c>
      <c r="D217" s="14">
        <v>4</v>
      </c>
      <c r="E217" s="13">
        <v>90</v>
      </c>
      <c r="F217" s="17">
        <f t="shared" si="3"/>
        <v>360</v>
      </c>
    </row>
    <row r="218" spans="1:6" s="8" customFormat="1" ht="15.75" x14ac:dyDescent="0.25">
      <c r="A218" s="15" t="s">
        <v>444</v>
      </c>
      <c r="B218" s="16">
        <v>44193</v>
      </c>
      <c r="C218" s="26" t="s">
        <v>310</v>
      </c>
      <c r="D218" s="38">
        <v>28</v>
      </c>
      <c r="E218" s="13">
        <v>150.80000000000001</v>
      </c>
      <c r="F218" s="17">
        <f t="shared" si="3"/>
        <v>4222.4000000000005</v>
      </c>
    </row>
    <row r="219" spans="1:6" s="8" customFormat="1" ht="15.75" x14ac:dyDescent="0.25">
      <c r="A219" s="15" t="s">
        <v>445</v>
      </c>
      <c r="B219" s="16">
        <v>44193</v>
      </c>
      <c r="C219" s="26" t="s">
        <v>311</v>
      </c>
      <c r="D219" s="38">
        <v>16</v>
      </c>
      <c r="E219" s="13">
        <v>719.2</v>
      </c>
      <c r="F219" s="17">
        <f t="shared" si="3"/>
        <v>11507.2</v>
      </c>
    </row>
    <row r="220" spans="1:6" s="8" customFormat="1" ht="15.75" x14ac:dyDescent="0.25">
      <c r="A220" s="15" t="s">
        <v>446</v>
      </c>
      <c r="B220" s="23" t="s">
        <v>106</v>
      </c>
      <c r="C220" s="26" t="s">
        <v>94</v>
      </c>
      <c r="D220" s="38">
        <v>5</v>
      </c>
      <c r="E220" s="21">
        <v>645</v>
      </c>
      <c r="F220" s="17">
        <f t="shared" si="3"/>
        <v>3225</v>
      </c>
    </row>
    <row r="221" spans="1:6" s="8" customFormat="1" ht="15.75" x14ac:dyDescent="0.25">
      <c r="A221" s="15" t="s">
        <v>447</v>
      </c>
      <c r="B221" s="23" t="s">
        <v>106</v>
      </c>
      <c r="C221" s="26" t="s">
        <v>312</v>
      </c>
      <c r="D221" s="38">
        <v>16</v>
      </c>
      <c r="E221" s="21">
        <v>719.2</v>
      </c>
      <c r="F221" s="17">
        <f t="shared" si="3"/>
        <v>11507.2</v>
      </c>
    </row>
    <row r="222" spans="1:6" s="8" customFormat="1" ht="15.75" x14ac:dyDescent="0.25">
      <c r="A222" s="15" t="s">
        <v>448</v>
      </c>
      <c r="B222" s="16">
        <v>44193</v>
      </c>
      <c r="C222" s="25" t="s">
        <v>313</v>
      </c>
      <c r="D222" s="38">
        <v>1</v>
      </c>
      <c r="E222" s="13">
        <v>719.2</v>
      </c>
      <c r="F222" s="17">
        <f t="shared" si="3"/>
        <v>719.2</v>
      </c>
    </row>
    <row r="223" spans="1:6" s="8" customFormat="1" ht="15.75" x14ac:dyDescent="0.25">
      <c r="A223" s="15" t="s">
        <v>449</v>
      </c>
      <c r="B223" s="16">
        <v>44193</v>
      </c>
      <c r="C223" s="25" t="s">
        <v>314</v>
      </c>
      <c r="D223" s="38">
        <v>1</v>
      </c>
      <c r="E223" s="13">
        <v>1330</v>
      </c>
      <c r="F223" s="17">
        <f t="shared" si="3"/>
        <v>1330</v>
      </c>
    </row>
    <row r="224" spans="1:6" s="8" customFormat="1" ht="15.75" x14ac:dyDescent="0.25">
      <c r="A224" s="15" t="s">
        <v>450</v>
      </c>
      <c r="B224" s="23" t="s">
        <v>106</v>
      </c>
      <c r="C224" s="25" t="s">
        <v>95</v>
      </c>
      <c r="D224" s="38">
        <v>1</v>
      </c>
      <c r="E224" s="21">
        <v>719.2</v>
      </c>
      <c r="F224" s="17">
        <f t="shared" si="3"/>
        <v>719.2</v>
      </c>
    </row>
    <row r="225" spans="1:6" s="8" customFormat="1" ht="15.75" x14ac:dyDescent="0.25">
      <c r="A225" s="15" t="s">
        <v>451</v>
      </c>
      <c r="B225" s="16">
        <v>44193</v>
      </c>
      <c r="C225" s="25" t="s">
        <v>315</v>
      </c>
      <c r="D225" s="38">
        <v>2</v>
      </c>
      <c r="E225" s="13">
        <v>645</v>
      </c>
      <c r="F225" s="17">
        <f t="shared" si="3"/>
        <v>1290</v>
      </c>
    </row>
    <row r="226" spans="1:6" s="8" customFormat="1" ht="15.75" x14ac:dyDescent="0.25">
      <c r="A226" s="15" t="s">
        <v>452</v>
      </c>
      <c r="B226" s="23" t="s">
        <v>106</v>
      </c>
      <c r="C226" s="29" t="s">
        <v>316</v>
      </c>
      <c r="D226" s="38">
        <v>8</v>
      </c>
      <c r="E226" s="21">
        <v>719.2</v>
      </c>
      <c r="F226" s="17">
        <f t="shared" si="3"/>
        <v>5753.6</v>
      </c>
    </row>
    <row r="227" spans="1:6" s="8" customFormat="1" ht="15.75" x14ac:dyDescent="0.25">
      <c r="A227" s="15" t="s">
        <v>453</v>
      </c>
      <c r="B227" s="16">
        <v>44193</v>
      </c>
      <c r="C227" s="9" t="s">
        <v>317</v>
      </c>
      <c r="D227" s="30">
        <v>21</v>
      </c>
      <c r="E227" s="13">
        <v>719.2</v>
      </c>
      <c r="F227" s="17">
        <f t="shared" si="3"/>
        <v>15103.2</v>
      </c>
    </row>
    <row r="228" spans="1:6" s="8" customFormat="1" ht="15.75" x14ac:dyDescent="0.25">
      <c r="A228" s="15" t="s">
        <v>454</v>
      </c>
      <c r="B228" s="16">
        <v>44193</v>
      </c>
      <c r="C228" s="9" t="s">
        <v>317</v>
      </c>
      <c r="D228" s="30">
        <v>5</v>
      </c>
      <c r="E228" s="13">
        <v>35.42</v>
      </c>
      <c r="F228" s="17">
        <f t="shared" si="3"/>
        <v>177.10000000000002</v>
      </c>
    </row>
    <row r="229" spans="1:6" s="8" customFormat="1" ht="15.75" x14ac:dyDescent="0.25">
      <c r="A229" s="15" t="s">
        <v>455</v>
      </c>
      <c r="B229" s="16">
        <v>44193</v>
      </c>
      <c r="C229" s="26" t="s">
        <v>96</v>
      </c>
      <c r="D229" s="38">
        <v>36</v>
      </c>
      <c r="E229" s="13">
        <v>39</v>
      </c>
      <c r="F229" s="17">
        <f t="shared" si="3"/>
        <v>1404</v>
      </c>
    </row>
    <row r="230" spans="1:6" s="8" customFormat="1" ht="15.75" x14ac:dyDescent="0.25">
      <c r="A230" s="15" t="s">
        <v>456</v>
      </c>
      <c r="B230" s="16">
        <v>44193</v>
      </c>
      <c r="C230" s="9" t="s">
        <v>318</v>
      </c>
      <c r="D230" s="30">
        <v>11</v>
      </c>
      <c r="E230" s="13">
        <v>1275</v>
      </c>
      <c r="F230" s="17">
        <f t="shared" si="3"/>
        <v>14025</v>
      </c>
    </row>
    <row r="231" spans="1:6" s="8" customFormat="1" ht="15.75" x14ac:dyDescent="0.25">
      <c r="A231" s="15" t="s">
        <v>457</v>
      </c>
      <c r="B231" s="16">
        <v>44193</v>
      </c>
      <c r="C231" s="26" t="s">
        <v>97</v>
      </c>
      <c r="D231" s="38">
        <v>3</v>
      </c>
      <c r="E231" s="13">
        <v>1100</v>
      </c>
      <c r="F231" s="17">
        <f t="shared" si="3"/>
        <v>3300</v>
      </c>
    </row>
    <row r="232" spans="1:6" s="8" customFormat="1" ht="15.75" x14ac:dyDescent="0.25">
      <c r="A232" s="15" t="s">
        <v>458</v>
      </c>
      <c r="B232" s="16">
        <v>44193</v>
      </c>
      <c r="C232" s="25" t="s">
        <v>319</v>
      </c>
      <c r="D232" s="38">
        <v>135</v>
      </c>
      <c r="E232" s="13">
        <v>780</v>
      </c>
      <c r="F232" s="17">
        <f t="shared" si="3"/>
        <v>105300</v>
      </c>
    </row>
    <row r="233" spans="1:6" s="8" customFormat="1" ht="15.75" x14ac:dyDescent="0.25">
      <c r="A233" s="15" t="s">
        <v>459</v>
      </c>
      <c r="B233" s="16">
        <v>44193</v>
      </c>
      <c r="C233" s="26" t="s">
        <v>320</v>
      </c>
      <c r="D233" s="38">
        <v>10</v>
      </c>
      <c r="E233" s="13">
        <v>425</v>
      </c>
      <c r="F233" s="17">
        <f t="shared" si="3"/>
        <v>4250</v>
      </c>
    </row>
    <row r="234" spans="1:6" s="8" customFormat="1" ht="15.75" x14ac:dyDescent="0.25">
      <c r="A234" s="15" t="s">
        <v>460</v>
      </c>
      <c r="B234" s="16">
        <v>44193</v>
      </c>
      <c r="C234" s="9" t="s">
        <v>321</v>
      </c>
      <c r="D234" s="30">
        <v>2</v>
      </c>
      <c r="E234" s="13">
        <v>185.2</v>
      </c>
      <c r="F234" s="17">
        <f t="shared" si="3"/>
        <v>370.4</v>
      </c>
    </row>
    <row r="235" spans="1:6" s="8" customFormat="1" ht="15.75" x14ac:dyDescent="0.25">
      <c r="A235" s="15" t="s">
        <v>461</v>
      </c>
      <c r="B235" s="16">
        <v>44193</v>
      </c>
      <c r="C235" s="9" t="s">
        <v>322</v>
      </c>
      <c r="D235" s="30">
        <v>10</v>
      </c>
      <c r="E235" s="13">
        <v>35</v>
      </c>
      <c r="F235" s="17">
        <f t="shared" si="3"/>
        <v>350</v>
      </c>
    </row>
    <row r="236" spans="1:6" s="8" customFormat="1" ht="15.75" x14ac:dyDescent="0.25">
      <c r="A236" s="15" t="s">
        <v>462</v>
      </c>
      <c r="B236" s="16">
        <v>44193</v>
      </c>
      <c r="C236" s="9" t="s">
        <v>323</v>
      </c>
      <c r="D236" s="30">
        <v>2</v>
      </c>
      <c r="E236" s="13">
        <v>35</v>
      </c>
      <c r="F236" s="17">
        <f t="shared" si="3"/>
        <v>70</v>
      </c>
    </row>
    <row r="237" spans="1:6" s="8" customFormat="1" ht="15.75" x14ac:dyDescent="0.25">
      <c r="A237" s="15" t="s">
        <v>463</v>
      </c>
      <c r="B237" s="16">
        <v>44193</v>
      </c>
      <c r="C237" s="9" t="s">
        <v>324</v>
      </c>
      <c r="D237" s="30">
        <v>4</v>
      </c>
      <c r="E237" s="13">
        <v>661.2</v>
      </c>
      <c r="F237" s="17">
        <f t="shared" si="3"/>
        <v>2644.8</v>
      </c>
    </row>
    <row r="238" spans="1:6" s="8" customFormat="1" ht="15.75" x14ac:dyDescent="0.25">
      <c r="A238" s="15" t="s">
        <v>464</v>
      </c>
      <c r="B238" s="16">
        <v>44193</v>
      </c>
      <c r="C238" s="9" t="s">
        <v>325</v>
      </c>
      <c r="D238" s="30">
        <v>1</v>
      </c>
      <c r="E238" s="13">
        <v>661.2</v>
      </c>
      <c r="F238" s="17">
        <f t="shared" si="3"/>
        <v>661.2</v>
      </c>
    </row>
    <row r="239" spans="1:6" s="8" customFormat="1" ht="15.75" x14ac:dyDescent="0.25">
      <c r="A239" s="15" t="s">
        <v>465</v>
      </c>
      <c r="B239" s="16">
        <v>44193</v>
      </c>
      <c r="C239" s="9" t="s">
        <v>326</v>
      </c>
      <c r="D239" s="30">
        <v>5</v>
      </c>
      <c r="E239" s="13">
        <v>168.1</v>
      </c>
      <c r="F239" s="17">
        <f t="shared" si="3"/>
        <v>840.5</v>
      </c>
    </row>
    <row r="240" spans="1:6" s="8" customFormat="1" ht="15.75" x14ac:dyDescent="0.25">
      <c r="A240" s="15" t="s">
        <v>466</v>
      </c>
      <c r="B240" s="16">
        <v>44193</v>
      </c>
      <c r="C240" s="26" t="s">
        <v>327</v>
      </c>
      <c r="D240" s="14">
        <v>50</v>
      </c>
      <c r="E240" s="13">
        <v>171.6</v>
      </c>
      <c r="F240" s="17">
        <f t="shared" si="3"/>
        <v>8580</v>
      </c>
    </row>
    <row r="241" spans="1:6" s="8" customFormat="1" ht="15.75" x14ac:dyDescent="0.25">
      <c r="A241" s="15" t="s">
        <v>467</v>
      </c>
      <c r="B241" s="23" t="s">
        <v>105</v>
      </c>
      <c r="C241" s="26" t="s">
        <v>328</v>
      </c>
      <c r="D241" s="20">
        <v>81</v>
      </c>
      <c r="E241" s="40">
        <v>140</v>
      </c>
      <c r="F241" s="17">
        <f t="shared" si="3"/>
        <v>11340</v>
      </c>
    </row>
    <row r="242" spans="1:6" s="8" customFormat="1" ht="15.75" x14ac:dyDescent="0.25">
      <c r="A242" s="15" t="s">
        <v>468</v>
      </c>
      <c r="B242" s="16">
        <v>44193</v>
      </c>
      <c r="C242" s="25" t="s">
        <v>119</v>
      </c>
      <c r="D242" s="38">
        <v>20</v>
      </c>
      <c r="E242" s="13">
        <v>1139.32</v>
      </c>
      <c r="F242" s="17">
        <f t="shared" si="3"/>
        <v>22786.399999999998</v>
      </c>
    </row>
    <row r="243" spans="1:6" s="8" customFormat="1" ht="15.75" x14ac:dyDescent="0.25">
      <c r="A243" s="15" t="s">
        <v>469</v>
      </c>
      <c r="B243" s="16">
        <v>44193</v>
      </c>
      <c r="C243" s="25" t="s">
        <v>329</v>
      </c>
      <c r="D243" s="38">
        <v>20</v>
      </c>
      <c r="E243" s="13">
        <v>672.09</v>
      </c>
      <c r="F243" s="17">
        <f t="shared" si="3"/>
        <v>13441.800000000001</v>
      </c>
    </row>
    <row r="244" spans="1:6" s="8" customFormat="1" ht="15.75" x14ac:dyDescent="0.25">
      <c r="A244" s="15" t="s">
        <v>470</v>
      </c>
      <c r="B244" s="23" t="s">
        <v>115</v>
      </c>
      <c r="C244" s="25" t="s">
        <v>330</v>
      </c>
      <c r="D244" s="38">
        <v>43</v>
      </c>
      <c r="E244" s="21">
        <v>672.09</v>
      </c>
      <c r="F244" s="17">
        <f t="shared" si="3"/>
        <v>28899.870000000003</v>
      </c>
    </row>
    <row r="245" spans="1:6" s="8" customFormat="1" ht="15.75" x14ac:dyDescent="0.25">
      <c r="A245" s="15" t="s">
        <v>471</v>
      </c>
      <c r="B245" s="16">
        <v>44193</v>
      </c>
      <c r="C245" s="25" t="s">
        <v>331</v>
      </c>
      <c r="D245" s="14">
        <v>1</v>
      </c>
      <c r="E245" s="13">
        <v>200</v>
      </c>
      <c r="F245" s="17">
        <f t="shared" si="3"/>
        <v>200</v>
      </c>
    </row>
    <row r="246" spans="1:6" s="8" customFormat="1" ht="15.75" x14ac:dyDescent="0.25">
      <c r="A246" s="15" t="s">
        <v>472</v>
      </c>
      <c r="B246" s="16">
        <v>44193</v>
      </c>
      <c r="C246" s="9" t="s">
        <v>332</v>
      </c>
      <c r="D246" s="30">
        <v>27</v>
      </c>
      <c r="E246" s="13">
        <v>797.15</v>
      </c>
      <c r="F246" s="17">
        <f t="shared" si="3"/>
        <v>21523.05</v>
      </c>
    </row>
    <row r="247" spans="1:6" s="8" customFormat="1" ht="15.75" x14ac:dyDescent="0.25">
      <c r="A247" s="15" t="s">
        <v>473</v>
      </c>
      <c r="B247" s="16">
        <v>44193</v>
      </c>
      <c r="C247" s="25" t="s">
        <v>333</v>
      </c>
      <c r="D247" s="38">
        <v>2</v>
      </c>
      <c r="E247" s="13">
        <v>140.09</v>
      </c>
      <c r="F247" s="17">
        <f t="shared" si="3"/>
        <v>280.18</v>
      </c>
    </row>
    <row r="248" spans="1:6" ht="60.75" customHeight="1" x14ac:dyDescent="0.25">
      <c r="A248" s="1" t="s">
        <v>98</v>
      </c>
      <c r="B248" s="1"/>
      <c r="C248" s="10"/>
      <c r="D248" s="1"/>
      <c r="E248" s="1"/>
      <c r="F248" s="4">
        <f>SUM(F8:F87)</f>
        <v>1901644.7700000005</v>
      </c>
    </row>
    <row r="249" spans="1:6" s="2" customFormat="1" ht="60.75" hidden="1" customHeight="1" x14ac:dyDescent="0.25">
      <c r="C249" s="11"/>
    </row>
    <row r="250" spans="1:6" ht="15.75" x14ac:dyDescent="0.25">
      <c r="C250" s="12"/>
    </row>
    <row r="251" spans="1:6" ht="23.25" customHeight="1" x14ac:dyDescent="0.25">
      <c r="A251" t="s">
        <v>7</v>
      </c>
      <c r="C251" s="12"/>
    </row>
    <row r="252" spans="1:6" ht="15.75" x14ac:dyDescent="0.25">
      <c r="C252" s="12"/>
    </row>
    <row r="253" spans="1:6" ht="23.25" customHeight="1" x14ac:dyDescent="0.25">
      <c r="B253" t="s">
        <v>8</v>
      </c>
      <c r="C253" s="12"/>
    </row>
    <row r="254" spans="1:6" ht="15.75" x14ac:dyDescent="0.25">
      <c r="C254" s="12"/>
    </row>
    <row r="255" spans="1:6" ht="15.75" x14ac:dyDescent="0.25">
      <c r="A255" s="3" t="s">
        <v>5</v>
      </c>
      <c r="C255" s="12"/>
    </row>
    <row r="256" spans="1:6" ht="15.75" x14ac:dyDescent="0.25">
      <c r="C256" s="12"/>
    </row>
    <row r="257" spans="1:3" ht="15.75" x14ac:dyDescent="0.25">
      <c r="A257" s="3"/>
      <c r="C257" s="12"/>
    </row>
    <row r="258" spans="1:3" ht="15.75" x14ac:dyDescent="0.25">
      <c r="A258" s="7" t="s">
        <v>475</v>
      </c>
      <c r="C258" s="12"/>
    </row>
    <row r="259" spans="1:3" ht="15.75" x14ac:dyDescent="0.25">
      <c r="A259" t="s">
        <v>6</v>
      </c>
      <c r="C259" s="12"/>
    </row>
    <row r="260" spans="1:3" ht="15.75" x14ac:dyDescent="0.25">
      <c r="C260" s="12"/>
    </row>
    <row r="261" spans="1:3" ht="15.75" x14ac:dyDescent="0.25">
      <c r="C261" s="12"/>
    </row>
    <row r="262" spans="1:3" ht="15.75" x14ac:dyDescent="0.25">
      <c r="C262" s="12"/>
    </row>
    <row r="263" spans="1:3" ht="15.75" x14ac:dyDescent="0.25">
      <c r="C263" s="12"/>
    </row>
    <row r="264" spans="1:3" ht="15.75" x14ac:dyDescent="0.25">
      <c r="C264" s="12"/>
    </row>
    <row r="265" spans="1:3" ht="15.75" x14ac:dyDescent="0.25">
      <c r="C265" s="12"/>
    </row>
    <row r="266" spans="1:3" ht="15.75" x14ac:dyDescent="0.25">
      <c r="C266" s="12"/>
    </row>
    <row r="267" spans="1:3" ht="15.75" x14ac:dyDescent="0.25">
      <c r="C267" s="12"/>
    </row>
  </sheetData>
  <sortState ref="A8:F732">
    <sortCondition ref="C8:C732"/>
  </sortState>
  <mergeCells count="3">
    <mergeCell ref="A3:F3"/>
    <mergeCell ref="A4:F4"/>
    <mergeCell ref="A5:F5"/>
  </mergeCells>
  <pageMargins left="0.25" right="0.25" top="0.75" bottom="0.75" header="0.3" footer="0.3"/>
  <pageSetup paperSize="8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24"/>
  <sheetViews>
    <sheetView workbookViewId="0">
      <pane ySplit="7" topLeftCell="A8" activePane="bottomLeft" state="frozen"/>
      <selection pane="bottomLeft" activeCell="K107" sqref="K107"/>
    </sheetView>
  </sheetViews>
  <sheetFormatPr baseColWidth="10" defaultColWidth="11.42578125" defaultRowHeight="18.75" x14ac:dyDescent="0.3"/>
  <cols>
    <col min="1" max="1" width="16" style="85" customWidth="1"/>
    <col min="2" max="2" width="19.28515625" style="85" customWidth="1"/>
    <col min="3" max="3" width="51.28515625" style="85" customWidth="1"/>
    <col min="4" max="4" width="14.140625" customWidth="1"/>
    <col min="5" max="5" width="17.140625" customWidth="1"/>
    <col min="6" max="6" width="22.42578125" customWidth="1"/>
    <col min="7" max="7" width="18.5703125" customWidth="1"/>
    <col min="8" max="8" width="11.140625" customWidth="1"/>
    <col min="9" max="9" width="16.85546875" style="63" customWidth="1"/>
    <col min="10" max="11" width="13.140625" customWidth="1"/>
    <col min="12" max="12" width="12.7109375" style="85" bestFit="1" customWidth="1"/>
    <col min="13" max="13" width="13.42578125" customWidth="1"/>
    <col min="14" max="14" width="17.7109375" style="85" bestFit="1" customWidth="1"/>
    <col min="15" max="15" width="14.42578125" style="85" bestFit="1" customWidth="1"/>
    <col min="16" max="16384" width="11.42578125" style="85"/>
  </cols>
  <sheetData>
    <row r="3" spans="1:15" ht="26.25" x14ac:dyDescent="0.4">
      <c r="A3" s="244" t="s">
        <v>0</v>
      </c>
      <c r="B3" s="244"/>
      <c r="C3" s="244"/>
      <c r="D3" s="234"/>
      <c r="E3" s="234"/>
      <c r="F3" s="234"/>
    </row>
    <row r="4" spans="1:15" x14ac:dyDescent="0.3">
      <c r="A4" s="245" t="s">
        <v>1</v>
      </c>
      <c r="B4" s="246"/>
      <c r="C4" s="246"/>
      <c r="D4" s="236"/>
      <c r="E4" s="236"/>
      <c r="F4" s="236"/>
    </row>
    <row r="5" spans="1:15" x14ac:dyDescent="0.3">
      <c r="A5" s="237" t="s">
        <v>1116</v>
      </c>
      <c r="B5" s="237"/>
      <c r="C5" s="237"/>
      <c r="D5" s="237"/>
      <c r="E5" s="237"/>
      <c r="F5" s="237"/>
    </row>
    <row r="7" spans="1:15" ht="56.25" x14ac:dyDescent="0.3">
      <c r="A7" s="86" t="s">
        <v>118</v>
      </c>
      <c r="B7" s="86" t="s">
        <v>9</v>
      </c>
      <c r="C7" s="87" t="s">
        <v>2</v>
      </c>
      <c r="D7" s="83" t="s">
        <v>3</v>
      </c>
      <c r="E7" s="83" t="s">
        <v>117</v>
      </c>
      <c r="F7" s="83" t="s">
        <v>4</v>
      </c>
      <c r="G7" s="82" t="s">
        <v>9</v>
      </c>
      <c r="H7" s="83" t="s">
        <v>915</v>
      </c>
      <c r="I7" s="84" t="s">
        <v>117</v>
      </c>
      <c r="J7" s="83" t="s">
        <v>4</v>
      </c>
      <c r="K7" s="83" t="s">
        <v>929</v>
      </c>
      <c r="L7" s="87" t="s">
        <v>914</v>
      </c>
      <c r="M7" s="83" t="s">
        <v>927</v>
      </c>
      <c r="N7" s="87" t="s">
        <v>944</v>
      </c>
      <c r="O7" s="83" t="s">
        <v>4</v>
      </c>
    </row>
    <row r="8" spans="1:15" s="92" customFormat="1" x14ac:dyDescent="0.3">
      <c r="A8" s="113" t="s">
        <v>11</v>
      </c>
      <c r="B8" s="102">
        <v>44652</v>
      </c>
      <c r="C8" s="25" t="s">
        <v>857</v>
      </c>
      <c r="D8" s="14">
        <f>18*30</f>
        <v>540</v>
      </c>
      <c r="E8" s="13">
        <v>850</v>
      </c>
      <c r="F8" s="50">
        <f>+E8*18</f>
        <v>15300</v>
      </c>
      <c r="G8" s="103"/>
      <c r="H8" s="103"/>
      <c r="I8" s="104"/>
      <c r="J8" s="103"/>
      <c r="K8" s="103">
        <f>4+2+2+2+5+4+2+4</f>
        <v>25</v>
      </c>
      <c r="L8" s="103">
        <f>+D8+H8-K8</f>
        <v>515</v>
      </c>
      <c r="M8" s="103"/>
      <c r="N8" s="103" t="s">
        <v>945</v>
      </c>
      <c r="O8" s="104">
        <f>+E8*L8</f>
        <v>437750</v>
      </c>
    </row>
    <row r="9" spans="1:15" s="8" customFormat="1" ht="15.75" x14ac:dyDescent="0.25">
      <c r="A9" s="113" t="s">
        <v>120</v>
      </c>
      <c r="B9" s="102">
        <v>44193</v>
      </c>
      <c r="C9" s="25" t="s">
        <v>533</v>
      </c>
      <c r="D9" s="14">
        <v>43</v>
      </c>
      <c r="E9" s="13">
        <v>215</v>
      </c>
      <c r="F9" s="50">
        <f>D9*E9</f>
        <v>9245</v>
      </c>
      <c r="G9" s="103"/>
      <c r="H9" s="103"/>
      <c r="I9" s="104"/>
      <c r="J9" s="103"/>
      <c r="K9" s="103">
        <f>1+1</f>
        <v>2</v>
      </c>
      <c r="L9" s="103">
        <f t="shared" ref="L9:L72" si="0">+D9+H9-K9</f>
        <v>41</v>
      </c>
      <c r="M9" s="103"/>
      <c r="N9" s="103" t="s">
        <v>946</v>
      </c>
      <c r="O9" s="104">
        <f t="shared" ref="O9:O33" si="1">+E9*L9</f>
        <v>8815</v>
      </c>
    </row>
    <row r="10" spans="1:15" s="8" customFormat="1" ht="14.25" customHeight="1" x14ac:dyDescent="0.25">
      <c r="A10" s="113" t="s">
        <v>12</v>
      </c>
      <c r="B10" s="102">
        <v>44453</v>
      </c>
      <c r="C10" s="25" t="s">
        <v>534</v>
      </c>
      <c r="D10" s="14">
        <f>2+9</f>
        <v>11</v>
      </c>
      <c r="E10" s="13">
        <v>1350</v>
      </c>
      <c r="F10" s="50">
        <f>D10*E10</f>
        <v>14850</v>
      </c>
      <c r="G10" s="103"/>
      <c r="H10" s="103"/>
      <c r="I10" s="104"/>
      <c r="J10" s="103"/>
      <c r="K10" s="103"/>
      <c r="L10" s="103">
        <f t="shared" si="0"/>
        <v>11</v>
      </c>
      <c r="M10" s="103"/>
      <c r="N10" s="103" t="s">
        <v>946</v>
      </c>
      <c r="O10" s="104">
        <f t="shared" si="1"/>
        <v>14850</v>
      </c>
    </row>
    <row r="11" spans="1:15" s="8" customFormat="1" ht="15.75" x14ac:dyDescent="0.25">
      <c r="A11" s="113" t="s">
        <v>121</v>
      </c>
      <c r="B11" s="102">
        <v>44193</v>
      </c>
      <c r="C11" s="25" t="s">
        <v>535</v>
      </c>
      <c r="D11" s="30">
        <v>0</v>
      </c>
      <c r="E11" s="13">
        <v>127.12</v>
      </c>
      <c r="F11" s="50">
        <f t="shared" ref="F11:F23" si="2">D11*E11</f>
        <v>0</v>
      </c>
      <c r="G11" s="103"/>
      <c r="H11" s="103"/>
      <c r="I11" s="104"/>
      <c r="J11" s="103"/>
      <c r="K11" s="103"/>
      <c r="L11" s="103">
        <f t="shared" si="0"/>
        <v>0</v>
      </c>
      <c r="M11" s="103"/>
      <c r="N11" s="103" t="s">
        <v>946</v>
      </c>
      <c r="O11" s="104">
        <f t="shared" si="1"/>
        <v>0</v>
      </c>
    </row>
    <row r="12" spans="1:15" s="8" customFormat="1" ht="15.75" x14ac:dyDescent="0.25">
      <c r="A12" s="113" t="s">
        <v>122</v>
      </c>
      <c r="B12" s="102">
        <v>44193</v>
      </c>
      <c r="C12" s="25" t="s">
        <v>838</v>
      </c>
      <c r="D12" s="38">
        <v>1</v>
      </c>
      <c r="E12" s="13">
        <v>30</v>
      </c>
      <c r="F12" s="50">
        <f t="shared" si="2"/>
        <v>30</v>
      </c>
      <c r="G12" s="103"/>
      <c r="H12" s="103"/>
      <c r="I12" s="104"/>
      <c r="J12" s="103"/>
      <c r="K12" s="103"/>
      <c r="L12" s="103">
        <f t="shared" si="0"/>
        <v>1</v>
      </c>
      <c r="M12" s="103"/>
      <c r="N12" s="103" t="s">
        <v>946</v>
      </c>
      <c r="O12" s="104">
        <f t="shared" si="1"/>
        <v>30</v>
      </c>
    </row>
    <row r="13" spans="1:15" s="8" customFormat="1" ht="15.75" x14ac:dyDescent="0.25">
      <c r="A13" s="113" t="s">
        <v>123</v>
      </c>
      <c r="B13" s="102">
        <v>44193</v>
      </c>
      <c r="C13" s="25" t="s">
        <v>840</v>
      </c>
      <c r="D13" s="14">
        <v>10</v>
      </c>
      <c r="E13" s="13">
        <v>11</v>
      </c>
      <c r="F13" s="50">
        <f t="shared" si="2"/>
        <v>110</v>
      </c>
      <c r="G13" s="103"/>
      <c r="H13" s="103"/>
      <c r="I13" s="104"/>
      <c r="J13" s="103"/>
      <c r="K13" s="103"/>
      <c r="L13" s="103">
        <f t="shared" si="0"/>
        <v>10</v>
      </c>
      <c r="M13" s="103"/>
      <c r="N13" s="103" t="s">
        <v>946</v>
      </c>
      <c r="O13" s="104">
        <f t="shared" si="1"/>
        <v>110</v>
      </c>
    </row>
    <row r="14" spans="1:15" s="8" customFormat="1" ht="15.75" x14ac:dyDescent="0.25">
      <c r="A14" s="113" t="s">
        <v>13</v>
      </c>
      <c r="B14" s="102">
        <v>44193</v>
      </c>
      <c r="C14" s="25" t="s">
        <v>536</v>
      </c>
      <c r="D14" s="14">
        <f>49+60+2</f>
        <v>111</v>
      </c>
      <c r="E14" s="13">
        <v>15.84</v>
      </c>
      <c r="F14" s="50">
        <f t="shared" si="2"/>
        <v>1758.24</v>
      </c>
      <c r="G14" s="103"/>
      <c r="H14" s="103"/>
      <c r="I14" s="104"/>
      <c r="J14" s="103"/>
      <c r="K14" s="103"/>
      <c r="L14" s="103">
        <f t="shared" si="0"/>
        <v>111</v>
      </c>
      <c r="M14" s="103"/>
      <c r="N14" s="103" t="s">
        <v>946</v>
      </c>
      <c r="O14" s="104">
        <f t="shared" si="1"/>
        <v>1758.24</v>
      </c>
    </row>
    <row r="15" spans="1:15" s="8" customFormat="1" ht="15.75" x14ac:dyDescent="0.25">
      <c r="A15" s="113" t="s">
        <v>14</v>
      </c>
      <c r="B15" s="102">
        <v>44193</v>
      </c>
      <c r="C15" s="25" t="s">
        <v>537</v>
      </c>
      <c r="D15" s="14">
        <v>52</v>
      </c>
      <c r="E15" s="13">
        <v>22.41</v>
      </c>
      <c r="F15" s="50">
        <f t="shared" si="2"/>
        <v>1165.32</v>
      </c>
      <c r="G15" s="103"/>
      <c r="H15" s="103"/>
      <c r="I15" s="104"/>
      <c r="J15" s="103"/>
      <c r="K15" s="103"/>
      <c r="L15" s="103">
        <f t="shared" si="0"/>
        <v>52</v>
      </c>
      <c r="M15" s="103"/>
      <c r="N15" s="103" t="s">
        <v>946</v>
      </c>
      <c r="O15" s="104">
        <f t="shared" si="1"/>
        <v>1165.32</v>
      </c>
    </row>
    <row r="16" spans="1:15" s="8" customFormat="1" ht="15.75" x14ac:dyDescent="0.25">
      <c r="A16" s="113" t="s">
        <v>15</v>
      </c>
      <c r="B16" s="102">
        <v>44193</v>
      </c>
      <c r="C16" s="25" t="s">
        <v>538</v>
      </c>
      <c r="D16" s="14">
        <v>42</v>
      </c>
      <c r="E16" s="13">
        <v>5.5</v>
      </c>
      <c r="F16" s="50">
        <f t="shared" si="2"/>
        <v>231</v>
      </c>
      <c r="G16" s="103"/>
      <c r="H16" s="103"/>
      <c r="I16" s="104"/>
      <c r="J16" s="103"/>
      <c r="K16" s="103"/>
      <c r="L16" s="103">
        <f t="shared" si="0"/>
        <v>42</v>
      </c>
      <c r="M16" s="103"/>
      <c r="N16" s="103" t="s">
        <v>946</v>
      </c>
      <c r="O16" s="104">
        <f t="shared" si="1"/>
        <v>231</v>
      </c>
    </row>
    <row r="17" spans="1:15" s="8" customFormat="1" ht="15.75" x14ac:dyDescent="0.25">
      <c r="A17" s="113" t="s">
        <v>124</v>
      </c>
      <c r="B17" s="102">
        <v>44193</v>
      </c>
      <c r="C17" s="25" t="s">
        <v>539</v>
      </c>
      <c r="D17" s="14">
        <v>32</v>
      </c>
      <c r="E17" s="13">
        <v>78.099999999999994</v>
      </c>
      <c r="F17" s="50">
        <f t="shared" si="2"/>
        <v>2499.1999999999998</v>
      </c>
      <c r="G17" s="103"/>
      <c r="H17" s="103"/>
      <c r="I17" s="104"/>
      <c r="J17" s="103"/>
      <c r="K17" s="103"/>
      <c r="L17" s="103">
        <f t="shared" si="0"/>
        <v>32</v>
      </c>
      <c r="M17" s="103"/>
      <c r="N17" s="103" t="s">
        <v>946</v>
      </c>
      <c r="O17" s="104">
        <f t="shared" si="1"/>
        <v>2499.1999999999998</v>
      </c>
    </row>
    <row r="18" spans="1:15" s="8" customFormat="1" ht="15.75" x14ac:dyDescent="0.25">
      <c r="A18" s="113" t="s">
        <v>16</v>
      </c>
      <c r="B18" s="102" t="s">
        <v>107</v>
      </c>
      <c r="C18" s="25" t="s">
        <v>540</v>
      </c>
      <c r="D18" s="14">
        <v>131</v>
      </c>
      <c r="E18" s="13">
        <v>5.17</v>
      </c>
      <c r="F18" s="50">
        <f t="shared" si="2"/>
        <v>677.27</v>
      </c>
      <c r="G18" s="103"/>
      <c r="H18" s="103"/>
      <c r="I18" s="104"/>
      <c r="J18" s="103"/>
      <c r="K18" s="103"/>
      <c r="L18" s="103">
        <f t="shared" si="0"/>
        <v>131</v>
      </c>
      <c r="M18" s="103"/>
      <c r="N18" s="103" t="s">
        <v>946</v>
      </c>
      <c r="O18" s="104">
        <f t="shared" si="1"/>
        <v>677.27</v>
      </c>
    </row>
    <row r="19" spans="1:15" s="8" customFormat="1" ht="15.75" x14ac:dyDescent="0.25">
      <c r="A19" s="113" t="s">
        <v>17</v>
      </c>
      <c r="B19" s="102" t="s">
        <v>107</v>
      </c>
      <c r="C19" s="25" t="s">
        <v>541</v>
      </c>
      <c r="D19" s="14">
        <v>10</v>
      </c>
      <c r="E19" s="51">
        <v>15</v>
      </c>
      <c r="F19" s="50">
        <f t="shared" si="2"/>
        <v>150</v>
      </c>
      <c r="G19" s="103"/>
      <c r="H19" s="103"/>
      <c r="I19" s="104"/>
      <c r="J19" s="103"/>
      <c r="K19" s="103"/>
      <c r="L19" s="103">
        <f t="shared" si="0"/>
        <v>10</v>
      </c>
      <c r="M19" s="103"/>
      <c r="N19" s="103" t="s">
        <v>946</v>
      </c>
      <c r="O19" s="104">
        <f t="shared" si="1"/>
        <v>150</v>
      </c>
    </row>
    <row r="20" spans="1:15" s="8" customFormat="1" ht="15.75" x14ac:dyDescent="0.25">
      <c r="A20" s="113" t="s">
        <v>18</v>
      </c>
      <c r="B20" s="102">
        <v>44193</v>
      </c>
      <c r="C20" s="25" t="s">
        <v>542</v>
      </c>
      <c r="D20" s="30">
        <f>4+7+1</f>
        <v>12</v>
      </c>
      <c r="E20" s="13">
        <v>15</v>
      </c>
      <c r="F20" s="50">
        <f t="shared" si="2"/>
        <v>180</v>
      </c>
      <c r="G20" s="103"/>
      <c r="H20" s="103"/>
      <c r="I20" s="104"/>
      <c r="J20" s="103"/>
      <c r="K20" s="103"/>
      <c r="L20" s="103">
        <f t="shared" si="0"/>
        <v>12</v>
      </c>
      <c r="M20" s="103"/>
      <c r="N20" s="103" t="s">
        <v>946</v>
      </c>
      <c r="O20" s="104">
        <f t="shared" si="1"/>
        <v>180</v>
      </c>
    </row>
    <row r="21" spans="1:15" s="8" customFormat="1" ht="15.75" x14ac:dyDescent="0.25">
      <c r="A21" s="113" t="s">
        <v>19</v>
      </c>
      <c r="B21" s="102">
        <v>44193</v>
      </c>
      <c r="C21" s="25" t="s">
        <v>543</v>
      </c>
      <c r="D21" s="30">
        <v>8</v>
      </c>
      <c r="E21" s="22">
        <v>15</v>
      </c>
      <c r="F21" s="50">
        <f t="shared" si="2"/>
        <v>120</v>
      </c>
      <c r="G21" s="103"/>
      <c r="H21" s="103"/>
      <c r="I21" s="104"/>
      <c r="J21" s="103"/>
      <c r="K21" s="103"/>
      <c r="L21" s="103">
        <f t="shared" si="0"/>
        <v>8</v>
      </c>
      <c r="M21" s="103"/>
      <c r="N21" s="103" t="s">
        <v>946</v>
      </c>
      <c r="O21" s="104">
        <f t="shared" si="1"/>
        <v>120</v>
      </c>
    </row>
    <row r="22" spans="1:15" s="8" customFormat="1" ht="15.75" x14ac:dyDescent="0.25">
      <c r="A22" s="113" t="s">
        <v>20</v>
      </c>
      <c r="B22" s="102">
        <v>44193</v>
      </c>
      <c r="C22" s="25" t="s">
        <v>835</v>
      </c>
      <c r="D22" s="30">
        <v>1</v>
      </c>
      <c r="E22" s="22">
        <v>15</v>
      </c>
      <c r="F22" s="50">
        <f t="shared" si="2"/>
        <v>15</v>
      </c>
      <c r="G22" s="103"/>
      <c r="H22" s="103"/>
      <c r="I22" s="104"/>
      <c r="J22" s="103"/>
      <c r="K22" s="103"/>
      <c r="L22" s="103">
        <f t="shared" si="0"/>
        <v>1</v>
      </c>
      <c r="M22" s="103"/>
      <c r="N22" s="103" t="s">
        <v>946</v>
      </c>
      <c r="O22" s="104">
        <f t="shared" si="1"/>
        <v>15</v>
      </c>
    </row>
    <row r="23" spans="1:15" s="8" customFormat="1" ht="15.75" x14ac:dyDescent="0.25">
      <c r="A23" s="113" t="s">
        <v>21</v>
      </c>
      <c r="B23" s="102" t="s">
        <v>107</v>
      </c>
      <c r="C23" s="25" t="s">
        <v>544</v>
      </c>
      <c r="D23" s="30">
        <v>32</v>
      </c>
      <c r="E23" s="51">
        <v>15</v>
      </c>
      <c r="F23" s="50">
        <f t="shared" si="2"/>
        <v>480</v>
      </c>
      <c r="G23" s="103"/>
      <c r="H23" s="103"/>
      <c r="I23" s="104"/>
      <c r="J23" s="103"/>
      <c r="K23" s="103"/>
      <c r="L23" s="103">
        <f t="shared" si="0"/>
        <v>32</v>
      </c>
      <c r="M23" s="103"/>
      <c r="N23" s="103" t="s">
        <v>946</v>
      </c>
      <c r="O23" s="104">
        <f t="shared" si="1"/>
        <v>480</v>
      </c>
    </row>
    <row r="24" spans="1:15" s="8" customFormat="1" ht="15.75" x14ac:dyDescent="0.25">
      <c r="A24" s="113" t="s">
        <v>23</v>
      </c>
      <c r="B24" s="102">
        <v>44193</v>
      </c>
      <c r="C24" s="25" t="s">
        <v>811</v>
      </c>
      <c r="D24" s="30">
        <v>24</v>
      </c>
      <c r="E24" s="51"/>
      <c r="F24" s="50"/>
      <c r="G24" s="103"/>
      <c r="H24" s="103"/>
      <c r="I24" s="104"/>
      <c r="J24" s="103"/>
      <c r="K24" s="103">
        <f>1+3</f>
        <v>4</v>
      </c>
      <c r="L24" s="103">
        <f t="shared" si="0"/>
        <v>20</v>
      </c>
      <c r="M24" s="103"/>
      <c r="N24" s="103" t="s">
        <v>946</v>
      </c>
      <c r="O24" s="104">
        <f t="shared" si="1"/>
        <v>0</v>
      </c>
    </row>
    <row r="25" spans="1:15" s="8" customFormat="1" ht="15.75" x14ac:dyDescent="0.25">
      <c r="A25" s="113" t="s">
        <v>24</v>
      </c>
      <c r="B25" s="102">
        <v>44193</v>
      </c>
      <c r="C25" s="25" t="s">
        <v>809</v>
      </c>
      <c r="D25" s="30">
        <v>12</v>
      </c>
      <c r="E25" s="51"/>
      <c r="F25" s="50"/>
      <c r="G25" s="103"/>
      <c r="H25" s="103"/>
      <c r="I25" s="104"/>
      <c r="J25" s="103"/>
      <c r="K25" s="103"/>
      <c r="L25" s="103">
        <f t="shared" si="0"/>
        <v>12</v>
      </c>
      <c r="M25" s="103"/>
      <c r="N25" s="103" t="s">
        <v>946</v>
      </c>
      <c r="O25" s="104">
        <f t="shared" si="1"/>
        <v>0</v>
      </c>
    </row>
    <row r="26" spans="1:15" s="92" customFormat="1" x14ac:dyDescent="0.3">
      <c r="A26" s="113" t="s">
        <v>110</v>
      </c>
      <c r="B26" s="102">
        <v>44193</v>
      </c>
      <c r="C26" s="9" t="s">
        <v>545</v>
      </c>
      <c r="D26" s="31">
        <v>10</v>
      </c>
      <c r="E26" s="13">
        <v>225</v>
      </c>
      <c r="F26" s="50">
        <f>D26*E26</f>
        <v>2250</v>
      </c>
      <c r="G26" s="103"/>
      <c r="H26" s="103"/>
      <c r="I26" s="104"/>
      <c r="J26" s="103"/>
      <c r="K26" s="103"/>
      <c r="L26" s="103">
        <f t="shared" si="0"/>
        <v>10</v>
      </c>
      <c r="M26" s="103"/>
      <c r="N26" s="103" t="s">
        <v>945</v>
      </c>
      <c r="O26" s="104">
        <f t="shared" si="1"/>
        <v>2250</v>
      </c>
    </row>
    <row r="27" spans="1:15" s="8" customFormat="1" ht="15.75" x14ac:dyDescent="0.25">
      <c r="A27" s="113" t="s">
        <v>125</v>
      </c>
      <c r="B27" s="102">
        <v>44193</v>
      </c>
      <c r="C27" s="25" t="s">
        <v>546</v>
      </c>
      <c r="D27" s="30">
        <v>0</v>
      </c>
      <c r="E27" s="13">
        <v>68</v>
      </c>
      <c r="F27" s="50">
        <f>D27*E27</f>
        <v>0</v>
      </c>
      <c r="G27" s="103"/>
      <c r="H27" s="103"/>
      <c r="I27" s="104"/>
      <c r="J27" s="103"/>
      <c r="K27" s="103"/>
      <c r="L27" s="103">
        <f t="shared" si="0"/>
        <v>0</v>
      </c>
      <c r="M27" s="103"/>
      <c r="N27" s="103" t="s">
        <v>946</v>
      </c>
      <c r="O27" s="104">
        <f>+E27*L27</f>
        <v>0</v>
      </c>
    </row>
    <row r="28" spans="1:15" s="92" customFormat="1" x14ac:dyDescent="0.3">
      <c r="A28" s="113" t="s">
        <v>25</v>
      </c>
      <c r="B28" s="102">
        <v>44193</v>
      </c>
      <c r="C28" s="25" t="s">
        <v>547</v>
      </c>
      <c r="D28" s="30">
        <v>4</v>
      </c>
      <c r="E28" s="13">
        <v>470</v>
      </c>
      <c r="F28" s="50">
        <f>D28*E28</f>
        <v>1880</v>
      </c>
      <c r="G28" s="103"/>
      <c r="H28" s="103"/>
      <c r="I28" s="104"/>
      <c r="J28" s="103"/>
      <c r="K28" s="103"/>
      <c r="L28" s="103">
        <f t="shared" si="0"/>
        <v>4</v>
      </c>
      <c r="M28" s="103"/>
      <c r="N28" s="103" t="s">
        <v>945</v>
      </c>
      <c r="O28" s="104">
        <f t="shared" si="1"/>
        <v>1880</v>
      </c>
    </row>
    <row r="29" spans="1:15" s="8" customFormat="1" ht="15.75" x14ac:dyDescent="0.25">
      <c r="A29" s="113" t="s">
        <v>126</v>
      </c>
      <c r="B29" s="102" t="s">
        <v>107</v>
      </c>
      <c r="C29" s="26" t="s">
        <v>807</v>
      </c>
      <c r="D29" s="30">
        <v>70</v>
      </c>
      <c r="E29" s="13">
        <v>16.46</v>
      </c>
      <c r="F29" s="50">
        <f>+D29*E29</f>
        <v>1152.2</v>
      </c>
      <c r="G29" s="103"/>
      <c r="H29" s="103"/>
      <c r="I29" s="104"/>
      <c r="J29" s="103"/>
      <c r="K29" s="103"/>
      <c r="L29" s="103">
        <f t="shared" si="0"/>
        <v>70</v>
      </c>
      <c r="M29" s="103"/>
      <c r="N29" s="103" t="s">
        <v>946</v>
      </c>
      <c r="O29" s="104">
        <f t="shared" si="1"/>
        <v>1152.2</v>
      </c>
    </row>
    <row r="30" spans="1:15" s="8" customFormat="1" ht="15.75" x14ac:dyDescent="0.25">
      <c r="A30" s="113" t="s">
        <v>26</v>
      </c>
      <c r="B30" s="102" t="s">
        <v>107</v>
      </c>
      <c r="C30" s="26" t="s">
        <v>549</v>
      </c>
      <c r="D30" s="30">
        <v>0</v>
      </c>
      <c r="E30" s="51">
        <v>6.4</v>
      </c>
      <c r="F30" s="50">
        <f>D30*E30</f>
        <v>0</v>
      </c>
      <c r="G30" s="103"/>
      <c r="H30" s="103"/>
      <c r="I30" s="104"/>
      <c r="J30" s="103"/>
      <c r="K30" s="103"/>
      <c r="L30" s="103">
        <f t="shared" si="0"/>
        <v>0</v>
      </c>
      <c r="M30" s="103"/>
      <c r="N30" s="103" t="s">
        <v>946</v>
      </c>
      <c r="O30" s="104">
        <f t="shared" si="1"/>
        <v>0</v>
      </c>
    </row>
    <row r="31" spans="1:15" s="8" customFormat="1" ht="15.75" x14ac:dyDescent="0.25">
      <c r="A31" s="113" t="s">
        <v>27</v>
      </c>
      <c r="B31" s="102">
        <v>44193</v>
      </c>
      <c r="C31" s="26" t="s">
        <v>550</v>
      </c>
      <c r="D31" s="30">
        <v>0</v>
      </c>
      <c r="E31" s="13">
        <v>105.93</v>
      </c>
      <c r="F31" s="50">
        <f>D31*E31</f>
        <v>0</v>
      </c>
      <c r="G31" s="103"/>
      <c r="H31" s="103"/>
      <c r="I31" s="104"/>
      <c r="J31" s="103"/>
      <c r="K31" s="103"/>
      <c r="L31" s="103">
        <f t="shared" si="0"/>
        <v>0</v>
      </c>
      <c r="M31" s="103"/>
      <c r="N31" s="103" t="s">
        <v>946</v>
      </c>
      <c r="O31" s="104">
        <f t="shared" si="1"/>
        <v>0</v>
      </c>
    </row>
    <row r="32" spans="1:15" s="8" customFormat="1" ht="15.75" x14ac:dyDescent="0.25">
      <c r="A32" s="113" t="s">
        <v>28</v>
      </c>
      <c r="B32" s="102">
        <v>44193</v>
      </c>
      <c r="C32" s="25" t="s">
        <v>806</v>
      </c>
      <c r="D32" s="38">
        <v>2</v>
      </c>
      <c r="E32" s="13">
        <v>160</v>
      </c>
      <c r="F32" s="50">
        <f>D32*E32</f>
        <v>320</v>
      </c>
      <c r="G32" s="103"/>
      <c r="H32" s="103"/>
      <c r="I32" s="104"/>
      <c r="J32" s="103"/>
      <c r="K32" s="103">
        <v>1</v>
      </c>
      <c r="L32" s="103">
        <f t="shared" si="0"/>
        <v>1</v>
      </c>
      <c r="M32" s="103"/>
      <c r="N32" s="103" t="s">
        <v>946</v>
      </c>
      <c r="O32" s="104">
        <f t="shared" si="1"/>
        <v>160</v>
      </c>
    </row>
    <row r="33" spans="1:15" s="92" customFormat="1" x14ac:dyDescent="0.3">
      <c r="A33" s="113" t="s">
        <v>127</v>
      </c>
      <c r="B33" s="102">
        <v>44449</v>
      </c>
      <c r="C33" s="25" t="s">
        <v>551</v>
      </c>
      <c r="D33" s="30">
        <v>9</v>
      </c>
      <c r="E33" s="13">
        <v>600</v>
      </c>
      <c r="F33" s="50">
        <f t="shared" ref="F33:F61" si="3">D33*E33</f>
        <v>5400</v>
      </c>
      <c r="G33" s="103"/>
      <c r="H33" s="103"/>
      <c r="I33" s="104"/>
      <c r="J33" s="103"/>
      <c r="K33" s="103">
        <v>1</v>
      </c>
      <c r="L33" s="103">
        <f t="shared" si="0"/>
        <v>8</v>
      </c>
      <c r="M33" s="103"/>
      <c r="N33" s="103" t="s">
        <v>945</v>
      </c>
      <c r="O33" s="104">
        <f t="shared" si="1"/>
        <v>4800</v>
      </c>
    </row>
    <row r="34" spans="1:15" s="8" customFormat="1" ht="15.75" x14ac:dyDescent="0.25">
      <c r="A34" s="113" t="s">
        <v>29</v>
      </c>
      <c r="B34" s="102">
        <v>44193</v>
      </c>
      <c r="C34" s="9" t="s">
        <v>552</v>
      </c>
      <c r="D34" s="30">
        <f>20+23</f>
        <v>43</v>
      </c>
      <c r="E34" s="13">
        <v>200</v>
      </c>
      <c r="F34" s="50">
        <f t="shared" si="3"/>
        <v>8600</v>
      </c>
      <c r="G34" s="103"/>
      <c r="H34" s="103"/>
      <c r="I34" s="104"/>
      <c r="J34" s="103"/>
      <c r="K34" s="103"/>
      <c r="L34" s="103">
        <f t="shared" si="0"/>
        <v>43</v>
      </c>
      <c r="M34" s="103"/>
      <c r="N34" s="103" t="s">
        <v>947</v>
      </c>
      <c r="O34" s="104">
        <f>+L34*E34</f>
        <v>8600</v>
      </c>
    </row>
    <row r="35" spans="1:15" s="8" customFormat="1" ht="15.75" x14ac:dyDescent="0.25">
      <c r="A35" s="113" t="s">
        <v>30</v>
      </c>
      <c r="B35" s="102">
        <v>44193</v>
      </c>
      <c r="C35" s="9" t="s">
        <v>553</v>
      </c>
      <c r="D35" s="30">
        <v>9</v>
      </c>
      <c r="E35" s="13">
        <v>200</v>
      </c>
      <c r="F35" s="50">
        <f t="shared" si="3"/>
        <v>1800</v>
      </c>
      <c r="G35" s="103"/>
      <c r="H35" s="103"/>
      <c r="I35" s="104"/>
      <c r="J35" s="103"/>
      <c r="K35" s="103"/>
      <c r="L35" s="103">
        <f t="shared" si="0"/>
        <v>9</v>
      </c>
      <c r="M35" s="103"/>
      <c r="N35" s="103" t="s">
        <v>947</v>
      </c>
      <c r="O35" s="104">
        <f>+L35*E35</f>
        <v>1800</v>
      </c>
    </row>
    <row r="36" spans="1:15" s="92" customFormat="1" x14ac:dyDescent="0.3">
      <c r="A36" s="113" t="s">
        <v>99</v>
      </c>
      <c r="B36" s="102">
        <v>44193</v>
      </c>
      <c r="C36" s="25" t="s">
        <v>548</v>
      </c>
      <c r="D36" s="30">
        <v>36</v>
      </c>
      <c r="E36" s="13">
        <v>75</v>
      </c>
      <c r="F36" s="50">
        <f t="shared" si="3"/>
        <v>2700</v>
      </c>
      <c r="G36" s="103"/>
      <c r="H36" s="103"/>
      <c r="I36" s="104"/>
      <c r="J36" s="103"/>
      <c r="K36" s="103"/>
      <c r="L36" s="103">
        <f t="shared" si="0"/>
        <v>36</v>
      </c>
      <c r="M36" s="103"/>
      <c r="N36" s="103" t="s">
        <v>945</v>
      </c>
      <c r="O36" s="104">
        <f t="shared" ref="O36:O40" si="4">+L36*E36</f>
        <v>2700</v>
      </c>
    </row>
    <row r="37" spans="1:15" s="8" customFormat="1" ht="15.75" x14ac:dyDescent="0.25">
      <c r="A37" s="113" t="s">
        <v>31</v>
      </c>
      <c r="B37" s="102">
        <v>44193</v>
      </c>
      <c r="C37" s="25" t="s">
        <v>554</v>
      </c>
      <c r="D37" s="30">
        <v>0</v>
      </c>
      <c r="E37" s="13">
        <v>4.24</v>
      </c>
      <c r="F37" s="50">
        <f t="shared" si="3"/>
        <v>0</v>
      </c>
      <c r="G37" s="103"/>
      <c r="H37" s="103"/>
      <c r="I37" s="104"/>
      <c r="J37" s="103"/>
      <c r="K37" s="103"/>
      <c r="L37" s="103">
        <f t="shared" si="0"/>
        <v>0</v>
      </c>
      <c r="M37" s="103"/>
      <c r="N37" s="103" t="s">
        <v>946</v>
      </c>
      <c r="O37" s="104">
        <f t="shared" si="4"/>
        <v>0</v>
      </c>
    </row>
    <row r="38" spans="1:15" s="8" customFormat="1" ht="15.75" x14ac:dyDescent="0.25">
      <c r="A38" s="113" t="s">
        <v>32</v>
      </c>
      <c r="B38" s="102">
        <v>44193</v>
      </c>
      <c r="C38" s="25" t="s">
        <v>555</v>
      </c>
      <c r="D38" s="30">
        <v>0</v>
      </c>
      <c r="E38" s="13">
        <v>3.39</v>
      </c>
      <c r="F38" s="50">
        <f t="shared" si="3"/>
        <v>0</v>
      </c>
      <c r="G38" s="103"/>
      <c r="H38" s="103"/>
      <c r="I38" s="104"/>
      <c r="J38" s="103"/>
      <c r="K38" s="103"/>
      <c r="L38" s="103">
        <f t="shared" si="0"/>
        <v>0</v>
      </c>
      <c r="M38" s="103"/>
      <c r="N38" s="103" t="s">
        <v>946</v>
      </c>
      <c r="O38" s="104">
        <f t="shared" si="4"/>
        <v>0</v>
      </c>
    </row>
    <row r="39" spans="1:15" s="8" customFormat="1" ht="15.75" x14ac:dyDescent="0.25">
      <c r="A39" s="113" t="s">
        <v>33</v>
      </c>
      <c r="B39" s="102">
        <v>44193</v>
      </c>
      <c r="C39" s="9" t="s">
        <v>556</v>
      </c>
      <c r="D39" s="30">
        <v>23</v>
      </c>
      <c r="E39" s="13">
        <v>1625</v>
      </c>
      <c r="F39" s="50">
        <f t="shared" si="3"/>
        <v>37375</v>
      </c>
      <c r="G39" s="103"/>
      <c r="H39" s="103"/>
      <c r="I39" s="104"/>
      <c r="J39" s="103"/>
      <c r="K39" s="103"/>
      <c r="L39" s="103">
        <f t="shared" si="0"/>
        <v>23</v>
      </c>
      <c r="M39" s="103"/>
      <c r="N39" s="103" t="s">
        <v>946</v>
      </c>
      <c r="O39" s="104">
        <f t="shared" si="4"/>
        <v>37375</v>
      </c>
    </row>
    <row r="40" spans="1:15" s="8" customFormat="1" ht="15.75" x14ac:dyDescent="0.25">
      <c r="A40" s="113" t="s">
        <v>34</v>
      </c>
      <c r="B40" s="102">
        <v>44193</v>
      </c>
      <c r="C40" s="9" t="s">
        <v>557</v>
      </c>
      <c r="D40" s="30">
        <v>0</v>
      </c>
      <c r="E40" s="13">
        <v>1625</v>
      </c>
      <c r="F40" s="50">
        <f t="shared" si="3"/>
        <v>0</v>
      </c>
      <c r="G40" s="103"/>
      <c r="H40" s="103"/>
      <c r="I40" s="104"/>
      <c r="J40" s="103"/>
      <c r="K40" s="103"/>
      <c r="L40" s="103">
        <f t="shared" si="0"/>
        <v>0</v>
      </c>
      <c r="M40" s="103"/>
      <c r="N40" s="103" t="s">
        <v>946</v>
      </c>
      <c r="O40" s="104">
        <f t="shared" si="4"/>
        <v>0</v>
      </c>
    </row>
    <row r="41" spans="1:15" s="105" customFormat="1" ht="15.75" x14ac:dyDescent="0.25">
      <c r="A41" s="113" t="s">
        <v>111</v>
      </c>
      <c r="B41" s="102">
        <v>44193</v>
      </c>
      <c r="C41" s="9" t="s">
        <v>558</v>
      </c>
      <c r="D41" s="30">
        <v>10</v>
      </c>
      <c r="E41" s="13">
        <v>66.3</v>
      </c>
      <c r="F41" s="50">
        <f t="shared" si="3"/>
        <v>663</v>
      </c>
      <c r="G41" s="107">
        <v>44852</v>
      </c>
      <c r="H41" s="103">
        <v>10</v>
      </c>
      <c r="I41" s="104">
        <v>26</v>
      </c>
      <c r="J41" s="108">
        <f>+H41*I41</f>
        <v>260</v>
      </c>
      <c r="K41" s="103">
        <v>1</v>
      </c>
      <c r="L41" s="103">
        <f t="shared" si="0"/>
        <v>19</v>
      </c>
      <c r="M41" s="103"/>
      <c r="N41" s="103" t="s">
        <v>947</v>
      </c>
      <c r="O41" s="104">
        <f>+L41*I41</f>
        <v>494</v>
      </c>
    </row>
    <row r="42" spans="1:15" s="8" customFormat="1" ht="15.75" x14ac:dyDescent="0.25">
      <c r="A42" s="113" t="s">
        <v>128</v>
      </c>
      <c r="B42" s="102">
        <v>44488</v>
      </c>
      <c r="C42" s="26" t="s">
        <v>560</v>
      </c>
      <c r="D42" s="55">
        <v>13</v>
      </c>
      <c r="E42" s="13">
        <v>40</v>
      </c>
      <c r="F42" s="50">
        <f t="shared" si="3"/>
        <v>520</v>
      </c>
      <c r="G42" s="103"/>
      <c r="H42" s="103"/>
      <c r="I42" s="104"/>
      <c r="J42" s="103"/>
      <c r="K42" s="103"/>
      <c r="L42" s="103">
        <f t="shared" si="0"/>
        <v>13</v>
      </c>
      <c r="M42" s="103"/>
      <c r="N42" s="103" t="s">
        <v>946</v>
      </c>
      <c r="O42" s="104">
        <f t="shared" ref="O42:O49" si="5">+L42*E42</f>
        <v>520</v>
      </c>
    </row>
    <row r="43" spans="1:15" s="8" customFormat="1" ht="15.75" x14ac:dyDescent="0.25">
      <c r="A43" s="113" t="s">
        <v>129</v>
      </c>
      <c r="B43" s="102">
        <v>44193</v>
      </c>
      <c r="C43" s="9" t="s">
        <v>772</v>
      </c>
      <c r="D43" s="30">
        <v>23</v>
      </c>
      <c r="E43" s="13">
        <v>2.4</v>
      </c>
      <c r="F43" s="50">
        <f t="shared" si="3"/>
        <v>55.199999999999996</v>
      </c>
      <c r="G43" s="103"/>
      <c r="H43" s="103"/>
      <c r="I43" s="104"/>
      <c r="J43" s="103"/>
      <c r="K43" s="103">
        <f>12+2</f>
        <v>14</v>
      </c>
      <c r="L43" s="103">
        <f t="shared" si="0"/>
        <v>9</v>
      </c>
      <c r="M43" s="103"/>
      <c r="N43" s="103" t="s">
        <v>947</v>
      </c>
      <c r="O43" s="104">
        <f t="shared" si="5"/>
        <v>21.599999999999998</v>
      </c>
    </row>
    <row r="44" spans="1:15" s="8" customFormat="1" ht="15.75" x14ac:dyDescent="0.25">
      <c r="A44" s="113" t="s">
        <v>130</v>
      </c>
      <c r="B44" s="102">
        <v>44193</v>
      </c>
      <c r="C44" s="26" t="s">
        <v>562</v>
      </c>
      <c r="D44" s="32">
        <v>0</v>
      </c>
      <c r="E44" s="13">
        <v>700</v>
      </c>
      <c r="F44" s="50">
        <f t="shared" si="3"/>
        <v>0</v>
      </c>
      <c r="G44" s="103"/>
      <c r="H44" s="103"/>
      <c r="I44" s="104"/>
      <c r="J44" s="103"/>
      <c r="K44" s="103"/>
      <c r="L44" s="103">
        <f t="shared" si="0"/>
        <v>0</v>
      </c>
      <c r="M44" s="103"/>
      <c r="N44" s="103" t="s">
        <v>946</v>
      </c>
      <c r="O44" s="104">
        <f t="shared" si="5"/>
        <v>0</v>
      </c>
    </row>
    <row r="45" spans="1:15" s="8" customFormat="1" ht="15.75" x14ac:dyDescent="0.25">
      <c r="A45" s="113" t="s">
        <v>35</v>
      </c>
      <c r="B45" s="102">
        <v>44193</v>
      </c>
      <c r="C45" s="9" t="s">
        <v>563</v>
      </c>
      <c r="D45" s="30">
        <v>1</v>
      </c>
      <c r="E45" s="13">
        <v>35</v>
      </c>
      <c r="F45" s="50">
        <f t="shared" si="3"/>
        <v>35</v>
      </c>
      <c r="G45" s="103"/>
      <c r="H45" s="103"/>
      <c r="I45" s="104"/>
      <c r="J45" s="103"/>
      <c r="K45" s="103"/>
      <c r="L45" s="103">
        <f t="shared" si="0"/>
        <v>1</v>
      </c>
      <c r="M45" s="103"/>
      <c r="N45" s="103" t="s">
        <v>947</v>
      </c>
      <c r="O45" s="104">
        <f t="shared" si="5"/>
        <v>35</v>
      </c>
    </row>
    <row r="46" spans="1:15" s="92" customFormat="1" x14ac:dyDescent="0.3">
      <c r="A46" s="113" t="s">
        <v>36</v>
      </c>
      <c r="B46" s="102">
        <v>44193</v>
      </c>
      <c r="C46" s="9" t="s">
        <v>564</v>
      </c>
      <c r="D46" s="30">
        <v>0</v>
      </c>
      <c r="E46" s="13">
        <v>2719</v>
      </c>
      <c r="F46" s="50">
        <f t="shared" si="3"/>
        <v>0</v>
      </c>
      <c r="G46" s="103"/>
      <c r="H46" s="103"/>
      <c r="I46" s="104"/>
      <c r="J46" s="103"/>
      <c r="K46" s="103"/>
      <c r="L46" s="103">
        <f t="shared" si="0"/>
        <v>0</v>
      </c>
      <c r="M46" s="103"/>
      <c r="N46" s="103" t="s">
        <v>945</v>
      </c>
      <c r="O46" s="104">
        <f t="shared" si="5"/>
        <v>0</v>
      </c>
    </row>
    <row r="47" spans="1:15" s="8" customFormat="1" ht="15.75" x14ac:dyDescent="0.25">
      <c r="A47" s="113" t="s">
        <v>37</v>
      </c>
      <c r="B47" s="102">
        <v>44193</v>
      </c>
      <c r="C47" s="26" t="s">
        <v>797</v>
      </c>
      <c r="D47" s="30">
        <v>2</v>
      </c>
      <c r="E47" s="13">
        <v>600</v>
      </c>
      <c r="F47" s="50">
        <f t="shared" si="3"/>
        <v>1200</v>
      </c>
      <c r="G47" s="103"/>
      <c r="H47" s="103"/>
      <c r="I47" s="104"/>
      <c r="J47" s="103"/>
      <c r="K47" s="103"/>
      <c r="L47" s="103">
        <f t="shared" si="0"/>
        <v>2</v>
      </c>
      <c r="M47" s="103"/>
      <c r="N47" s="103" t="s">
        <v>946</v>
      </c>
      <c r="O47" s="104">
        <f t="shared" si="5"/>
        <v>1200</v>
      </c>
    </row>
    <row r="48" spans="1:15" s="8" customFormat="1" ht="15.75" x14ac:dyDescent="0.25">
      <c r="A48" s="113" t="s">
        <v>38</v>
      </c>
      <c r="B48" s="102">
        <v>44678</v>
      </c>
      <c r="C48" s="26" t="s">
        <v>565</v>
      </c>
      <c r="D48" s="32">
        <v>5</v>
      </c>
      <c r="E48" s="13">
        <v>1400</v>
      </c>
      <c r="F48" s="50">
        <f t="shared" si="3"/>
        <v>7000</v>
      </c>
      <c r="G48" s="103"/>
      <c r="H48" s="103"/>
      <c r="I48" s="104"/>
      <c r="J48" s="103"/>
      <c r="K48" s="103"/>
      <c r="L48" s="103">
        <f t="shared" si="0"/>
        <v>5</v>
      </c>
      <c r="M48" s="103"/>
      <c r="N48" s="103" t="s">
        <v>946</v>
      </c>
      <c r="O48" s="104">
        <f t="shared" si="5"/>
        <v>7000</v>
      </c>
    </row>
    <row r="49" spans="1:15" s="8" customFormat="1" ht="15.75" x14ac:dyDescent="0.25">
      <c r="A49" s="113" t="s">
        <v>131</v>
      </c>
      <c r="B49" s="102">
        <v>44678</v>
      </c>
      <c r="C49" s="26" t="s">
        <v>567</v>
      </c>
      <c r="D49" s="32">
        <v>10</v>
      </c>
      <c r="E49" s="13">
        <v>500</v>
      </c>
      <c r="F49" s="50">
        <f t="shared" si="3"/>
        <v>5000</v>
      </c>
      <c r="G49" s="103"/>
      <c r="H49" s="103"/>
      <c r="I49" s="104"/>
      <c r="J49" s="103"/>
      <c r="K49" s="103"/>
      <c r="L49" s="103">
        <f t="shared" si="0"/>
        <v>10</v>
      </c>
      <c r="M49" s="103"/>
      <c r="N49" s="103" t="s">
        <v>946</v>
      </c>
      <c r="O49" s="104">
        <f t="shared" si="5"/>
        <v>5000</v>
      </c>
    </row>
    <row r="50" spans="1:15" s="8" customFormat="1" ht="15.75" x14ac:dyDescent="0.25">
      <c r="A50" s="113" t="s">
        <v>39</v>
      </c>
      <c r="B50" s="102">
        <v>44678</v>
      </c>
      <c r="C50" s="26" t="s">
        <v>568</v>
      </c>
      <c r="D50" s="32">
        <v>6</v>
      </c>
      <c r="E50" s="13">
        <v>5000</v>
      </c>
      <c r="F50" s="50">
        <f t="shared" si="3"/>
        <v>30000</v>
      </c>
      <c r="G50" s="103"/>
      <c r="H50" s="103"/>
      <c r="I50" s="104"/>
      <c r="J50" s="103"/>
      <c r="K50" s="103"/>
      <c r="L50" s="103">
        <f t="shared" si="0"/>
        <v>6</v>
      </c>
      <c r="M50" s="103"/>
      <c r="N50" s="103" t="s">
        <v>946</v>
      </c>
      <c r="O50" s="104">
        <f>+L50*E50</f>
        <v>30000</v>
      </c>
    </row>
    <row r="51" spans="1:15" s="8" customFormat="1" ht="15.75" x14ac:dyDescent="0.25">
      <c r="A51" s="113" t="s">
        <v>40</v>
      </c>
      <c r="B51" s="102">
        <v>44193</v>
      </c>
      <c r="C51" s="26" t="s">
        <v>803</v>
      </c>
      <c r="D51" s="32">
        <v>6</v>
      </c>
      <c r="E51" s="13">
        <v>2600</v>
      </c>
      <c r="F51" s="50">
        <f t="shared" si="3"/>
        <v>15600</v>
      </c>
      <c r="G51" s="103"/>
      <c r="H51" s="103"/>
      <c r="I51" s="104"/>
      <c r="J51" s="103"/>
      <c r="K51" s="103"/>
      <c r="L51" s="103">
        <f t="shared" si="0"/>
        <v>6</v>
      </c>
      <c r="M51" s="103"/>
      <c r="N51" s="103" t="s">
        <v>946</v>
      </c>
      <c r="O51" s="104">
        <f t="shared" ref="O51:O54" si="6">+L51*E51</f>
        <v>15600</v>
      </c>
    </row>
    <row r="52" spans="1:15" s="92" customFormat="1" x14ac:dyDescent="0.3">
      <c r="A52" s="113" t="s">
        <v>132</v>
      </c>
      <c r="B52" s="102">
        <v>44193</v>
      </c>
      <c r="C52" s="25" t="s">
        <v>773</v>
      </c>
      <c r="D52" s="14">
        <v>2</v>
      </c>
      <c r="E52" s="13">
        <v>325</v>
      </c>
      <c r="F52" s="50">
        <f t="shared" si="3"/>
        <v>650</v>
      </c>
      <c r="G52" s="103"/>
      <c r="H52" s="103"/>
      <c r="I52" s="104"/>
      <c r="J52" s="103"/>
      <c r="K52" s="103"/>
      <c r="L52" s="103">
        <f t="shared" si="0"/>
        <v>2</v>
      </c>
      <c r="M52" s="103"/>
      <c r="N52" s="103" t="s">
        <v>945</v>
      </c>
      <c r="O52" s="104">
        <f t="shared" si="6"/>
        <v>650</v>
      </c>
    </row>
    <row r="53" spans="1:15" s="92" customFormat="1" x14ac:dyDescent="0.3">
      <c r="A53" s="113" t="s">
        <v>41</v>
      </c>
      <c r="B53" s="102">
        <v>44193</v>
      </c>
      <c r="C53" s="25" t="s">
        <v>570</v>
      </c>
      <c r="D53" s="14">
        <f>(43*3)+1</f>
        <v>130</v>
      </c>
      <c r="E53" s="13">
        <v>25</v>
      </c>
      <c r="F53" s="50">
        <f t="shared" si="3"/>
        <v>3250</v>
      </c>
      <c r="G53" s="103"/>
      <c r="H53" s="103"/>
      <c r="I53" s="104"/>
      <c r="J53" s="103"/>
      <c r="K53" s="103"/>
      <c r="L53" s="103">
        <f t="shared" si="0"/>
        <v>130</v>
      </c>
      <c r="M53" s="103"/>
      <c r="N53" s="103" t="s">
        <v>945</v>
      </c>
      <c r="O53" s="104">
        <f t="shared" si="6"/>
        <v>3250</v>
      </c>
    </row>
    <row r="54" spans="1:15" s="92" customFormat="1" x14ac:dyDescent="0.3">
      <c r="A54" s="113" t="s">
        <v>133</v>
      </c>
      <c r="B54" s="102">
        <v>44677</v>
      </c>
      <c r="C54" s="25" t="s">
        <v>571</v>
      </c>
      <c r="D54" s="14">
        <v>352</v>
      </c>
      <c r="E54" s="13">
        <v>14</v>
      </c>
      <c r="F54" s="50">
        <f t="shared" si="3"/>
        <v>4928</v>
      </c>
      <c r="G54" s="103"/>
      <c r="H54" s="103"/>
      <c r="I54" s="104"/>
      <c r="J54" s="103"/>
      <c r="K54" s="103">
        <f>2+2+1+1+2+2+2+2+10+2+2+6+3+4+1+2+3+5+4</f>
        <v>56</v>
      </c>
      <c r="L54" s="103">
        <f t="shared" si="0"/>
        <v>296</v>
      </c>
      <c r="M54" s="103"/>
      <c r="N54" s="103" t="s">
        <v>945</v>
      </c>
      <c r="O54" s="104">
        <f t="shared" si="6"/>
        <v>4144</v>
      </c>
    </row>
    <row r="55" spans="1:15" s="8" customFormat="1" ht="15.75" x14ac:dyDescent="0.25">
      <c r="A55" s="113" t="s">
        <v>134</v>
      </c>
      <c r="B55" s="106" t="s">
        <v>106</v>
      </c>
      <c r="C55" s="26" t="s">
        <v>572</v>
      </c>
      <c r="D55" s="32"/>
      <c r="E55" s="51">
        <v>84.75</v>
      </c>
      <c r="F55" s="50">
        <f t="shared" si="3"/>
        <v>0</v>
      </c>
      <c r="G55" s="107">
        <v>44851</v>
      </c>
      <c r="H55" s="103">
        <v>30</v>
      </c>
      <c r="I55" s="104">
        <v>107.97</v>
      </c>
      <c r="J55" s="104">
        <f>+H55*I55</f>
        <v>3239.1</v>
      </c>
      <c r="K55" s="103">
        <f>2+1+1</f>
        <v>4</v>
      </c>
      <c r="L55" s="103">
        <f t="shared" si="0"/>
        <v>26</v>
      </c>
      <c r="M55" s="103"/>
      <c r="N55" s="103" t="s">
        <v>946</v>
      </c>
      <c r="O55" s="104">
        <f>+L55*I55</f>
        <v>2807.22</v>
      </c>
    </row>
    <row r="56" spans="1:15" s="8" customFormat="1" ht="15.75" x14ac:dyDescent="0.25">
      <c r="A56" s="113" t="s">
        <v>42</v>
      </c>
      <c r="B56" s="102">
        <v>44193</v>
      </c>
      <c r="C56" s="26" t="s">
        <v>573</v>
      </c>
      <c r="D56" s="32"/>
      <c r="E56" s="13">
        <v>169.49</v>
      </c>
      <c r="F56" s="50">
        <f t="shared" si="3"/>
        <v>0</v>
      </c>
      <c r="G56" s="103"/>
      <c r="H56" s="103"/>
      <c r="I56" s="104"/>
      <c r="J56" s="103">
        <f t="shared" ref="J56:J65" si="7">+H56*I56</f>
        <v>0</v>
      </c>
      <c r="K56" s="103"/>
      <c r="L56" s="103">
        <f t="shared" si="0"/>
        <v>0</v>
      </c>
      <c r="M56" s="103"/>
      <c r="N56" s="103" t="s">
        <v>946</v>
      </c>
      <c r="O56" s="104">
        <f t="shared" ref="O56:O64" si="8">+L56*I56</f>
        <v>0</v>
      </c>
    </row>
    <row r="57" spans="1:15" s="8" customFormat="1" ht="15.75" x14ac:dyDescent="0.25">
      <c r="A57" s="113" t="s">
        <v>109</v>
      </c>
      <c r="B57" s="102">
        <v>44193</v>
      </c>
      <c r="C57" s="25" t="s">
        <v>574</v>
      </c>
      <c r="D57" s="14"/>
      <c r="E57" s="13">
        <v>76.27</v>
      </c>
      <c r="F57" s="50">
        <f t="shared" si="3"/>
        <v>0</v>
      </c>
      <c r="G57" s="103"/>
      <c r="H57" s="103"/>
      <c r="I57" s="104"/>
      <c r="J57" s="103">
        <f t="shared" si="7"/>
        <v>0</v>
      </c>
      <c r="K57" s="103"/>
      <c r="L57" s="103">
        <f t="shared" si="0"/>
        <v>0</v>
      </c>
      <c r="M57" s="103"/>
      <c r="N57" s="103" t="s">
        <v>946</v>
      </c>
      <c r="O57" s="104">
        <f t="shared" si="8"/>
        <v>0</v>
      </c>
    </row>
    <row r="58" spans="1:15" s="8" customFormat="1" ht="15.75" x14ac:dyDescent="0.25">
      <c r="A58" s="113" t="s">
        <v>135</v>
      </c>
      <c r="B58" s="102">
        <v>44193</v>
      </c>
      <c r="C58" s="25" t="s">
        <v>575</v>
      </c>
      <c r="D58" s="14"/>
      <c r="E58" s="13">
        <v>93.22</v>
      </c>
      <c r="F58" s="50">
        <f t="shared" si="3"/>
        <v>0</v>
      </c>
      <c r="G58" s="103"/>
      <c r="H58" s="103"/>
      <c r="I58" s="104"/>
      <c r="J58" s="103">
        <f t="shared" si="7"/>
        <v>0</v>
      </c>
      <c r="K58" s="103"/>
      <c r="L58" s="103">
        <f t="shared" si="0"/>
        <v>0</v>
      </c>
      <c r="M58" s="103"/>
      <c r="N58" s="103" t="s">
        <v>946</v>
      </c>
      <c r="O58" s="104">
        <f t="shared" si="8"/>
        <v>0</v>
      </c>
    </row>
    <row r="59" spans="1:15" s="8" customFormat="1" ht="15.75" x14ac:dyDescent="0.25">
      <c r="A59" s="113" t="s">
        <v>43</v>
      </c>
      <c r="B59" s="102">
        <v>44193</v>
      </c>
      <c r="C59" s="26" t="s">
        <v>576</v>
      </c>
      <c r="D59" s="32"/>
      <c r="E59" s="13">
        <v>122.8</v>
      </c>
      <c r="F59" s="50">
        <f t="shared" si="3"/>
        <v>0</v>
      </c>
      <c r="G59" s="107">
        <v>44851</v>
      </c>
      <c r="H59" s="103">
        <v>30</v>
      </c>
      <c r="I59" s="104">
        <v>171.69</v>
      </c>
      <c r="J59" s="104">
        <f t="shared" si="7"/>
        <v>5150.7</v>
      </c>
      <c r="K59" s="103"/>
      <c r="L59" s="103">
        <f t="shared" si="0"/>
        <v>30</v>
      </c>
      <c r="M59" s="103"/>
      <c r="N59" s="103" t="s">
        <v>946</v>
      </c>
      <c r="O59" s="104">
        <f t="shared" si="8"/>
        <v>5150.7</v>
      </c>
    </row>
    <row r="60" spans="1:15" s="8" customFormat="1" ht="15.75" x14ac:dyDescent="0.25">
      <c r="A60" s="113" t="s">
        <v>45</v>
      </c>
      <c r="B60" s="102">
        <v>44453</v>
      </c>
      <c r="C60" s="9" t="s">
        <v>577</v>
      </c>
      <c r="D60" s="48">
        <v>0</v>
      </c>
      <c r="E60" s="13">
        <v>3000</v>
      </c>
      <c r="F60" s="50">
        <f t="shared" si="3"/>
        <v>0</v>
      </c>
      <c r="G60" s="103"/>
      <c r="H60" s="103"/>
      <c r="I60" s="104"/>
      <c r="J60" s="103">
        <f t="shared" si="7"/>
        <v>0</v>
      </c>
      <c r="K60" s="103"/>
      <c r="L60" s="103">
        <f t="shared" si="0"/>
        <v>0</v>
      </c>
      <c r="M60" s="103"/>
      <c r="N60" s="103" t="s">
        <v>946</v>
      </c>
      <c r="O60" s="104">
        <f t="shared" si="8"/>
        <v>0</v>
      </c>
    </row>
    <row r="61" spans="1:15" s="8" customFormat="1" ht="15.75" x14ac:dyDescent="0.25">
      <c r="A61" s="113" t="s">
        <v>46</v>
      </c>
      <c r="B61" s="102">
        <v>44193</v>
      </c>
      <c r="C61" s="26" t="s">
        <v>578</v>
      </c>
      <c r="D61" s="32">
        <v>0</v>
      </c>
      <c r="E61" s="13">
        <v>63.56</v>
      </c>
      <c r="F61" s="50">
        <f t="shared" si="3"/>
        <v>0</v>
      </c>
      <c r="G61" s="103"/>
      <c r="H61" s="103"/>
      <c r="I61" s="104"/>
      <c r="J61" s="103">
        <f t="shared" si="7"/>
        <v>0</v>
      </c>
      <c r="K61" s="103"/>
      <c r="L61" s="103">
        <f t="shared" si="0"/>
        <v>0</v>
      </c>
      <c r="M61" s="103"/>
      <c r="N61" s="103" t="s">
        <v>946</v>
      </c>
      <c r="O61" s="104">
        <f t="shared" si="8"/>
        <v>0</v>
      </c>
    </row>
    <row r="62" spans="1:15" s="8" customFormat="1" ht="15.75" x14ac:dyDescent="0.25">
      <c r="A62" s="113" t="s">
        <v>47</v>
      </c>
      <c r="B62" s="102">
        <v>44193</v>
      </c>
      <c r="C62" s="26" t="s">
        <v>819</v>
      </c>
      <c r="D62" s="32">
        <v>2</v>
      </c>
      <c r="E62" s="13"/>
      <c r="F62" s="50"/>
      <c r="G62" s="103"/>
      <c r="H62" s="103"/>
      <c r="I62" s="104"/>
      <c r="J62" s="103">
        <f t="shared" si="7"/>
        <v>0</v>
      </c>
      <c r="K62" s="103"/>
      <c r="L62" s="103">
        <f t="shared" si="0"/>
        <v>2</v>
      </c>
      <c r="M62" s="103"/>
      <c r="N62" s="103" t="s">
        <v>946</v>
      </c>
      <c r="O62" s="104">
        <f>+E62*L62</f>
        <v>0</v>
      </c>
    </row>
    <row r="63" spans="1:15" s="8" customFormat="1" ht="15.75" x14ac:dyDescent="0.25">
      <c r="A63" s="113" t="s">
        <v>48</v>
      </c>
      <c r="B63" s="102">
        <v>44193</v>
      </c>
      <c r="C63" s="26" t="s">
        <v>817</v>
      </c>
      <c r="D63" s="32">
        <v>7</v>
      </c>
      <c r="E63" s="13"/>
      <c r="F63" s="50"/>
      <c r="G63" s="103"/>
      <c r="H63" s="103"/>
      <c r="I63" s="104"/>
      <c r="J63" s="103">
        <f t="shared" si="7"/>
        <v>0</v>
      </c>
      <c r="K63" s="103"/>
      <c r="L63" s="103">
        <f t="shared" si="0"/>
        <v>7</v>
      </c>
      <c r="M63" s="103"/>
      <c r="N63" s="103" t="s">
        <v>946</v>
      </c>
      <c r="O63" s="104">
        <f t="shared" si="8"/>
        <v>0</v>
      </c>
    </row>
    <row r="64" spans="1:15" s="8" customFormat="1" ht="15.75" x14ac:dyDescent="0.25">
      <c r="A64" s="113" t="s">
        <v>49</v>
      </c>
      <c r="B64" s="102">
        <v>44193</v>
      </c>
      <c r="C64" s="26" t="s">
        <v>818</v>
      </c>
      <c r="D64" s="32">
        <v>8</v>
      </c>
      <c r="E64" s="13"/>
      <c r="F64" s="50"/>
      <c r="G64" s="103"/>
      <c r="H64" s="103"/>
      <c r="I64" s="104"/>
      <c r="J64" s="103">
        <f t="shared" si="7"/>
        <v>0</v>
      </c>
      <c r="K64" s="103"/>
      <c r="L64" s="103">
        <f t="shared" si="0"/>
        <v>8</v>
      </c>
      <c r="M64" s="103"/>
      <c r="N64" s="103" t="s">
        <v>946</v>
      </c>
      <c r="O64" s="104">
        <f t="shared" si="8"/>
        <v>0</v>
      </c>
    </row>
    <row r="65" spans="1:15" s="8" customFormat="1" ht="15.75" x14ac:dyDescent="0.25">
      <c r="A65" s="113" t="s">
        <v>50</v>
      </c>
      <c r="B65" s="106" t="s">
        <v>116</v>
      </c>
      <c r="C65" s="25" t="s">
        <v>720</v>
      </c>
      <c r="D65" s="32">
        <v>1</v>
      </c>
      <c r="E65" s="51">
        <v>3000</v>
      </c>
      <c r="F65" s="50">
        <f>D65*E65</f>
        <v>3000</v>
      </c>
      <c r="G65" s="103"/>
      <c r="H65" s="103"/>
      <c r="I65" s="104"/>
      <c r="J65" s="103">
        <f t="shared" si="7"/>
        <v>0</v>
      </c>
      <c r="K65" s="103"/>
      <c r="L65" s="103">
        <f t="shared" si="0"/>
        <v>1</v>
      </c>
      <c r="M65" s="103"/>
      <c r="N65" s="103" t="s">
        <v>947</v>
      </c>
      <c r="O65" s="104">
        <f>+L65*E65</f>
        <v>3000</v>
      </c>
    </row>
    <row r="66" spans="1:15" s="8" customFormat="1" ht="15.75" x14ac:dyDescent="0.25">
      <c r="A66" s="113" t="s">
        <v>51</v>
      </c>
      <c r="B66" s="102">
        <v>44193</v>
      </c>
      <c r="C66" s="26" t="s">
        <v>579</v>
      </c>
      <c r="D66" s="32">
        <v>0</v>
      </c>
      <c r="E66" s="13">
        <v>35</v>
      </c>
      <c r="F66" s="50">
        <f t="shared" ref="F66:F87" si="9">D66*E66</f>
        <v>0</v>
      </c>
      <c r="G66" s="103"/>
      <c r="H66" s="103"/>
      <c r="I66" s="104"/>
      <c r="J66" s="103"/>
      <c r="K66" s="103"/>
      <c r="L66" s="103">
        <f t="shared" si="0"/>
        <v>0</v>
      </c>
      <c r="M66" s="103"/>
      <c r="N66" s="103" t="s">
        <v>946</v>
      </c>
      <c r="O66" s="104">
        <f>+E66*L66</f>
        <v>0</v>
      </c>
    </row>
    <row r="67" spans="1:15" s="8" customFormat="1" ht="15.75" x14ac:dyDescent="0.25">
      <c r="A67" s="113" t="s">
        <v>52</v>
      </c>
      <c r="B67" s="102">
        <v>44193</v>
      </c>
      <c r="C67" s="25" t="s">
        <v>794</v>
      </c>
      <c r="D67" s="38">
        <v>1</v>
      </c>
      <c r="E67" s="13">
        <v>97.96</v>
      </c>
      <c r="F67" s="50">
        <f t="shared" si="9"/>
        <v>97.96</v>
      </c>
      <c r="G67" s="103"/>
      <c r="H67" s="103"/>
      <c r="I67" s="104"/>
      <c r="J67" s="103"/>
      <c r="K67" s="103"/>
      <c r="L67" s="103">
        <f t="shared" si="0"/>
        <v>1</v>
      </c>
      <c r="M67" s="103"/>
      <c r="N67" s="103" t="s">
        <v>946</v>
      </c>
      <c r="O67" s="104">
        <f t="shared" ref="O67:O101" si="10">+E67*L67</f>
        <v>97.96</v>
      </c>
    </row>
    <row r="68" spans="1:15" s="8" customFormat="1" ht="15.75" x14ac:dyDescent="0.25">
      <c r="A68" s="113" t="s">
        <v>53</v>
      </c>
      <c r="B68" s="102">
        <v>44193</v>
      </c>
      <c r="C68" s="9" t="s">
        <v>580</v>
      </c>
      <c r="D68" s="58">
        <v>22</v>
      </c>
      <c r="E68" s="13">
        <v>18</v>
      </c>
      <c r="F68" s="50">
        <f t="shared" si="9"/>
        <v>396</v>
      </c>
      <c r="G68" s="103"/>
      <c r="H68" s="103"/>
      <c r="I68" s="104"/>
      <c r="J68" s="103"/>
      <c r="K68" s="103"/>
      <c r="L68" s="103">
        <f t="shared" si="0"/>
        <v>22</v>
      </c>
      <c r="M68" s="103"/>
      <c r="N68" s="103" t="s">
        <v>947</v>
      </c>
      <c r="O68" s="104">
        <f t="shared" si="10"/>
        <v>396</v>
      </c>
    </row>
    <row r="69" spans="1:15" s="8" customFormat="1" ht="15.75" x14ac:dyDescent="0.25">
      <c r="A69" s="113" t="s">
        <v>44</v>
      </c>
      <c r="B69" s="102">
        <v>44193</v>
      </c>
      <c r="C69" s="9" t="s">
        <v>581</v>
      </c>
      <c r="D69" s="48">
        <v>0</v>
      </c>
      <c r="E69" s="13">
        <v>114</v>
      </c>
      <c r="F69" s="50">
        <f t="shared" si="9"/>
        <v>0</v>
      </c>
      <c r="G69" s="103"/>
      <c r="H69" s="103"/>
      <c r="I69" s="104"/>
      <c r="J69" s="103"/>
      <c r="K69" s="103"/>
      <c r="L69" s="103">
        <f t="shared" si="0"/>
        <v>0</v>
      </c>
      <c r="M69" s="103"/>
      <c r="N69" s="103" t="s">
        <v>947</v>
      </c>
      <c r="O69" s="104">
        <f t="shared" si="10"/>
        <v>0</v>
      </c>
    </row>
    <row r="70" spans="1:15" s="8" customFormat="1" ht="15.75" x14ac:dyDescent="0.25">
      <c r="A70" s="113" t="s">
        <v>113</v>
      </c>
      <c r="B70" s="102">
        <v>44193</v>
      </c>
      <c r="C70" s="9" t="s">
        <v>582</v>
      </c>
      <c r="D70" s="48">
        <v>50</v>
      </c>
      <c r="E70" s="13">
        <v>150</v>
      </c>
      <c r="F70" s="50">
        <f t="shared" si="9"/>
        <v>7500</v>
      </c>
      <c r="G70" s="103"/>
      <c r="H70" s="103"/>
      <c r="I70" s="104"/>
      <c r="J70" s="103"/>
      <c r="K70" s="103"/>
      <c r="L70" s="103">
        <f t="shared" si="0"/>
        <v>50</v>
      </c>
      <c r="M70" s="103"/>
      <c r="N70" s="103" t="s">
        <v>947</v>
      </c>
      <c r="O70" s="104">
        <f t="shared" si="10"/>
        <v>7500</v>
      </c>
    </row>
    <row r="71" spans="1:15" s="8" customFormat="1" ht="15.75" x14ac:dyDescent="0.25">
      <c r="A71" s="113" t="s">
        <v>136</v>
      </c>
      <c r="B71" s="102">
        <v>44193</v>
      </c>
      <c r="C71" s="26" t="s">
        <v>583</v>
      </c>
      <c r="D71" s="14">
        <v>0</v>
      </c>
      <c r="E71" s="13">
        <v>105.93</v>
      </c>
      <c r="F71" s="50">
        <f t="shared" si="9"/>
        <v>0</v>
      </c>
      <c r="G71" s="103"/>
      <c r="H71" s="103"/>
      <c r="I71" s="104"/>
      <c r="J71" s="103"/>
      <c r="K71" s="103"/>
      <c r="L71" s="103">
        <f t="shared" si="0"/>
        <v>0</v>
      </c>
      <c r="M71" s="103"/>
      <c r="N71" s="103" t="s">
        <v>946</v>
      </c>
      <c r="O71" s="104">
        <f t="shared" si="10"/>
        <v>0</v>
      </c>
    </row>
    <row r="72" spans="1:15" s="8" customFormat="1" ht="15.75" x14ac:dyDescent="0.25">
      <c r="A72" s="113" t="s">
        <v>137</v>
      </c>
      <c r="B72" s="102">
        <v>44193</v>
      </c>
      <c r="C72" s="26" t="s">
        <v>584</v>
      </c>
      <c r="D72" s="14">
        <v>1</v>
      </c>
      <c r="E72" s="13">
        <v>762.71</v>
      </c>
      <c r="F72" s="50">
        <f t="shared" si="9"/>
        <v>762.71</v>
      </c>
      <c r="G72" s="103"/>
      <c r="H72" s="103"/>
      <c r="I72" s="104"/>
      <c r="J72" s="103"/>
      <c r="K72" s="103"/>
      <c r="L72" s="103">
        <f t="shared" si="0"/>
        <v>1</v>
      </c>
      <c r="M72" s="103"/>
      <c r="N72" s="103" t="s">
        <v>946</v>
      </c>
      <c r="O72" s="104">
        <f t="shared" si="10"/>
        <v>762.71</v>
      </c>
    </row>
    <row r="73" spans="1:15" s="8" customFormat="1" ht="15.75" x14ac:dyDescent="0.25">
      <c r="A73" s="113" t="s">
        <v>138</v>
      </c>
      <c r="B73" s="102">
        <v>44193</v>
      </c>
      <c r="C73" s="26" t="s">
        <v>585</v>
      </c>
      <c r="D73" s="14">
        <v>0</v>
      </c>
      <c r="E73" s="13">
        <v>338.98</v>
      </c>
      <c r="F73" s="50">
        <f t="shared" si="9"/>
        <v>0</v>
      </c>
      <c r="G73" s="103"/>
      <c r="H73" s="103"/>
      <c r="I73" s="104"/>
      <c r="J73" s="103"/>
      <c r="K73" s="103"/>
      <c r="L73" s="103">
        <f t="shared" ref="L73:L74" si="11">+D73+H73-K73</f>
        <v>0</v>
      </c>
      <c r="M73" s="103"/>
      <c r="N73" s="103" t="s">
        <v>946</v>
      </c>
      <c r="O73" s="104">
        <f t="shared" si="10"/>
        <v>0</v>
      </c>
    </row>
    <row r="74" spans="1:15" s="8" customFormat="1" ht="15.75" x14ac:dyDescent="0.25">
      <c r="A74" s="113" t="s">
        <v>54</v>
      </c>
      <c r="B74" s="102">
        <v>44193</v>
      </c>
      <c r="C74" s="9" t="s">
        <v>586</v>
      </c>
      <c r="D74" s="30">
        <v>8</v>
      </c>
      <c r="E74" s="13">
        <v>17.07</v>
      </c>
      <c r="F74" s="50">
        <f t="shared" si="9"/>
        <v>136.56</v>
      </c>
      <c r="G74" s="103"/>
      <c r="H74" s="103"/>
      <c r="I74" s="104"/>
      <c r="J74" s="103"/>
      <c r="K74" s="103"/>
      <c r="L74" s="103">
        <f t="shared" si="11"/>
        <v>8</v>
      </c>
      <c r="M74" s="103"/>
      <c r="N74" s="103" t="s">
        <v>947</v>
      </c>
      <c r="O74" s="104">
        <f t="shared" si="10"/>
        <v>136.56</v>
      </c>
    </row>
    <row r="75" spans="1:15" s="92" customFormat="1" x14ac:dyDescent="0.3">
      <c r="A75" s="113" t="s">
        <v>55</v>
      </c>
      <c r="B75" s="102">
        <v>44193</v>
      </c>
      <c r="C75" s="26" t="s">
        <v>587</v>
      </c>
      <c r="D75" s="30">
        <v>129</v>
      </c>
      <c r="E75" s="13">
        <v>134</v>
      </c>
      <c r="F75" s="50">
        <f t="shared" si="9"/>
        <v>17286</v>
      </c>
      <c r="G75" s="103"/>
      <c r="H75" s="103"/>
      <c r="I75" s="104"/>
      <c r="J75" s="103"/>
      <c r="K75" s="103">
        <f>1+2+2+12</f>
        <v>17</v>
      </c>
      <c r="L75" s="103">
        <f>+D75+H75-K75</f>
        <v>112</v>
      </c>
      <c r="M75" s="103"/>
      <c r="N75" s="103" t="s">
        <v>945</v>
      </c>
      <c r="O75" s="104">
        <f t="shared" si="10"/>
        <v>15008</v>
      </c>
    </row>
    <row r="76" spans="1:15" s="92" customFormat="1" x14ac:dyDescent="0.3">
      <c r="A76" s="113" t="s">
        <v>56</v>
      </c>
      <c r="B76" s="106" t="s">
        <v>106</v>
      </c>
      <c r="C76" s="26" t="s">
        <v>774</v>
      </c>
      <c r="D76" s="30">
        <v>67</v>
      </c>
      <c r="E76" s="51">
        <v>50</v>
      </c>
      <c r="F76" s="50">
        <f t="shared" si="9"/>
        <v>3350</v>
      </c>
      <c r="G76" s="103"/>
      <c r="H76" s="103"/>
      <c r="I76" s="104"/>
      <c r="J76" s="103"/>
      <c r="K76" s="103">
        <f>2+4+1+2+1+2</f>
        <v>12</v>
      </c>
      <c r="L76" s="103">
        <f t="shared" ref="L76:L82" si="12">+D76+H76-K76</f>
        <v>55</v>
      </c>
      <c r="M76" s="103"/>
      <c r="N76" s="103" t="s">
        <v>945</v>
      </c>
      <c r="O76" s="104">
        <f t="shared" si="10"/>
        <v>2750</v>
      </c>
    </row>
    <row r="77" spans="1:15" s="92" customFormat="1" x14ac:dyDescent="0.3">
      <c r="A77" s="113" t="s">
        <v>100</v>
      </c>
      <c r="B77" s="102">
        <v>44488</v>
      </c>
      <c r="C77" s="26" t="s">
        <v>589</v>
      </c>
      <c r="D77" s="30">
        <v>3</v>
      </c>
      <c r="E77" s="13">
        <v>2200</v>
      </c>
      <c r="F77" s="50">
        <f t="shared" si="9"/>
        <v>6600</v>
      </c>
      <c r="G77" s="103"/>
      <c r="H77" s="103"/>
      <c r="I77" s="104"/>
      <c r="J77" s="103"/>
      <c r="K77" s="103"/>
      <c r="L77" s="103">
        <f t="shared" si="12"/>
        <v>3</v>
      </c>
      <c r="M77" s="103"/>
      <c r="N77" s="103" t="s">
        <v>945</v>
      </c>
      <c r="O77" s="104">
        <f>+E77*L77</f>
        <v>6600</v>
      </c>
    </row>
    <row r="78" spans="1:15" s="8" customFormat="1" ht="15.75" x14ac:dyDescent="0.25">
      <c r="A78" s="113" t="s">
        <v>57</v>
      </c>
      <c r="B78" s="102">
        <v>44193</v>
      </c>
      <c r="C78" s="9" t="s">
        <v>590</v>
      </c>
      <c r="D78" s="30">
        <v>0</v>
      </c>
      <c r="E78" s="13">
        <v>402.54</v>
      </c>
      <c r="F78" s="50">
        <f t="shared" si="9"/>
        <v>0</v>
      </c>
      <c r="G78" s="103"/>
      <c r="H78" s="103"/>
      <c r="I78" s="104"/>
      <c r="J78" s="103"/>
      <c r="K78" s="103"/>
      <c r="L78" s="103">
        <f t="shared" si="12"/>
        <v>0</v>
      </c>
      <c r="M78" s="103"/>
      <c r="N78" s="103" t="s">
        <v>946</v>
      </c>
      <c r="O78" s="104">
        <f t="shared" si="10"/>
        <v>0</v>
      </c>
    </row>
    <row r="79" spans="1:15" s="8" customFormat="1" ht="15.75" x14ac:dyDescent="0.25">
      <c r="A79" s="113" t="s">
        <v>139</v>
      </c>
      <c r="B79" s="102">
        <v>44193</v>
      </c>
      <c r="C79" s="9" t="s">
        <v>591</v>
      </c>
      <c r="D79" s="30">
        <v>11</v>
      </c>
      <c r="E79" s="13">
        <v>37.74</v>
      </c>
      <c r="F79" s="50">
        <f t="shared" si="9"/>
        <v>415.14000000000004</v>
      </c>
      <c r="G79" s="103"/>
      <c r="H79" s="103"/>
      <c r="I79" s="104"/>
      <c r="J79" s="103"/>
      <c r="K79" s="103"/>
      <c r="L79" s="103">
        <f t="shared" si="12"/>
        <v>11</v>
      </c>
      <c r="M79" s="103"/>
      <c r="N79" s="103" t="s">
        <v>946</v>
      </c>
      <c r="O79" s="104">
        <f t="shared" si="10"/>
        <v>415.14000000000004</v>
      </c>
    </row>
    <row r="80" spans="1:15" s="105" customFormat="1" ht="15.75" x14ac:dyDescent="0.25">
      <c r="A80" s="113" t="s">
        <v>140</v>
      </c>
      <c r="B80" s="102">
        <v>44193</v>
      </c>
      <c r="C80" s="9" t="s">
        <v>592</v>
      </c>
      <c r="D80" s="30">
        <v>0</v>
      </c>
      <c r="E80" s="13">
        <v>55</v>
      </c>
      <c r="F80" s="50">
        <f t="shared" si="9"/>
        <v>0</v>
      </c>
      <c r="G80" s="107">
        <v>44883</v>
      </c>
      <c r="H80" s="103">
        <v>25</v>
      </c>
      <c r="I80" s="104">
        <v>68.06</v>
      </c>
      <c r="J80" s="103">
        <f>+I80*H80</f>
        <v>1701.5</v>
      </c>
      <c r="K80" s="103">
        <v>1</v>
      </c>
      <c r="L80" s="103">
        <f t="shared" si="12"/>
        <v>24</v>
      </c>
      <c r="M80" s="103" t="s">
        <v>1037</v>
      </c>
      <c r="N80" s="103" t="s">
        <v>947</v>
      </c>
      <c r="O80" s="104">
        <f t="shared" si="10"/>
        <v>1320</v>
      </c>
    </row>
    <row r="81" spans="1:15" s="8" customFormat="1" ht="15.75" x14ac:dyDescent="0.25">
      <c r="A81" s="113" t="s">
        <v>141</v>
      </c>
      <c r="B81" s="102">
        <v>44193</v>
      </c>
      <c r="C81" s="9" t="s">
        <v>593</v>
      </c>
      <c r="D81" s="30">
        <v>6</v>
      </c>
      <c r="E81" s="13">
        <v>4740</v>
      </c>
      <c r="F81" s="50">
        <f t="shared" si="9"/>
        <v>28440</v>
      </c>
      <c r="G81" s="103"/>
      <c r="H81" s="103"/>
      <c r="I81" s="104"/>
      <c r="J81" s="103"/>
      <c r="K81" s="103"/>
      <c r="L81" s="103">
        <f t="shared" si="12"/>
        <v>6</v>
      </c>
      <c r="M81" s="103"/>
      <c r="N81" s="103" t="s">
        <v>947</v>
      </c>
      <c r="O81" s="104">
        <f>+E81*L81</f>
        <v>28440</v>
      </c>
    </row>
    <row r="82" spans="1:15" s="8" customFormat="1" ht="15.75" x14ac:dyDescent="0.25">
      <c r="A82" s="113" t="s">
        <v>58</v>
      </c>
      <c r="B82" s="102">
        <v>44193</v>
      </c>
      <c r="C82" s="9" t="s">
        <v>594</v>
      </c>
      <c r="D82" s="30">
        <v>1</v>
      </c>
      <c r="E82" s="13">
        <v>2535</v>
      </c>
      <c r="F82" s="50">
        <f t="shared" si="9"/>
        <v>2535</v>
      </c>
      <c r="G82" s="103"/>
      <c r="H82" s="103"/>
      <c r="I82" s="104"/>
      <c r="J82" s="103"/>
      <c r="K82" s="103"/>
      <c r="L82" s="103">
        <f t="shared" si="12"/>
        <v>1</v>
      </c>
      <c r="M82" s="103"/>
      <c r="N82" s="103" t="s">
        <v>947</v>
      </c>
      <c r="O82" s="104">
        <f t="shared" si="10"/>
        <v>2535</v>
      </c>
    </row>
    <row r="83" spans="1:15" s="8" customFormat="1" ht="15.75" x14ac:dyDescent="0.25">
      <c r="A83" s="113" t="s">
        <v>59</v>
      </c>
      <c r="B83" s="102">
        <v>44193</v>
      </c>
      <c r="C83" s="9" t="s">
        <v>595</v>
      </c>
      <c r="D83" s="30">
        <v>0</v>
      </c>
      <c r="E83" s="13">
        <v>211.86</v>
      </c>
      <c r="F83" s="50">
        <f t="shared" si="9"/>
        <v>0</v>
      </c>
      <c r="G83" s="103"/>
      <c r="H83" s="103"/>
      <c r="I83" s="104"/>
      <c r="J83" s="103"/>
      <c r="K83" s="103"/>
      <c r="L83" s="103">
        <f>+D83+H83-K83</f>
        <v>0</v>
      </c>
      <c r="M83" s="103"/>
      <c r="N83" s="103" t="s">
        <v>947</v>
      </c>
      <c r="O83" s="104">
        <f t="shared" si="10"/>
        <v>0</v>
      </c>
    </row>
    <row r="84" spans="1:15" s="8" customFormat="1" ht="15.75" x14ac:dyDescent="0.25">
      <c r="A84" s="113" t="s">
        <v>60</v>
      </c>
      <c r="B84" s="102">
        <v>44193</v>
      </c>
      <c r="C84" s="9" t="s">
        <v>596</v>
      </c>
      <c r="D84" s="30">
        <v>0</v>
      </c>
      <c r="E84" s="13">
        <v>70</v>
      </c>
      <c r="F84" s="50">
        <f t="shared" si="9"/>
        <v>0</v>
      </c>
      <c r="G84" s="103"/>
      <c r="H84" s="103"/>
      <c r="I84" s="104"/>
      <c r="J84" s="103"/>
      <c r="K84" s="103"/>
      <c r="L84" s="103">
        <f t="shared" ref="L84:L96" si="13">+D84+H84-K84</f>
        <v>0</v>
      </c>
      <c r="M84" s="103"/>
      <c r="N84" s="103" t="s">
        <v>947</v>
      </c>
      <c r="O84" s="104">
        <f t="shared" si="10"/>
        <v>0</v>
      </c>
    </row>
    <row r="85" spans="1:15" s="8" customFormat="1" ht="15.75" x14ac:dyDescent="0.25">
      <c r="A85" s="113" t="s">
        <v>61</v>
      </c>
      <c r="B85" s="102">
        <v>44193</v>
      </c>
      <c r="C85" s="26" t="s">
        <v>597</v>
      </c>
      <c r="D85" s="30">
        <v>2</v>
      </c>
      <c r="E85" s="13">
        <v>148.31</v>
      </c>
      <c r="F85" s="50">
        <f t="shared" si="9"/>
        <v>296.62</v>
      </c>
      <c r="G85" s="103"/>
      <c r="H85" s="103"/>
      <c r="I85" s="104"/>
      <c r="J85" s="103"/>
      <c r="K85" s="103"/>
      <c r="L85" s="103">
        <f t="shared" si="13"/>
        <v>2</v>
      </c>
      <c r="M85" s="103"/>
      <c r="N85" s="103" t="s">
        <v>947</v>
      </c>
      <c r="O85" s="104">
        <f t="shared" si="10"/>
        <v>296.62</v>
      </c>
    </row>
    <row r="86" spans="1:15" s="8" customFormat="1" ht="15.75" x14ac:dyDescent="0.25">
      <c r="A86" s="113" t="s">
        <v>62</v>
      </c>
      <c r="B86" s="102">
        <v>44547</v>
      </c>
      <c r="C86" s="9" t="s">
        <v>598</v>
      </c>
      <c r="D86" s="30">
        <v>24</v>
      </c>
      <c r="E86" s="13">
        <v>200</v>
      </c>
      <c r="F86" s="50">
        <f t="shared" si="9"/>
        <v>4800</v>
      </c>
      <c r="G86" s="103"/>
      <c r="H86" s="103"/>
      <c r="I86" s="104"/>
      <c r="J86" s="103"/>
      <c r="K86" s="103"/>
      <c r="L86" s="103">
        <f t="shared" si="13"/>
        <v>24</v>
      </c>
      <c r="M86" s="103"/>
      <c r="N86" s="103" t="s">
        <v>947</v>
      </c>
      <c r="O86" s="104">
        <f t="shared" si="10"/>
        <v>4800</v>
      </c>
    </row>
    <row r="87" spans="1:15" s="105" customFormat="1" ht="15.75" x14ac:dyDescent="0.25">
      <c r="A87" s="113" t="s">
        <v>63</v>
      </c>
      <c r="B87" s="102">
        <v>44193</v>
      </c>
      <c r="C87" s="9" t="s">
        <v>599</v>
      </c>
      <c r="D87" s="30">
        <v>0</v>
      </c>
      <c r="E87" s="13">
        <v>65</v>
      </c>
      <c r="F87" s="50">
        <f t="shared" si="9"/>
        <v>0</v>
      </c>
      <c r="G87" s="107">
        <v>44852</v>
      </c>
      <c r="H87" s="103">
        <v>10</v>
      </c>
      <c r="I87" s="104">
        <v>46</v>
      </c>
      <c r="J87" s="108">
        <f>+I87*H87</f>
        <v>460</v>
      </c>
      <c r="K87" s="103"/>
      <c r="L87" s="103">
        <f t="shared" si="13"/>
        <v>10</v>
      </c>
      <c r="M87" s="103" t="s">
        <v>1037</v>
      </c>
      <c r="N87" s="103" t="s">
        <v>947</v>
      </c>
      <c r="O87" s="104">
        <f t="shared" si="10"/>
        <v>650</v>
      </c>
    </row>
    <row r="88" spans="1:15" s="92" customFormat="1" x14ac:dyDescent="0.3">
      <c r="A88" s="113" t="s">
        <v>64</v>
      </c>
      <c r="B88" s="102">
        <v>44193</v>
      </c>
      <c r="C88" s="25" t="s">
        <v>850</v>
      </c>
      <c r="D88" s="38">
        <v>1</v>
      </c>
      <c r="E88" s="13"/>
      <c r="F88" s="50"/>
      <c r="G88" s="103"/>
      <c r="H88" s="103"/>
      <c r="I88" s="104"/>
      <c r="J88" s="103"/>
      <c r="K88" s="103"/>
      <c r="L88" s="103">
        <f t="shared" si="13"/>
        <v>1</v>
      </c>
      <c r="M88" s="103"/>
      <c r="N88" s="103" t="s">
        <v>945</v>
      </c>
      <c r="O88" s="104">
        <f t="shared" si="10"/>
        <v>0</v>
      </c>
    </row>
    <row r="89" spans="1:15" s="105" customFormat="1" ht="15.75" x14ac:dyDescent="0.25">
      <c r="A89" s="113" t="s">
        <v>65</v>
      </c>
      <c r="B89" s="102">
        <v>44193</v>
      </c>
      <c r="C89" s="9" t="s">
        <v>851</v>
      </c>
      <c r="D89" s="30">
        <v>6</v>
      </c>
      <c r="E89" s="13">
        <v>9.5833333333333339</v>
      </c>
      <c r="F89" s="50">
        <f>D89*E89</f>
        <v>57.5</v>
      </c>
      <c r="G89" s="107">
        <v>44852</v>
      </c>
      <c r="H89" s="103">
        <f>10*12</f>
        <v>120</v>
      </c>
      <c r="I89" s="104">
        <v>7.09</v>
      </c>
      <c r="J89" s="103">
        <f>+I89*H89</f>
        <v>850.8</v>
      </c>
      <c r="K89" s="103"/>
      <c r="L89" s="103">
        <f t="shared" si="13"/>
        <v>126</v>
      </c>
      <c r="M89" s="103" t="s">
        <v>1037</v>
      </c>
      <c r="N89" s="108" t="s">
        <v>947</v>
      </c>
      <c r="O89" s="104">
        <f>+L89*I89</f>
        <v>893.34</v>
      </c>
    </row>
    <row r="90" spans="1:15" s="8" customFormat="1" ht="15.75" x14ac:dyDescent="0.25">
      <c r="A90" s="113" t="s">
        <v>66</v>
      </c>
      <c r="B90" s="102">
        <v>44547</v>
      </c>
      <c r="C90" s="9" t="s">
        <v>775</v>
      </c>
      <c r="D90" s="30">
        <v>10</v>
      </c>
      <c r="E90" s="13">
        <v>155</v>
      </c>
      <c r="F90" s="50">
        <f>D90*E90</f>
        <v>1550</v>
      </c>
      <c r="G90" s="103"/>
      <c r="H90" s="103"/>
      <c r="I90" s="104"/>
      <c r="J90" s="103"/>
      <c r="K90" s="103"/>
      <c r="L90" s="103">
        <f t="shared" si="13"/>
        <v>10</v>
      </c>
      <c r="M90" s="103"/>
      <c r="N90" s="103" t="s">
        <v>947</v>
      </c>
      <c r="O90" s="104">
        <f t="shared" si="10"/>
        <v>1550</v>
      </c>
    </row>
    <row r="91" spans="1:15" s="92" customFormat="1" x14ac:dyDescent="0.3">
      <c r="A91" s="113" t="s">
        <v>68</v>
      </c>
      <c r="B91" s="102">
        <v>44453</v>
      </c>
      <c r="C91" s="25" t="s">
        <v>603</v>
      </c>
      <c r="D91" s="14">
        <v>4</v>
      </c>
      <c r="E91" s="13">
        <v>7500</v>
      </c>
      <c r="F91" s="50">
        <f>D91*E91</f>
        <v>30000</v>
      </c>
      <c r="G91" s="103"/>
      <c r="H91" s="103"/>
      <c r="I91" s="104"/>
      <c r="J91" s="103"/>
      <c r="K91" s="103">
        <v>1</v>
      </c>
      <c r="L91" s="103">
        <f t="shared" si="13"/>
        <v>3</v>
      </c>
      <c r="M91" s="103"/>
      <c r="N91" s="103" t="s">
        <v>945</v>
      </c>
      <c r="O91" s="104">
        <f>+E91*L91</f>
        <v>22500</v>
      </c>
    </row>
    <row r="92" spans="1:15" s="92" customFormat="1" x14ac:dyDescent="0.3">
      <c r="A92" s="113" t="s">
        <v>67</v>
      </c>
      <c r="B92" s="102">
        <v>44659</v>
      </c>
      <c r="C92" s="25" t="s">
        <v>776</v>
      </c>
      <c r="D92" s="14">
        <v>108</v>
      </c>
      <c r="E92" s="13">
        <v>156.66667000000001</v>
      </c>
      <c r="F92" s="50">
        <f>D92*E92</f>
        <v>16920.000360000002</v>
      </c>
      <c r="G92" s="103"/>
      <c r="H92" s="103"/>
      <c r="I92" s="104"/>
      <c r="J92" s="103"/>
      <c r="K92" s="103">
        <f>1+1+1+2+1+1+1+1+1+1+1+1+1+1+1+1+1+1+1+1+1+1+1+1+1+1+1+1+1+1+1+1+1+1+1+1+1+1+1</f>
        <v>40</v>
      </c>
      <c r="L92" s="103">
        <f t="shared" si="13"/>
        <v>68</v>
      </c>
      <c r="M92" s="103"/>
      <c r="N92" s="103" t="s">
        <v>945</v>
      </c>
      <c r="O92" s="104">
        <f t="shared" si="10"/>
        <v>10653.333560000001</v>
      </c>
    </row>
    <row r="93" spans="1:15" s="8" customFormat="1" ht="15.75" x14ac:dyDescent="0.25">
      <c r="A93" s="113" t="s">
        <v>69</v>
      </c>
      <c r="B93" s="102">
        <v>44193</v>
      </c>
      <c r="C93" s="25" t="s">
        <v>844</v>
      </c>
      <c r="D93" s="14">
        <v>20</v>
      </c>
      <c r="E93" s="13">
        <v>30.5</v>
      </c>
      <c r="F93" s="50">
        <f>D93*E93</f>
        <v>610</v>
      </c>
      <c r="G93" s="103"/>
      <c r="H93" s="103"/>
      <c r="I93" s="104"/>
      <c r="J93" s="103"/>
      <c r="K93" s="103"/>
      <c r="L93" s="103">
        <f t="shared" si="13"/>
        <v>20</v>
      </c>
      <c r="M93" s="103"/>
      <c r="N93" s="103" t="s">
        <v>946</v>
      </c>
      <c r="O93" s="104">
        <f t="shared" si="10"/>
        <v>610</v>
      </c>
    </row>
    <row r="94" spans="1:15" s="8" customFormat="1" ht="15.75" x14ac:dyDescent="0.25">
      <c r="A94" s="113" t="s">
        <v>103</v>
      </c>
      <c r="B94" s="102">
        <v>44193</v>
      </c>
      <c r="C94" s="25" t="s">
        <v>789</v>
      </c>
      <c r="D94" s="14">
        <f>21+8+14</f>
        <v>43</v>
      </c>
      <c r="E94" s="13">
        <v>11.24</v>
      </c>
      <c r="F94" s="50">
        <f t="shared" ref="F94:F132" si="14">D94*E94</f>
        <v>483.32</v>
      </c>
      <c r="G94" s="103"/>
      <c r="H94" s="103"/>
      <c r="I94" s="104"/>
      <c r="J94" s="103"/>
      <c r="K94" s="103">
        <v>1</v>
      </c>
      <c r="L94" s="103">
        <f t="shared" si="13"/>
        <v>42</v>
      </c>
      <c r="M94" s="103"/>
      <c r="N94" s="103" t="s">
        <v>946</v>
      </c>
      <c r="O94" s="104">
        <f t="shared" si="10"/>
        <v>472.08</v>
      </c>
    </row>
    <row r="95" spans="1:15" s="8" customFormat="1" ht="15.75" x14ac:dyDescent="0.25">
      <c r="A95" s="113" t="s">
        <v>104</v>
      </c>
      <c r="B95" s="102">
        <v>44193</v>
      </c>
      <c r="C95" s="25" t="s">
        <v>788</v>
      </c>
      <c r="D95" s="14">
        <f>16+6+7+2</f>
        <v>31</v>
      </c>
      <c r="E95" s="13">
        <v>11.24</v>
      </c>
      <c r="F95" s="50">
        <f t="shared" si="14"/>
        <v>348.44</v>
      </c>
      <c r="G95" s="103"/>
      <c r="H95" s="103"/>
      <c r="I95" s="104"/>
      <c r="J95" s="103"/>
      <c r="K95" s="103"/>
      <c r="L95" s="103">
        <f t="shared" si="13"/>
        <v>31</v>
      </c>
      <c r="M95" s="103"/>
      <c r="N95" s="103" t="s">
        <v>946</v>
      </c>
      <c r="O95" s="104">
        <f t="shared" si="10"/>
        <v>348.44</v>
      </c>
    </row>
    <row r="96" spans="1:15" s="8" customFormat="1" ht="15.75" x14ac:dyDescent="0.25">
      <c r="A96" s="113" t="s">
        <v>142</v>
      </c>
      <c r="B96" s="102">
        <v>44193</v>
      </c>
      <c r="C96" s="25" t="s">
        <v>604</v>
      </c>
      <c r="D96" s="14">
        <v>28</v>
      </c>
      <c r="E96" s="13">
        <v>45</v>
      </c>
      <c r="F96" s="50">
        <f t="shared" si="14"/>
        <v>1260</v>
      </c>
      <c r="G96" s="103"/>
      <c r="H96" s="103"/>
      <c r="I96" s="104"/>
      <c r="J96" s="103"/>
      <c r="K96" s="103"/>
      <c r="L96" s="103">
        <f t="shared" si="13"/>
        <v>28</v>
      </c>
      <c r="M96" s="103"/>
      <c r="N96" s="103" t="s">
        <v>946</v>
      </c>
      <c r="O96" s="104">
        <f t="shared" si="10"/>
        <v>1260</v>
      </c>
    </row>
    <row r="97" spans="1:15" s="8" customFormat="1" ht="15.75" x14ac:dyDescent="0.25">
      <c r="A97" s="113" t="s">
        <v>70</v>
      </c>
      <c r="B97" s="102">
        <v>44193</v>
      </c>
      <c r="C97" s="25" t="s">
        <v>605</v>
      </c>
      <c r="D97" s="14">
        <v>4</v>
      </c>
      <c r="E97" s="13">
        <v>40</v>
      </c>
      <c r="F97" s="50">
        <f t="shared" si="14"/>
        <v>160</v>
      </c>
      <c r="G97" s="103"/>
      <c r="H97" s="103"/>
      <c r="I97" s="104"/>
      <c r="J97" s="103"/>
      <c r="K97" s="103"/>
      <c r="L97" s="103">
        <f>+D97+H97-K97</f>
        <v>4</v>
      </c>
      <c r="M97" s="103"/>
      <c r="N97" s="103" t="s">
        <v>946</v>
      </c>
      <c r="O97" s="104">
        <f t="shared" si="10"/>
        <v>160</v>
      </c>
    </row>
    <row r="98" spans="1:15" s="8" customFormat="1" ht="15.75" x14ac:dyDescent="0.25">
      <c r="A98" s="113" t="s">
        <v>71</v>
      </c>
      <c r="B98" s="102">
        <v>44193</v>
      </c>
      <c r="C98" s="25" t="s">
        <v>606</v>
      </c>
      <c r="D98" s="14">
        <v>39</v>
      </c>
      <c r="E98" s="13">
        <v>45</v>
      </c>
      <c r="F98" s="50">
        <f t="shared" si="14"/>
        <v>1755</v>
      </c>
      <c r="G98" s="103"/>
      <c r="H98" s="103"/>
      <c r="I98" s="104"/>
      <c r="J98" s="103"/>
      <c r="K98" s="103"/>
      <c r="L98" s="103">
        <f t="shared" ref="L98:L109" si="15">+D98+H98-K98</f>
        <v>39</v>
      </c>
      <c r="M98" s="103"/>
      <c r="N98" s="103" t="s">
        <v>946</v>
      </c>
      <c r="O98" s="104">
        <f t="shared" si="10"/>
        <v>1755</v>
      </c>
    </row>
    <row r="99" spans="1:15" s="8" customFormat="1" ht="15.75" x14ac:dyDescent="0.25">
      <c r="A99" s="113" t="s">
        <v>72</v>
      </c>
      <c r="B99" s="102">
        <v>44193</v>
      </c>
      <c r="C99" s="25" t="s">
        <v>846</v>
      </c>
      <c r="D99" s="14">
        <v>1</v>
      </c>
      <c r="E99" s="13">
        <v>47</v>
      </c>
      <c r="F99" s="50">
        <f t="shared" si="14"/>
        <v>47</v>
      </c>
      <c r="G99" s="103"/>
      <c r="H99" s="103"/>
      <c r="I99" s="104"/>
      <c r="J99" s="103"/>
      <c r="K99" s="103"/>
      <c r="L99" s="103">
        <f t="shared" si="15"/>
        <v>1</v>
      </c>
      <c r="M99" s="103"/>
      <c r="N99" s="103" t="s">
        <v>946</v>
      </c>
      <c r="O99" s="104">
        <f t="shared" si="10"/>
        <v>47</v>
      </c>
    </row>
    <row r="100" spans="1:15" s="8" customFormat="1" ht="15.75" x14ac:dyDescent="0.25">
      <c r="A100" s="113" t="s">
        <v>73</v>
      </c>
      <c r="B100" s="102">
        <v>44193</v>
      </c>
      <c r="C100" s="25" t="s">
        <v>607</v>
      </c>
      <c r="D100" s="14">
        <v>1</v>
      </c>
      <c r="E100" s="13">
        <v>40</v>
      </c>
      <c r="F100" s="50">
        <f t="shared" si="14"/>
        <v>40</v>
      </c>
      <c r="G100" s="103"/>
      <c r="H100" s="103"/>
      <c r="I100" s="104"/>
      <c r="J100" s="103"/>
      <c r="K100" s="103"/>
      <c r="L100" s="103">
        <f t="shared" si="15"/>
        <v>1</v>
      </c>
      <c r="M100" s="103"/>
      <c r="N100" s="103" t="s">
        <v>946</v>
      </c>
      <c r="O100" s="104">
        <f t="shared" si="10"/>
        <v>40</v>
      </c>
    </row>
    <row r="101" spans="1:15" s="8" customFormat="1" ht="15.75" x14ac:dyDescent="0.25">
      <c r="A101" s="113" t="s">
        <v>74</v>
      </c>
      <c r="B101" s="102">
        <v>44193</v>
      </c>
      <c r="C101" s="25" t="s">
        <v>608</v>
      </c>
      <c r="D101" s="32">
        <v>2</v>
      </c>
      <c r="E101" s="13">
        <v>12.21</v>
      </c>
      <c r="F101" s="50">
        <f t="shared" si="14"/>
        <v>24.42</v>
      </c>
      <c r="G101" s="103"/>
      <c r="H101" s="103"/>
      <c r="I101" s="104"/>
      <c r="J101" s="103"/>
      <c r="K101" s="103"/>
      <c r="L101" s="103">
        <f t="shared" si="15"/>
        <v>2</v>
      </c>
      <c r="M101" s="103"/>
      <c r="N101" s="103" t="s">
        <v>946</v>
      </c>
      <c r="O101" s="104">
        <f t="shared" si="10"/>
        <v>24.42</v>
      </c>
    </row>
    <row r="102" spans="1:15" s="8" customFormat="1" ht="15.75" x14ac:dyDescent="0.25">
      <c r="A102" s="113" t="s">
        <v>101</v>
      </c>
      <c r="B102" s="102">
        <v>44193</v>
      </c>
      <c r="C102" s="25" t="s">
        <v>609</v>
      </c>
      <c r="D102" s="32">
        <v>0</v>
      </c>
      <c r="E102" s="13">
        <v>4</v>
      </c>
      <c r="F102" s="50">
        <f t="shared" si="14"/>
        <v>0</v>
      </c>
      <c r="G102" s="103"/>
      <c r="H102" s="103"/>
      <c r="I102" s="104"/>
      <c r="J102" s="103"/>
      <c r="K102" s="103"/>
      <c r="L102" s="103">
        <f t="shared" si="15"/>
        <v>0</v>
      </c>
      <c r="M102" s="103"/>
      <c r="N102" s="103" t="s">
        <v>946</v>
      </c>
      <c r="O102" s="104">
        <f>+E102*L102</f>
        <v>0</v>
      </c>
    </row>
    <row r="103" spans="1:15" s="8" customFormat="1" ht="15.75" x14ac:dyDescent="0.25">
      <c r="A103" s="113" t="s">
        <v>75</v>
      </c>
      <c r="B103" s="102">
        <v>44193</v>
      </c>
      <c r="C103" s="25" t="s">
        <v>610</v>
      </c>
      <c r="D103" s="32">
        <f>13+7+29</f>
        <v>49</v>
      </c>
      <c r="E103" s="13">
        <v>5.05</v>
      </c>
      <c r="F103" s="50">
        <f t="shared" si="14"/>
        <v>247.45</v>
      </c>
      <c r="G103" s="103"/>
      <c r="H103" s="103"/>
      <c r="I103" s="104"/>
      <c r="J103" s="103"/>
      <c r="K103" s="103"/>
      <c r="L103" s="103">
        <f t="shared" si="15"/>
        <v>49</v>
      </c>
      <c r="M103" s="103"/>
      <c r="N103" s="103" t="s">
        <v>946</v>
      </c>
      <c r="O103" s="104">
        <f>+E103*L103</f>
        <v>247.45</v>
      </c>
    </row>
    <row r="104" spans="1:15" s="8" customFormat="1" ht="15.75" x14ac:dyDescent="0.25">
      <c r="A104" s="113" t="s">
        <v>102</v>
      </c>
      <c r="B104" s="102">
        <v>44193</v>
      </c>
      <c r="C104" s="25" t="s">
        <v>611</v>
      </c>
      <c r="D104" s="32">
        <v>0</v>
      </c>
      <c r="E104" s="13">
        <v>42.95</v>
      </c>
      <c r="F104" s="50">
        <f t="shared" si="14"/>
        <v>0</v>
      </c>
      <c r="G104" s="103"/>
      <c r="H104" s="103"/>
      <c r="I104" s="104"/>
      <c r="J104" s="103"/>
      <c r="K104" s="103"/>
      <c r="L104" s="103">
        <f t="shared" si="15"/>
        <v>0</v>
      </c>
      <c r="M104" s="103"/>
      <c r="N104" s="103" t="s">
        <v>946</v>
      </c>
      <c r="O104" s="104">
        <f t="shared" ref="O104:O110" si="16">+E104*L104</f>
        <v>0</v>
      </c>
    </row>
    <row r="105" spans="1:15" s="8" customFormat="1" ht="15.75" x14ac:dyDescent="0.25">
      <c r="A105" s="113" t="s">
        <v>143</v>
      </c>
      <c r="B105" s="102">
        <v>44193</v>
      </c>
      <c r="C105" s="25" t="s">
        <v>612</v>
      </c>
      <c r="D105" s="30">
        <v>11</v>
      </c>
      <c r="E105" s="13">
        <v>19.95</v>
      </c>
      <c r="F105" s="50">
        <f t="shared" si="14"/>
        <v>219.45</v>
      </c>
      <c r="G105" s="103"/>
      <c r="H105" s="103"/>
      <c r="I105" s="104"/>
      <c r="J105" s="103"/>
      <c r="K105" s="103"/>
      <c r="L105" s="103">
        <f t="shared" si="15"/>
        <v>11</v>
      </c>
      <c r="M105" s="103"/>
      <c r="N105" s="103" t="s">
        <v>946</v>
      </c>
      <c r="O105" s="104">
        <f t="shared" si="16"/>
        <v>219.45</v>
      </c>
    </row>
    <row r="106" spans="1:15" s="8" customFormat="1" ht="15.75" x14ac:dyDescent="0.25">
      <c r="A106" s="113" t="s">
        <v>334</v>
      </c>
      <c r="B106" s="102">
        <v>44193</v>
      </c>
      <c r="C106" s="25" t="s">
        <v>613</v>
      </c>
      <c r="D106" s="30">
        <f>6+7</f>
        <v>13</v>
      </c>
      <c r="E106" s="13">
        <v>5.78</v>
      </c>
      <c r="F106" s="50">
        <f t="shared" si="14"/>
        <v>75.14</v>
      </c>
      <c r="G106" s="103"/>
      <c r="H106" s="103"/>
      <c r="I106" s="104"/>
      <c r="J106" s="103"/>
      <c r="K106" s="103"/>
      <c r="L106" s="103">
        <f t="shared" si="15"/>
        <v>13</v>
      </c>
      <c r="M106" s="103"/>
      <c r="N106" s="103" t="s">
        <v>946</v>
      </c>
      <c r="O106" s="104">
        <f t="shared" si="16"/>
        <v>75.14</v>
      </c>
    </row>
    <row r="107" spans="1:15" s="8" customFormat="1" ht="15.75" x14ac:dyDescent="0.25">
      <c r="A107" s="113" t="s">
        <v>335</v>
      </c>
      <c r="B107" s="102">
        <v>44193</v>
      </c>
      <c r="C107" s="25" t="s">
        <v>849</v>
      </c>
      <c r="D107" s="30">
        <v>1</v>
      </c>
      <c r="E107" s="13"/>
      <c r="F107" s="50">
        <f t="shared" si="14"/>
        <v>0</v>
      </c>
      <c r="G107" s="103"/>
      <c r="H107" s="103"/>
      <c r="I107" s="104"/>
      <c r="J107" s="103"/>
      <c r="K107" s="103"/>
      <c r="L107" s="103">
        <f t="shared" si="15"/>
        <v>1</v>
      </c>
      <c r="M107" s="103"/>
      <c r="N107" s="103" t="s">
        <v>946</v>
      </c>
      <c r="O107" s="104">
        <f t="shared" si="16"/>
        <v>0</v>
      </c>
    </row>
    <row r="108" spans="1:15" s="8" customFormat="1" ht="15.75" x14ac:dyDescent="0.25">
      <c r="A108" s="113" t="s">
        <v>336</v>
      </c>
      <c r="B108" s="102">
        <v>44193</v>
      </c>
      <c r="C108" s="26" t="s">
        <v>821</v>
      </c>
      <c r="D108" s="30">
        <v>9</v>
      </c>
      <c r="E108" s="13">
        <v>77.540000000000006</v>
      </c>
      <c r="F108" s="50">
        <f t="shared" si="14"/>
        <v>697.86</v>
      </c>
      <c r="G108" s="103"/>
      <c r="H108" s="103"/>
      <c r="I108" s="104"/>
      <c r="J108" s="103"/>
      <c r="K108" s="103"/>
      <c r="L108" s="103">
        <f t="shared" si="15"/>
        <v>9</v>
      </c>
      <c r="M108" s="103"/>
      <c r="N108" s="103" t="s">
        <v>946</v>
      </c>
      <c r="O108" s="104">
        <f t="shared" si="16"/>
        <v>697.86</v>
      </c>
    </row>
    <row r="109" spans="1:15" s="8" customFormat="1" ht="15.75" x14ac:dyDescent="0.25">
      <c r="A109" s="113" t="s">
        <v>337</v>
      </c>
      <c r="B109" s="102">
        <v>44193</v>
      </c>
      <c r="C109" s="26" t="s">
        <v>820</v>
      </c>
      <c r="D109" s="30">
        <v>21</v>
      </c>
      <c r="E109" s="13">
        <v>719.2</v>
      </c>
      <c r="F109" s="50">
        <f t="shared" si="14"/>
        <v>15103.2</v>
      </c>
      <c r="G109" s="103"/>
      <c r="H109" s="103"/>
      <c r="I109" s="104"/>
      <c r="J109" s="103"/>
      <c r="K109" s="103"/>
      <c r="L109" s="103">
        <f t="shared" si="15"/>
        <v>21</v>
      </c>
      <c r="M109" s="103"/>
      <c r="N109" s="103" t="s">
        <v>946</v>
      </c>
      <c r="O109" s="104">
        <f t="shared" si="16"/>
        <v>15103.2</v>
      </c>
    </row>
    <row r="110" spans="1:15" s="8" customFormat="1" ht="15.75" x14ac:dyDescent="0.25">
      <c r="A110" s="113" t="s">
        <v>338</v>
      </c>
      <c r="B110" s="102">
        <v>44193</v>
      </c>
      <c r="C110" s="26" t="s">
        <v>823</v>
      </c>
      <c r="D110" s="30">
        <v>3</v>
      </c>
      <c r="E110" s="13">
        <v>51</v>
      </c>
      <c r="F110" s="50">
        <f t="shared" si="14"/>
        <v>153</v>
      </c>
      <c r="G110" s="103"/>
      <c r="H110" s="103"/>
      <c r="I110" s="104"/>
      <c r="J110" s="103"/>
      <c r="K110" s="103"/>
      <c r="L110" s="103">
        <f>+D110+H110-K110</f>
        <v>3</v>
      </c>
      <c r="M110" s="103"/>
      <c r="N110" s="103" t="s">
        <v>946</v>
      </c>
      <c r="O110" s="104">
        <f t="shared" si="16"/>
        <v>153</v>
      </c>
    </row>
    <row r="111" spans="1:15" s="8" customFormat="1" ht="15.75" x14ac:dyDescent="0.25">
      <c r="A111" s="113" t="s">
        <v>339</v>
      </c>
      <c r="B111" s="102">
        <v>44193</v>
      </c>
      <c r="C111" s="26" t="s">
        <v>822</v>
      </c>
      <c r="D111" s="30">
        <v>12</v>
      </c>
      <c r="E111" s="13">
        <v>66.11</v>
      </c>
      <c r="F111" s="50">
        <f t="shared" si="14"/>
        <v>793.31999999999994</v>
      </c>
      <c r="G111" s="103"/>
      <c r="H111" s="103"/>
      <c r="I111" s="104"/>
      <c r="J111" s="103"/>
      <c r="K111" s="103"/>
      <c r="L111" s="103">
        <f t="shared" ref="L111:L175" si="17">+D111+H111-K111</f>
        <v>12</v>
      </c>
      <c r="M111" s="103"/>
      <c r="N111" s="103" t="s">
        <v>946</v>
      </c>
      <c r="O111" s="104">
        <f>+E111*L111</f>
        <v>793.31999999999994</v>
      </c>
    </row>
    <row r="112" spans="1:15" s="8" customFormat="1" ht="15.75" x14ac:dyDescent="0.25">
      <c r="A112" s="113" t="s">
        <v>340</v>
      </c>
      <c r="B112" s="102">
        <v>44193</v>
      </c>
      <c r="C112" s="26" t="s">
        <v>802</v>
      </c>
      <c r="D112" s="30">
        <v>2</v>
      </c>
      <c r="E112" s="13">
        <v>70</v>
      </c>
      <c r="F112" s="50">
        <f t="shared" si="14"/>
        <v>140</v>
      </c>
      <c r="G112" s="103"/>
      <c r="H112" s="103"/>
      <c r="I112" s="104"/>
      <c r="J112" s="103"/>
      <c r="K112" s="103"/>
      <c r="L112" s="103">
        <f t="shared" si="17"/>
        <v>2</v>
      </c>
      <c r="M112" s="103"/>
      <c r="N112" s="103" t="s">
        <v>946</v>
      </c>
      <c r="O112" s="104">
        <f t="shared" ref="O112:O120" si="18">+E112*L112</f>
        <v>140</v>
      </c>
    </row>
    <row r="113" spans="1:15" s="8" customFormat="1" ht="15.75" x14ac:dyDescent="0.25">
      <c r="A113" s="113" t="s">
        <v>341</v>
      </c>
      <c r="B113" s="102">
        <v>44193</v>
      </c>
      <c r="C113" s="26" t="s">
        <v>804</v>
      </c>
      <c r="D113" s="30">
        <v>6</v>
      </c>
      <c r="E113" s="13">
        <v>450</v>
      </c>
      <c r="F113" s="50">
        <f t="shared" si="14"/>
        <v>2700</v>
      </c>
      <c r="G113" s="103"/>
      <c r="H113" s="103"/>
      <c r="I113" s="104"/>
      <c r="J113" s="103"/>
      <c r="K113" s="103">
        <v>1</v>
      </c>
      <c r="L113" s="103">
        <f t="shared" si="17"/>
        <v>5</v>
      </c>
      <c r="M113" s="103"/>
      <c r="N113" s="103" t="s">
        <v>946</v>
      </c>
      <c r="O113" s="104">
        <f>+E113*L113</f>
        <v>2250</v>
      </c>
    </row>
    <row r="114" spans="1:15" s="8" customFormat="1" ht="15.75" x14ac:dyDescent="0.25">
      <c r="A114" s="113" t="s">
        <v>342</v>
      </c>
      <c r="B114" s="102">
        <v>44193</v>
      </c>
      <c r="C114" s="26" t="s">
        <v>801</v>
      </c>
      <c r="D114" s="30">
        <v>2</v>
      </c>
      <c r="E114" s="13">
        <v>719.2</v>
      </c>
      <c r="F114" s="50">
        <f t="shared" si="14"/>
        <v>1438.4</v>
      </c>
      <c r="G114" s="103"/>
      <c r="H114" s="103"/>
      <c r="I114" s="104"/>
      <c r="J114" s="103"/>
      <c r="K114" s="103">
        <v>2</v>
      </c>
      <c r="L114" s="103">
        <f t="shared" si="17"/>
        <v>0</v>
      </c>
      <c r="M114" s="103"/>
      <c r="N114" s="103" t="s">
        <v>946</v>
      </c>
      <c r="O114" s="104">
        <f t="shared" si="18"/>
        <v>0</v>
      </c>
    </row>
    <row r="115" spans="1:15" s="8" customFormat="1" ht="15.75" x14ac:dyDescent="0.25">
      <c r="A115" s="113" t="s">
        <v>343</v>
      </c>
      <c r="B115" s="102">
        <v>44193</v>
      </c>
      <c r="C115" s="25" t="s">
        <v>616</v>
      </c>
      <c r="D115" s="32">
        <v>0</v>
      </c>
      <c r="E115" s="13">
        <v>2950</v>
      </c>
      <c r="F115" s="50">
        <f t="shared" si="14"/>
        <v>0</v>
      </c>
      <c r="G115" s="103"/>
      <c r="H115" s="103"/>
      <c r="I115" s="104"/>
      <c r="J115" s="103"/>
      <c r="K115" s="103"/>
      <c r="L115" s="103">
        <f t="shared" si="17"/>
        <v>0</v>
      </c>
      <c r="M115" s="103"/>
      <c r="N115" s="103" t="s">
        <v>946</v>
      </c>
      <c r="O115" s="104">
        <f t="shared" si="18"/>
        <v>0</v>
      </c>
    </row>
    <row r="116" spans="1:15" s="8" customFormat="1" ht="15.75" x14ac:dyDescent="0.25">
      <c r="A116" s="113" t="s">
        <v>344</v>
      </c>
      <c r="B116" s="102">
        <v>44193</v>
      </c>
      <c r="C116" s="25" t="s">
        <v>617</v>
      </c>
      <c r="D116" s="32">
        <v>5</v>
      </c>
      <c r="E116" s="13">
        <v>29</v>
      </c>
      <c r="F116" s="50">
        <f t="shared" si="14"/>
        <v>145</v>
      </c>
      <c r="G116" s="103"/>
      <c r="H116" s="103"/>
      <c r="I116" s="104"/>
      <c r="J116" s="103"/>
      <c r="K116" s="103">
        <v>4</v>
      </c>
      <c r="L116" s="103">
        <f t="shared" si="17"/>
        <v>1</v>
      </c>
      <c r="M116" s="103"/>
      <c r="N116" s="103" t="s">
        <v>946</v>
      </c>
      <c r="O116" s="104">
        <f t="shared" si="18"/>
        <v>29</v>
      </c>
    </row>
    <row r="117" spans="1:15" s="8" customFormat="1" ht="15.75" x14ac:dyDescent="0.25">
      <c r="A117" s="113" t="s">
        <v>345</v>
      </c>
      <c r="B117" s="106" t="s">
        <v>106</v>
      </c>
      <c r="C117" s="9" t="s">
        <v>618</v>
      </c>
      <c r="D117" s="30">
        <v>12</v>
      </c>
      <c r="E117" s="51">
        <v>35</v>
      </c>
      <c r="F117" s="50">
        <f t="shared" si="14"/>
        <v>420</v>
      </c>
      <c r="G117" s="103"/>
      <c r="H117" s="103"/>
      <c r="I117" s="104"/>
      <c r="J117" s="103"/>
      <c r="K117" s="103"/>
      <c r="L117" s="103">
        <f t="shared" si="17"/>
        <v>12</v>
      </c>
      <c r="M117" s="103"/>
      <c r="N117" s="103" t="s">
        <v>947</v>
      </c>
      <c r="O117" s="104">
        <f t="shared" si="18"/>
        <v>420</v>
      </c>
    </row>
    <row r="118" spans="1:15" s="92" customFormat="1" x14ac:dyDescent="0.3">
      <c r="A118" s="113" t="s">
        <v>346</v>
      </c>
      <c r="B118" s="102">
        <v>44193</v>
      </c>
      <c r="C118" s="26" t="s">
        <v>619</v>
      </c>
      <c r="D118" s="32">
        <v>0</v>
      </c>
      <c r="E118" s="13">
        <v>155</v>
      </c>
      <c r="F118" s="50">
        <f t="shared" si="14"/>
        <v>0</v>
      </c>
      <c r="G118" s="103"/>
      <c r="H118" s="103"/>
      <c r="I118" s="104"/>
      <c r="J118" s="103"/>
      <c r="K118" s="103">
        <f>2+1+1+1+1+1+1+1</f>
        <v>9</v>
      </c>
      <c r="L118" s="103">
        <f t="shared" si="17"/>
        <v>-9</v>
      </c>
      <c r="M118" s="103"/>
      <c r="N118" s="103" t="s">
        <v>945</v>
      </c>
      <c r="O118" s="104">
        <f t="shared" si="18"/>
        <v>-1395</v>
      </c>
    </row>
    <row r="119" spans="1:15" s="92" customFormat="1" x14ac:dyDescent="0.3">
      <c r="A119" s="113" t="s">
        <v>347</v>
      </c>
      <c r="B119" s="102">
        <v>44777</v>
      </c>
      <c r="C119" s="26" t="s">
        <v>620</v>
      </c>
      <c r="D119" s="32">
        <v>90</v>
      </c>
      <c r="E119" s="13">
        <v>71.95</v>
      </c>
      <c r="F119" s="50">
        <f t="shared" si="14"/>
        <v>6475.5</v>
      </c>
      <c r="G119" s="103"/>
      <c r="H119" s="103"/>
      <c r="I119" s="104"/>
      <c r="J119" s="103"/>
      <c r="K119" s="103">
        <f>1+1+1+1+1+1+1+1+1+1+1+1+1+1+1+1+2+1+1+1+1+1+1+1+1+1+1+1+1+1+1+1+1+1+1+2+1</f>
        <v>39</v>
      </c>
      <c r="L119" s="103">
        <f t="shared" si="17"/>
        <v>51</v>
      </c>
      <c r="M119" s="103"/>
      <c r="N119" s="103" t="s">
        <v>945</v>
      </c>
      <c r="O119" s="104">
        <f t="shared" si="18"/>
        <v>3669.4500000000003</v>
      </c>
    </row>
    <row r="120" spans="1:15" s="8" customFormat="1" ht="15.75" x14ac:dyDescent="0.25">
      <c r="A120" s="113" t="s">
        <v>348</v>
      </c>
      <c r="B120" s="102">
        <v>44193</v>
      </c>
      <c r="C120" s="26" t="s">
        <v>626</v>
      </c>
      <c r="D120" s="32">
        <v>0</v>
      </c>
      <c r="E120" s="13">
        <v>190.68</v>
      </c>
      <c r="F120" s="50">
        <f t="shared" si="14"/>
        <v>0</v>
      </c>
      <c r="G120" s="103"/>
      <c r="H120" s="103"/>
      <c r="I120" s="104"/>
      <c r="J120" s="103"/>
      <c r="K120" s="103"/>
      <c r="L120" s="103">
        <f t="shared" si="17"/>
        <v>0</v>
      </c>
      <c r="M120" s="103"/>
      <c r="N120" s="103" t="s">
        <v>946</v>
      </c>
      <c r="O120" s="104">
        <f t="shared" si="18"/>
        <v>0</v>
      </c>
    </row>
    <row r="121" spans="1:15" s="92" customFormat="1" x14ac:dyDescent="0.3">
      <c r="A121" s="113" t="s">
        <v>349</v>
      </c>
      <c r="B121" s="102">
        <v>44678</v>
      </c>
      <c r="C121" s="26" t="s">
        <v>621</v>
      </c>
      <c r="D121" s="32">
        <v>1</v>
      </c>
      <c r="E121" s="13">
        <v>3800</v>
      </c>
      <c r="F121" s="50">
        <f t="shared" si="14"/>
        <v>3800</v>
      </c>
      <c r="G121" s="124">
        <v>44851</v>
      </c>
      <c r="H121" s="125">
        <v>20</v>
      </c>
      <c r="I121" s="126">
        <v>1187.08</v>
      </c>
      <c r="J121" s="127">
        <f>+H121*I121</f>
        <v>23741.599999999999</v>
      </c>
      <c r="K121" s="103"/>
      <c r="L121" s="103">
        <f t="shared" si="17"/>
        <v>21</v>
      </c>
      <c r="M121" s="103"/>
      <c r="N121" s="103" t="s">
        <v>945</v>
      </c>
      <c r="O121" s="104">
        <f>+I121*L121</f>
        <v>24928.68</v>
      </c>
    </row>
    <row r="122" spans="1:15" s="92" customFormat="1" x14ac:dyDescent="0.3">
      <c r="A122" s="113" t="s">
        <v>350</v>
      </c>
      <c r="B122" s="102">
        <v>44193</v>
      </c>
      <c r="C122" s="26" t="s">
        <v>622</v>
      </c>
      <c r="D122" s="32">
        <v>0</v>
      </c>
      <c r="E122" s="13">
        <v>1400</v>
      </c>
      <c r="F122" s="50">
        <f t="shared" si="14"/>
        <v>0</v>
      </c>
      <c r="G122" s="103"/>
      <c r="H122" s="103"/>
      <c r="I122" s="104"/>
      <c r="J122" s="103"/>
      <c r="K122" s="103"/>
      <c r="L122" s="103">
        <f t="shared" si="17"/>
        <v>0</v>
      </c>
      <c r="M122" s="103"/>
      <c r="N122" s="103" t="s">
        <v>945</v>
      </c>
      <c r="O122" s="104">
        <f>+E122*L122</f>
        <v>0</v>
      </c>
    </row>
    <row r="123" spans="1:15" s="92" customFormat="1" x14ac:dyDescent="0.3">
      <c r="A123" s="113" t="s">
        <v>351</v>
      </c>
      <c r="B123" s="102">
        <v>44456</v>
      </c>
      <c r="C123" s="26" t="s">
        <v>623</v>
      </c>
      <c r="D123" s="32">
        <v>13</v>
      </c>
      <c r="E123" s="13">
        <v>1099</v>
      </c>
      <c r="F123" s="50">
        <f t="shared" si="14"/>
        <v>14287</v>
      </c>
      <c r="G123" s="103"/>
      <c r="H123" s="103"/>
      <c r="I123" s="104"/>
      <c r="J123" s="103"/>
      <c r="K123" s="103">
        <v>1</v>
      </c>
      <c r="L123" s="103">
        <f t="shared" si="17"/>
        <v>12</v>
      </c>
      <c r="M123" s="103"/>
      <c r="N123" s="103" t="s">
        <v>945</v>
      </c>
      <c r="O123" s="104">
        <f t="shared" ref="O123:O138" si="19">+E123*L123</f>
        <v>13188</v>
      </c>
    </row>
    <row r="124" spans="1:15" s="92" customFormat="1" x14ac:dyDescent="0.3">
      <c r="A124" s="113" t="s">
        <v>352</v>
      </c>
      <c r="B124" s="102">
        <v>44456</v>
      </c>
      <c r="C124" s="26" t="s">
        <v>767</v>
      </c>
      <c r="D124" s="32">
        <v>18</v>
      </c>
      <c r="E124" s="13">
        <v>4000</v>
      </c>
      <c r="F124" s="50">
        <f t="shared" si="14"/>
        <v>72000</v>
      </c>
      <c r="G124" s="103"/>
      <c r="H124" s="103"/>
      <c r="I124" s="104"/>
      <c r="J124" s="103"/>
      <c r="K124" s="103">
        <f>4+4+3</f>
        <v>11</v>
      </c>
      <c r="L124" s="103">
        <f t="shared" si="17"/>
        <v>7</v>
      </c>
      <c r="M124" s="103"/>
      <c r="N124" s="103" t="s">
        <v>945</v>
      </c>
      <c r="O124" s="104">
        <f t="shared" si="19"/>
        <v>28000</v>
      </c>
    </row>
    <row r="125" spans="1:15" s="92" customFormat="1" x14ac:dyDescent="0.3">
      <c r="A125" s="113" t="s">
        <v>353</v>
      </c>
      <c r="B125" s="102">
        <v>44193</v>
      </c>
      <c r="C125" s="26" t="s">
        <v>625</v>
      </c>
      <c r="D125" s="32">
        <v>5</v>
      </c>
      <c r="E125" s="13">
        <v>1400</v>
      </c>
      <c r="F125" s="50">
        <f t="shared" si="14"/>
        <v>7000</v>
      </c>
      <c r="G125" s="103"/>
      <c r="H125" s="103"/>
      <c r="I125" s="104"/>
      <c r="J125" s="103"/>
      <c r="K125" s="103"/>
      <c r="L125" s="103">
        <f t="shared" si="17"/>
        <v>5</v>
      </c>
      <c r="M125" s="103"/>
      <c r="N125" s="103" t="s">
        <v>945</v>
      </c>
      <c r="O125" s="104">
        <f t="shared" si="19"/>
        <v>7000</v>
      </c>
    </row>
    <row r="126" spans="1:15" s="8" customFormat="1" ht="15.75" x14ac:dyDescent="0.25">
      <c r="A126" s="113" t="s">
        <v>354</v>
      </c>
      <c r="B126" s="106" t="s">
        <v>106</v>
      </c>
      <c r="C126" s="28" t="s">
        <v>627</v>
      </c>
      <c r="D126" s="49">
        <v>100</v>
      </c>
      <c r="E126" s="52">
        <v>28</v>
      </c>
      <c r="F126" s="50">
        <f t="shared" si="14"/>
        <v>2800</v>
      </c>
      <c r="G126" s="103"/>
      <c r="H126" s="103"/>
      <c r="I126" s="104"/>
      <c r="J126" s="103"/>
      <c r="K126" s="103"/>
      <c r="L126" s="103">
        <f t="shared" si="17"/>
        <v>100</v>
      </c>
      <c r="M126" s="103"/>
      <c r="N126" s="103" t="s">
        <v>947</v>
      </c>
      <c r="O126" s="104">
        <f t="shared" si="19"/>
        <v>2800</v>
      </c>
    </row>
    <row r="127" spans="1:15" s="8" customFormat="1" ht="15.75" x14ac:dyDescent="0.25">
      <c r="A127" s="113" t="s">
        <v>355</v>
      </c>
      <c r="B127" s="106" t="s">
        <v>114</v>
      </c>
      <c r="C127" s="26" t="s">
        <v>80</v>
      </c>
      <c r="D127" s="32">
        <v>0</v>
      </c>
      <c r="E127" s="51">
        <v>85</v>
      </c>
      <c r="F127" s="50">
        <f t="shared" si="14"/>
        <v>0</v>
      </c>
      <c r="G127" s="103"/>
      <c r="H127" s="103"/>
      <c r="I127" s="104"/>
      <c r="J127" s="103"/>
      <c r="K127" s="103"/>
      <c r="L127" s="103">
        <f t="shared" si="17"/>
        <v>0</v>
      </c>
      <c r="M127" s="103"/>
      <c r="N127" s="103" t="s">
        <v>946</v>
      </c>
      <c r="O127" s="104">
        <f t="shared" si="19"/>
        <v>0</v>
      </c>
    </row>
    <row r="128" spans="1:15" s="8" customFormat="1" ht="15.75" x14ac:dyDescent="0.25">
      <c r="A128" s="113" t="s">
        <v>356</v>
      </c>
      <c r="B128" s="102">
        <v>44193</v>
      </c>
      <c r="C128" s="9" t="s">
        <v>628</v>
      </c>
      <c r="D128" s="58">
        <v>1</v>
      </c>
      <c r="E128" s="13">
        <v>550</v>
      </c>
      <c r="F128" s="50">
        <f t="shared" si="14"/>
        <v>550</v>
      </c>
      <c r="G128" s="103"/>
      <c r="H128" s="103"/>
      <c r="I128" s="104"/>
      <c r="J128" s="103"/>
      <c r="K128" s="103"/>
      <c r="L128" s="103">
        <f t="shared" si="17"/>
        <v>1</v>
      </c>
      <c r="M128" s="103"/>
      <c r="N128" s="103" t="s">
        <v>946</v>
      </c>
      <c r="O128" s="104">
        <f t="shared" si="19"/>
        <v>550</v>
      </c>
    </row>
    <row r="129" spans="1:15" s="92" customFormat="1" x14ac:dyDescent="0.3">
      <c r="A129" s="113" t="s">
        <v>357</v>
      </c>
      <c r="B129" s="102">
        <v>44193</v>
      </c>
      <c r="C129" s="9" t="s">
        <v>629</v>
      </c>
      <c r="D129" s="48">
        <v>0</v>
      </c>
      <c r="E129" s="13">
        <v>60</v>
      </c>
      <c r="F129" s="50">
        <f t="shared" si="14"/>
        <v>0</v>
      </c>
      <c r="G129" s="103"/>
      <c r="H129" s="103"/>
      <c r="I129" s="104"/>
      <c r="J129" s="103"/>
      <c r="K129" s="103"/>
      <c r="L129" s="103">
        <f t="shared" si="17"/>
        <v>0</v>
      </c>
      <c r="M129" s="103"/>
      <c r="N129" s="103" t="s">
        <v>945</v>
      </c>
      <c r="O129" s="104">
        <f t="shared" si="19"/>
        <v>0</v>
      </c>
    </row>
    <row r="130" spans="1:15" s="92" customFormat="1" x14ac:dyDescent="0.3">
      <c r="A130" s="113" t="s">
        <v>358</v>
      </c>
      <c r="B130" s="102">
        <v>44656</v>
      </c>
      <c r="C130" s="25" t="s">
        <v>631</v>
      </c>
      <c r="D130" s="32">
        <v>40</v>
      </c>
      <c r="E130" s="13">
        <v>115.53</v>
      </c>
      <c r="F130" s="50">
        <f t="shared" si="14"/>
        <v>4621.2</v>
      </c>
      <c r="G130" s="103"/>
      <c r="H130" s="103"/>
      <c r="I130" s="104"/>
      <c r="J130" s="103"/>
      <c r="K130" s="103">
        <f>2+1+2+1+1+1+1+1</f>
        <v>10</v>
      </c>
      <c r="L130" s="103">
        <f t="shared" si="17"/>
        <v>30</v>
      </c>
      <c r="M130" s="103"/>
      <c r="N130" s="103" t="s">
        <v>945</v>
      </c>
      <c r="O130" s="104">
        <f t="shared" si="19"/>
        <v>3465.9</v>
      </c>
    </row>
    <row r="131" spans="1:15" s="92" customFormat="1" x14ac:dyDescent="0.3">
      <c r="A131" s="113" t="s">
        <v>359</v>
      </c>
      <c r="B131" s="102">
        <v>44656</v>
      </c>
      <c r="C131" s="26" t="s">
        <v>632</v>
      </c>
      <c r="D131" s="32">
        <v>12</v>
      </c>
      <c r="E131" s="13">
        <v>128.62</v>
      </c>
      <c r="F131" s="50">
        <f t="shared" si="14"/>
        <v>1543.44</v>
      </c>
      <c r="G131" s="103"/>
      <c r="H131" s="103"/>
      <c r="I131" s="104"/>
      <c r="J131" s="103"/>
      <c r="K131" s="103"/>
      <c r="L131" s="103">
        <f t="shared" si="17"/>
        <v>12</v>
      </c>
      <c r="M131" s="103"/>
      <c r="N131" s="103" t="s">
        <v>945</v>
      </c>
      <c r="O131" s="104">
        <f t="shared" si="19"/>
        <v>1543.44</v>
      </c>
    </row>
    <row r="132" spans="1:15" s="92" customFormat="1" x14ac:dyDescent="0.3">
      <c r="A132" s="113" t="s">
        <v>360</v>
      </c>
      <c r="B132" s="102">
        <v>44659</v>
      </c>
      <c r="C132" s="26" t="s">
        <v>633</v>
      </c>
      <c r="D132" s="14">
        <v>41</v>
      </c>
      <c r="E132" s="13">
        <v>325</v>
      </c>
      <c r="F132" s="50">
        <f t="shared" si="14"/>
        <v>13325</v>
      </c>
      <c r="G132" s="103"/>
      <c r="H132" s="103"/>
      <c r="I132" s="104"/>
      <c r="J132" s="103"/>
      <c r="K132" s="103"/>
      <c r="L132" s="103">
        <f t="shared" si="17"/>
        <v>41</v>
      </c>
      <c r="M132" s="103"/>
      <c r="N132" s="103" t="s">
        <v>945</v>
      </c>
      <c r="O132" s="104">
        <f>+E132*L132</f>
        <v>13325</v>
      </c>
    </row>
    <row r="133" spans="1:15" s="8" customFormat="1" ht="15.75" x14ac:dyDescent="0.25">
      <c r="A133" s="113" t="s">
        <v>361</v>
      </c>
      <c r="B133" s="102"/>
      <c r="C133" s="25" t="s">
        <v>861</v>
      </c>
      <c r="D133" s="38">
        <f>8+48</f>
        <v>56</v>
      </c>
      <c r="E133" s="13"/>
      <c r="F133" s="50">
        <f t="shared" ref="F133:F138" si="20">+D133*E133</f>
        <v>0</v>
      </c>
      <c r="G133" s="103"/>
      <c r="H133" s="103"/>
      <c r="I133" s="104"/>
      <c r="J133" s="103"/>
      <c r="K133" s="103"/>
      <c r="L133" s="103">
        <f t="shared" si="17"/>
        <v>56</v>
      </c>
      <c r="M133" s="103"/>
      <c r="N133" s="103" t="s">
        <v>947</v>
      </c>
      <c r="O133" s="104">
        <f t="shared" si="19"/>
        <v>0</v>
      </c>
    </row>
    <row r="134" spans="1:15" s="8" customFormat="1" ht="15.75" x14ac:dyDescent="0.25">
      <c r="A134" s="113" t="s">
        <v>362</v>
      </c>
      <c r="B134" s="102"/>
      <c r="C134" s="25" t="s">
        <v>862</v>
      </c>
      <c r="D134" s="38">
        <v>74</v>
      </c>
      <c r="E134" s="13"/>
      <c r="F134" s="50">
        <f t="shared" si="20"/>
        <v>0</v>
      </c>
      <c r="G134" s="103"/>
      <c r="H134" s="103"/>
      <c r="I134" s="104"/>
      <c r="J134" s="103"/>
      <c r="K134" s="103"/>
      <c r="L134" s="103">
        <f t="shared" si="17"/>
        <v>74</v>
      </c>
      <c r="M134" s="103"/>
      <c r="N134" s="103" t="s">
        <v>947</v>
      </c>
      <c r="O134" s="104">
        <f t="shared" si="19"/>
        <v>0</v>
      </c>
    </row>
    <row r="135" spans="1:15" s="8" customFormat="1" ht="15.75" x14ac:dyDescent="0.25">
      <c r="A135" s="113" t="s">
        <v>363</v>
      </c>
      <c r="B135" s="102"/>
      <c r="C135" s="25" t="s">
        <v>863</v>
      </c>
      <c r="D135" s="38">
        <f>79+33+106</f>
        <v>218</v>
      </c>
      <c r="E135" s="13"/>
      <c r="F135" s="50">
        <f t="shared" si="20"/>
        <v>0</v>
      </c>
      <c r="G135" s="103"/>
      <c r="H135" s="103"/>
      <c r="I135" s="104"/>
      <c r="J135" s="103"/>
      <c r="K135" s="103"/>
      <c r="L135" s="103">
        <f t="shared" si="17"/>
        <v>218</v>
      </c>
      <c r="M135" s="103"/>
      <c r="N135" s="103" t="s">
        <v>947</v>
      </c>
      <c r="O135" s="104">
        <f t="shared" si="19"/>
        <v>0</v>
      </c>
    </row>
    <row r="136" spans="1:15" s="8" customFormat="1" ht="15.75" x14ac:dyDescent="0.25">
      <c r="A136" s="113" t="s">
        <v>364</v>
      </c>
      <c r="B136" s="102"/>
      <c r="C136" s="25" t="s">
        <v>864</v>
      </c>
      <c r="D136" s="38">
        <v>46</v>
      </c>
      <c r="E136" s="13"/>
      <c r="F136" s="50">
        <f t="shared" si="20"/>
        <v>0</v>
      </c>
      <c r="G136" s="103"/>
      <c r="H136" s="103"/>
      <c r="I136" s="104"/>
      <c r="J136" s="103"/>
      <c r="K136" s="103"/>
      <c r="L136" s="103">
        <f t="shared" si="17"/>
        <v>46</v>
      </c>
      <c r="M136" s="103"/>
      <c r="N136" s="103" t="s">
        <v>947</v>
      </c>
      <c r="O136" s="104">
        <f t="shared" si="19"/>
        <v>0</v>
      </c>
    </row>
    <row r="137" spans="1:15" s="8" customFormat="1" ht="15.75" x14ac:dyDescent="0.25">
      <c r="A137" s="113" t="s">
        <v>365</v>
      </c>
      <c r="B137" s="102"/>
      <c r="C137" s="25" t="s">
        <v>865</v>
      </c>
      <c r="D137" s="38">
        <v>41</v>
      </c>
      <c r="E137" s="13"/>
      <c r="F137" s="50">
        <f t="shared" si="20"/>
        <v>0</v>
      </c>
      <c r="G137" s="103"/>
      <c r="H137" s="103"/>
      <c r="I137" s="104"/>
      <c r="J137" s="103"/>
      <c r="K137" s="103"/>
      <c r="L137" s="103">
        <f t="shared" si="17"/>
        <v>41</v>
      </c>
      <c r="M137" s="103"/>
      <c r="N137" s="103" t="s">
        <v>947</v>
      </c>
      <c r="O137" s="104">
        <f t="shared" si="19"/>
        <v>0</v>
      </c>
    </row>
    <row r="138" spans="1:15" s="8" customFormat="1" ht="15.75" x14ac:dyDescent="0.25">
      <c r="A138" s="113" t="s">
        <v>366</v>
      </c>
      <c r="B138" s="102"/>
      <c r="C138" s="25" t="s">
        <v>866</v>
      </c>
      <c r="D138" s="38">
        <f>34+1</f>
        <v>35</v>
      </c>
      <c r="E138" s="13"/>
      <c r="F138" s="50">
        <f t="shared" si="20"/>
        <v>0</v>
      </c>
      <c r="G138" s="103"/>
      <c r="H138" s="103"/>
      <c r="I138" s="104"/>
      <c r="J138" s="103"/>
      <c r="K138" s="103"/>
      <c r="L138" s="103">
        <f t="shared" si="17"/>
        <v>35</v>
      </c>
      <c r="M138" s="103"/>
      <c r="N138" s="103" t="s">
        <v>947</v>
      </c>
      <c r="O138" s="104">
        <f t="shared" si="19"/>
        <v>0</v>
      </c>
    </row>
    <row r="139" spans="1:15" s="92" customFormat="1" x14ac:dyDescent="0.3">
      <c r="A139" s="113" t="s">
        <v>367</v>
      </c>
      <c r="B139" s="106" t="s">
        <v>116</v>
      </c>
      <c r="C139" s="25" t="s">
        <v>719</v>
      </c>
      <c r="D139" s="32"/>
      <c r="E139" s="51">
        <v>529</v>
      </c>
      <c r="F139" s="50">
        <f>D139*E139</f>
        <v>0</v>
      </c>
      <c r="G139" s="107">
        <v>44748</v>
      </c>
      <c r="H139" s="104">
        <f>3*6</f>
        <v>18</v>
      </c>
      <c r="I139" s="104">
        <v>161.66666666666666</v>
      </c>
      <c r="J139" s="108">
        <f>+H139*I139</f>
        <v>2910</v>
      </c>
      <c r="K139" s="103">
        <f>12+3+2+1+12</f>
        <v>30</v>
      </c>
      <c r="L139" s="103">
        <f t="shared" si="17"/>
        <v>-12</v>
      </c>
      <c r="M139" s="103"/>
      <c r="N139" s="103" t="s">
        <v>945</v>
      </c>
      <c r="O139" s="104">
        <f>+K139*I139</f>
        <v>4850</v>
      </c>
    </row>
    <row r="140" spans="1:15" s="8" customFormat="1" ht="15.75" x14ac:dyDescent="0.25">
      <c r="A140" s="113" t="s">
        <v>368</v>
      </c>
      <c r="B140" s="102">
        <v>44193</v>
      </c>
      <c r="C140" s="25" t="s">
        <v>813</v>
      </c>
      <c r="D140" s="32">
        <v>8</v>
      </c>
      <c r="E140" s="13">
        <v>1375</v>
      </c>
      <c r="F140" s="50">
        <f>D140*E140</f>
        <v>11000</v>
      </c>
      <c r="G140" s="103"/>
      <c r="H140" s="103"/>
      <c r="I140" s="104"/>
      <c r="J140" s="103"/>
      <c r="K140" s="103"/>
      <c r="L140" s="103">
        <f t="shared" si="17"/>
        <v>8</v>
      </c>
      <c r="M140" s="103"/>
      <c r="N140" s="103" t="s">
        <v>946</v>
      </c>
      <c r="O140" s="104">
        <f>+L140*E140</f>
        <v>11000</v>
      </c>
    </row>
    <row r="141" spans="1:15" s="8" customFormat="1" ht="15.75" x14ac:dyDescent="0.25">
      <c r="A141" s="113" t="s">
        <v>369</v>
      </c>
      <c r="B141" s="106" t="s">
        <v>114</v>
      </c>
      <c r="C141" s="25" t="s">
        <v>642</v>
      </c>
      <c r="D141" s="32">
        <v>8</v>
      </c>
      <c r="E141" s="13">
        <v>1375</v>
      </c>
      <c r="F141" s="50">
        <f>D141*E141</f>
        <v>11000</v>
      </c>
      <c r="G141" s="103"/>
      <c r="H141" s="103"/>
      <c r="I141" s="104"/>
      <c r="J141" s="103"/>
      <c r="K141" s="103"/>
      <c r="L141" s="103">
        <f t="shared" si="17"/>
        <v>8</v>
      </c>
      <c r="M141" s="103"/>
      <c r="N141" s="103" t="s">
        <v>946</v>
      </c>
      <c r="O141" s="104">
        <f t="shared" ref="O141:O160" si="21">+L141*E141</f>
        <v>11000</v>
      </c>
    </row>
    <row r="142" spans="1:15" s="8" customFormat="1" ht="15.75" x14ac:dyDescent="0.25">
      <c r="A142" s="113" t="s">
        <v>370</v>
      </c>
      <c r="B142" s="102"/>
      <c r="C142" s="25" t="s">
        <v>833</v>
      </c>
      <c r="D142" s="32">
        <v>7</v>
      </c>
      <c r="E142" s="13"/>
      <c r="F142" s="50"/>
      <c r="G142" s="103"/>
      <c r="H142" s="103"/>
      <c r="I142" s="104"/>
      <c r="J142" s="103"/>
      <c r="K142" s="103"/>
      <c r="L142" s="103">
        <f t="shared" si="17"/>
        <v>7</v>
      </c>
      <c r="M142" s="103"/>
      <c r="N142" s="103" t="s">
        <v>946</v>
      </c>
      <c r="O142" s="104">
        <f t="shared" si="21"/>
        <v>0</v>
      </c>
    </row>
    <row r="143" spans="1:15" s="8" customFormat="1" ht="15.75" x14ac:dyDescent="0.25">
      <c r="A143" s="113" t="s">
        <v>371</v>
      </c>
      <c r="B143" s="102">
        <v>44193</v>
      </c>
      <c r="C143" s="25" t="s">
        <v>643</v>
      </c>
      <c r="D143" s="32">
        <v>4</v>
      </c>
      <c r="E143" s="13">
        <v>1375</v>
      </c>
      <c r="F143" s="50">
        <f>D143*E143</f>
        <v>5500</v>
      </c>
      <c r="G143" s="103"/>
      <c r="H143" s="103"/>
      <c r="I143" s="104"/>
      <c r="J143" s="103"/>
      <c r="K143" s="103"/>
      <c r="L143" s="103">
        <f t="shared" si="17"/>
        <v>4</v>
      </c>
      <c r="M143" s="103"/>
      <c r="N143" s="103" t="s">
        <v>946</v>
      </c>
      <c r="O143" s="104">
        <f t="shared" si="21"/>
        <v>5500</v>
      </c>
    </row>
    <row r="144" spans="1:15" s="8" customFormat="1" ht="15.75" x14ac:dyDescent="0.25">
      <c r="A144" s="113" t="s">
        <v>372</v>
      </c>
      <c r="B144" s="106"/>
      <c r="C144" s="25" t="s">
        <v>816</v>
      </c>
      <c r="D144" s="32">
        <v>2</v>
      </c>
      <c r="E144" s="13"/>
      <c r="F144" s="50"/>
      <c r="G144" s="103"/>
      <c r="H144" s="103"/>
      <c r="I144" s="104"/>
      <c r="J144" s="103"/>
      <c r="K144" s="103"/>
      <c r="L144" s="103">
        <f t="shared" si="17"/>
        <v>2</v>
      </c>
      <c r="M144" s="103"/>
      <c r="N144" s="103" t="s">
        <v>946</v>
      </c>
      <c r="O144" s="104">
        <f t="shared" si="21"/>
        <v>0</v>
      </c>
    </row>
    <row r="145" spans="1:15" s="8" customFormat="1" ht="15.75" x14ac:dyDescent="0.25">
      <c r="A145" s="113" t="s">
        <v>373</v>
      </c>
      <c r="B145" s="102"/>
      <c r="C145" s="25" t="s">
        <v>829</v>
      </c>
      <c r="D145" s="32">
        <v>2</v>
      </c>
      <c r="E145" s="13"/>
      <c r="F145" s="50"/>
      <c r="G145" s="103"/>
      <c r="H145" s="103"/>
      <c r="I145" s="104"/>
      <c r="J145" s="103"/>
      <c r="K145" s="103"/>
      <c r="L145" s="103">
        <f t="shared" si="17"/>
        <v>2</v>
      </c>
      <c r="M145" s="103"/>
      <c r="N145" s="103" t="s">
        <v>946</v>
      </c>
      <c r="O145" s="104">
        <f t="shared" si="21"/>
        <v>0</v>
      </c>
    </row>
    <row r="146" spans="1:15" s="8" customFormat="1" ht="15.75" x14ac:dyDescent="0.25">
      <c r="A146" s="113" t="s">
        <v>374</v>
      </c>
      <c r="B146" s="106" t="s">
        <v>106</v>
      </c>
      <c r="C146" s="25" t="s">
        <v>635</v>
      </c>
      <c r="D146" s="32">
        <v>8</v>
      </c>
      <c r="E146" s="13">
        <v>1375</v>
      </c>
      <c r="F146" s="50">
        <f>D146*E146</f>
        <v>11000</v>
      </c>
      <c r="G146" s="103"/>
      <c r="H146" s="103"/>
      <c r="I146" s="104"/>
      <c r="J146" s="103"/>
      <c r="K146" s="103">
        <v>1</v>
      </c>
      <c r="L146" s="103">
        <f t="shared" si="17"/>
        <v>7</v>
      </c>
      <c r="M146" s="103"/>
      <c r="N146" s="103" t="s">
        <v>946</v>
      </c>
      <c r="O146" s="104">
        <f t="shared" si="21"/>
        <v>9625</v>
      </c>
    </row>
    <row r="147" spans="1:15" s="8" customFormat="1" ht="15.75" x14ac:dyDescent="0.25">
      <c r="A147" s="113" t="s">
        <v>375</v>
      </c>
      <c r="B147" s="106" t="s">
        <v>106</v>
      </c>
      <c r="C147" s="25" t="s">
        <v>636</v>
      </c>
      <c r="D147" s="55">
        <v>60</v>
      </c>
      <c r="E147" s="13">
        <v>1375</v>
      </c>
      <c r="F147" s="50">
        <f>D147*E147</f>
        <v>82500</v>
      </c>
      <c r="G147" s="103"/>
      <c r="H147" s="103"/>
      <c r="I147" s="104"/>
      <c r="J147" s="103"/>
      <c r="K147" s="103"/>
      <c r="L147" s="103">
        <f t="shared" si="17"/>
        <v>60</v>
      </c>
      <c r="M147" s="103"/>
      <c r="N147" s="103" t="s">
        <v>946</v>
      </c>
      <c r="O147" s="104">
        <f t="shared" si="21"/>
        <v>82500</v>
      </c>
    </row>
    <row r="148" spans="1:15" s="8" customFormat="1" ht="15.75" x14ac:dyDescent="0.25">
      <c r="A148" s="113" t="s">
        <v>376</v>
      </c>
      <c r="B148" s="102"/>
      <c r="C148" s="25" t="s">
        <v>831</v>
      </c>
      <c r="D148" s="32">
        <f>25+28</f>
        <v>53</v>
      </c>
      <c r="E148" s="13"/>
      <c r="F148" s="50"/>
      <c r="G148" s="103"/>
      <c r="H148" s="103"/>
      <c r="I148" s="104"/>
      <c r="J148" s="103"/>
      <c r="K148" s="103"/>
      <c r="L148" s="103">
        <f t="shared" si="17"/>
        <v>53</v>
      </c>
      <c r="M148" s="103"/>
      <c r="N148" s="103" t="s">
        <v>946</v>
      </c>
      <c r="O148" s="104">
        <f t="shared" si="21"/>
        <v>0</v>
      </c>
    </row>
    <row r="149" spans="1:15" s="8" customFormat="1" ht="15.75" x14ac:dyDescent="0.25">
      <c r="A149" s="113" t="s">
        <v>377</v>
      </c>
      <c r="B149" s="102"/>
      <c r="C149" s="25" t="s">
        <v>832</v>
      </c>
      <c r="D149" s="32">
        <v>5</v>
      </c>
      <c r="E149" s="13"/>
      <c r="F149" s="50"/>
      <c r="G149" s="103"/>
      <c r="H149" s="103"/>
      <c r="I149" s="104"/>
      <c r="J149" s="103"/>
      <c r="K149" s="103"/>
      <c r="L149" s="103">
        <f t="shared" si="17"/>
        <v>5</v>
      </c>
      <c r="M149" s="103"/>
      <c r="N149" s="103" t="s">
        <v>946</v>
      </c>
      <c r="O149" s="104">
        <f t="shared" si="21"/>
        <v>0</v>
      </c>
    </row>
    <row r="150" spans="1:15" s="8" customFormat="1" ht="15.75" x14ac:dyDescent="0.25">
      <c r="A150" s="113" t="s">
        <v>378</v>
      </c>
      <c r="B150" s="106" t="s">
        <v>106</v>
      </c>
      <c r="C150" s="25" t="s">
        <v>812</v>
      </c>
      <c r="D150" s="32">
        <v>3</v>
      </c>
      <c r="E150" s="13">
        <v>1180</v>
      </c>
      <c r="F150" s="50">
        <f>D150*E150</f>
        <v>3540</v>
      </c>
      <c r="G150" s="103"/>
      <c r="H150" s="103"/>
      <c r="I150" s="104"/>
      <c r="J150" s="103"/>
      <c r="K150" s="103"/>
      <c r="L150" s="103">
        <f t="shared" si="17"/>
        <v>3</v>
      </c>
      <c r="M150" s="103"/>
      <c r="N150" s="103" t="s">
        <v>946</v>
      </c>
      <c r="O150" s="104">
        <f t="shared" si="21"/>
        <v>3540</v>
      </c>
    </row>
    <row r="151" spans="1:15" s="8" customFormat="1" ht="15.75" x14ac:dyDescent="0.25">
      <c r="A151" s="113" t="s">
        <v>379</v>
      </c>
      <c r="B151" s="102">
        <v>44193</v>
      </c>
      <c r="C151" s="25" t="s">
        <v>637</v>
      </c>
      <c r="D151" s="55">
        <v>9</v>
      </c>
      <c r="E151" s="13">
        <v>1180</v>
      </c>
      <c r="F151" s="50">
        <f>D151*E151</f>
        <v>10620</v>
      </c>
      <c r="G151" s="103"/>
      <c r="H151" s="103"/>
      <c r="I151" s="104"/>
      <c r="J151" s="103"/>
      <c r="K151" s="103"/>
      <c r="L151" s="103">
        <f t="shared" si="17"/>
        <v>9</v>
      </c>
      <c r="M151" s="103"/>
      <c r="N151" s="103" t="s">
        <v>946</v>
      </c>
      <c r="O151" s="104">
        <f t="shared" si="21"/>
        <v>10620</v>
      </c>
    </row>
    <row r="152" spans="1:15" s="8" customFormat="1" ht="15.75" x14ac:dyDescent="0.25">
      <c r="A152" s="113" t="s">
        <v>380</v>
      </c>
      <c r="B152" s="102"/>
      <c r="C152" s="25" t="s">
        <v>834</v>
      </c>
      <c r="D152" s="32">
        <v>1</v>
      </c>
      <c r="E152" s="13"/>
      <c r="F152" s="50"/>
      <c r="G152" s="103"/>
      <c r="H152" s="103"/>
      <c r="I152" s="104"/>
      <c r="J152" s="103"/>
      <c r="K152" s="103"/>
      <c r="L152" s="103">
        <f t="shared" si="17"/>
        <v>1</v>
      </c>
      <c r="M152" s="103"/>
      <c r="N152" s="103" t="s">
        <v>946</v>
      </c>
      <c r="O152" s="104">
        <f t="shared" si="21"/>
        <v>0</v>
      </c>
    </row>
    <row r="153" spans="1:15" s="8" customFormat="1" ht="15.75" x14ac:dyDescent="0.25">
      <c r="A153" s="113" t="s">
        <v>381</v>
      </c>
      <c r="B153" s="106" t="s">
        <v>106</v>
      </c>
      <c r="C153" s="25" t="s">
        <v>639</v>
      </c>
      <c r="D153" s="32">
        <v>8</v>
      </c>
      <c r="E153" s="51">
        <v>1375</v>
      </c>
      <c r="F153" s="50">
        <f t="shared" ref="F153:F165" si="22">D153*E153</f>
        <v>11000</v>
      </c>
      <c r="G153" s="103"/>
      <c r="H153" s="103"/>
      <c r="I153" s="104"/>
      <c r="J153" s="103"/>
      <c r="K153" s="103"/>
      <c r="L153" s="103">
        <f t="shared" si="17"/>
        <v>8</v>
      </c>
      <c r="M153" s="103"/>
      <c r="N153" s="103" t="s">
        <v>946</v>
      </c>
      <c r="O153" s="104">
        <f t="shared" si="21"/>
        <v>11000</v>
      </c>
    </row>
    <row r="154" spans="1:15" s="8" customFormat="1" ht="15.75" x14ac:dyDescent="0.25">
      <c r="A154" s="113" t="s">
        <v>382</v>
      </c>
      <c r="B154" s="102">
        <v>44193</v>
      </c>
      <c r="C154" s="25" t="s">
        <v>638</v>
      </c>
      <c r="D154" s="32">
        <v>4</v>
      </c>
      <c r="E154" s="13">
        <v>1294.3699999999999</v>
      </c>
      <c r="F154" s="50">
        <f t="shared" si="22"/>
        <v>5177.4799999999996</v>
      </c>
      <c r="G154" s="103"/>
      <c r="H154" s="103"/>
      <c r="I154" s="104"/>
      <c r="J154" s="103"/>
      <c r="K154" s="103"/>
      <c r="L154" s="103">
        <f t="shared" si="17"/>
        <v>4</v>
      </c>
      <c r="M154" s="103"/>
      <c r="N154" s="103" t="s">
        <v>946</v>
      </c>
      <c r="O154" s="104">
        <f t="shared" si="21"/>
        <v>5177.4799999999996</v>
      </c>
    </row>
    <row r="155" spans="1:15" s="8" customFormat="1" ht="15.75" x14ac:dyDescent="0.25">
      <c r="A155" s="113" t="s">
        <v>383</v>
      </c>
      <c r="B155" s="106" t="s">
        <v>114</v>
      </c>
      <c r="C155" s="25" t="s">
        <v>640</v>
      </c>
      <c r="D155" s="32">
        <v>4</v>
      </c>
      <c r="E155" s="52">
        <v>2600</v>
      </c>
      <c r="F155" s="50">
        <f t="shared" si="22"/>
        <v>10400</v>
      </c>
      <c r="G155" s="103"/>
      <c r="H155" s="103"/>
      <c r="I155" s="104"/>
      <c r="J155" s="103"/>
      <c r="K155" s="103"/>
      <c r="L155" s="103">
        <f t="shared" si="17"/>
        <v>4</v>
      </c>
      <c r="M155" s="103"/>
      <c r="N155" s="103" t="s">
        <v>946</v>
      </c>
      <c r="O155" s="104">
        <f>+L155*E155</f>
        <v>10400</v>
      </c>
    </row>
    <row r="156" spans="1:15" s="8" customFormat="1" ht="15.75" x14ac:dyDescent="0.25">
      <c r="A156" s="113" t="s">
        <v>384</v>
      </c>
      <c r="B156" s="102">
        <v>44193</v>
      </c>
      <c r="C156" s="25" t="s">
        <v>830</v>
      </c>
      <c r="D156" s="32">
        <v>2</v>
      </c>
      <c r="E156" s="13">
        <v>2600</v>
      </c>
      <c r="F156" s="50">
        <f t="shared" si="22"/>
        <v>5200</v>
      </c>
      <c r="G156" s="103"/>
      <c r="H156" s="103"/>
      <c r="I156" s="104"/>
      <c r="J156" s="103"/>
      <c r="K156" s="103">
        <v>1</v>
      </c>
      <c r="L156" s="103">
        <f t="shared" si="17"/>
        <v>1</v>
      </c>
      <c r="M156" s="103"/>
      <c r="N156" s="103" t="s">
        <v>946</v>
      </c>
      <c r="O156" s="104">
        <f t="shared" si="21"/>
        <v>2600</v>
      </c>
    </row>
    <row r="157" spans="1:15" s="105" customFormat="1" ht="15.75" x14ac:dyDescent="0.25">
      <c r="A157" s="113" t="s">
        <v>385</v>
      </c>
      <c r="B157" s="102">
        <v>44193</v>
      </c>
      <c r="C157" s="9" t="s">
        <v>951</v>
      </c>
      <c r="D157" s="58">
        <v>46</v>
      </c>
      <c r="E157" s="13">
        <v>4.55</v>
      </c>
      <c r="F157" s="50">
        <f t="shared" si="22"/>
        <v>209.29999999999998</v>
      </c>
      <c r="G157" s="107">
        <v>44852</v>
      </c>
      <c r="H157" s="103">
        <f>10*100</f>
        <v>1000</v>
      </c>
      <c r="I157" s="104">
        <v>5.07</v>
      </c>
      <c r="J157" s="108">
        <f>+H157*I157</f>
        <v>5070</v>
      </c>
      <c r="K157" s="103">
        <f>12+100+15</f>
        <v>127</v>
      </c>
      <c r="L157" s="103">
        <f t="shared" si="17"/>
        <v>919</v>
      </c>
      <c r="M157" s="103" t="s">
        <v>1037</v>
      </c>
      <c r="N157" s="103" t="s">
        <v>947</v>
      </c>
      <c r="O157" s="104">
        <f>+L157*I157</f>
        <v>4659.33</v>
      </c>
    </row>
    <row r="158" spans="1:15" s="8" customFormat="1" ht="15.75" x14ac:dyDescent="0.25">
      <c r="A158" s="113" t="s">
        <v>386</v>
      </c>
      <c r="B158" s="102">
        <v>44193</v>
      </c>
      <c r="C158" s="9" t="s">
        <v>647</v>
      </c>
      <c r="D158" s="58">
        <v>15</v>
      </c>
      <c r="E158" s="13">
        <v>4.55</v>
      </c>
      <c r="F158" s="50">
        <f t="shared" si="22"/>
        <v>68.25</v>
      </c>
      <c r="G158" s="103"/>
      <c r="H158" s="103"/>
      <c r="I158" s="104"/>
      <c r="J158" s="103"/>
      <c r="K158" s="103"/>
      <c r="L158" s="103">
        <f t="shared" si="17"/>
        <v>15</v>
      </c>
      <c r="M158" s="103"/>
      <c r="N158" s="103" t="s">
        <v>947</v>
      </c>
      <c r="O158" s="104">
        <f t="shared" si="21"/>
        <v>68.25</v>
      </c>
    </row>
    <row r="159" spans="1:15" s="8" customFormat="1" ht="15.75" x14ac:dyDescent="0.25">
      <c r="A159" s="113" t="s">
        <v>387</v>
      </c>
      <c r="B159" s="102">
        <v>44193</v>
      </c>
      <c r="C159" s="26" t="s">
        <v>645</v>
      </c>
      <c r="D159" s="58">
        <v>820</v>
      </c>
      <c r="E159" s="13">
        <v>7.5</v>
      </c>
      <c r="F159" s="50">
        <f t="shared" si="22"/>
        <v>6150</v>
      </c>
      <c r="G159" s="103"/>
      <c r="H159" s="103"/>
      <c r="I159" s="104"/>
      <c r="J159" s="103"/>
      <c r="K159" s="103"/>
      <c r="L159" s="103">
        <f t="shared" si="17"/>
        <v>820</v>
      </c>
      <c r="M159" s="103"/>
      <c r="N159" s="103" t="s">
        <v>947</v>
      </c>
      <c r="O159" s="104">
        <f t="shared" si="21"/>
        <v>6150</v>
      </c>
    </row>
    <row r="160" spans="1:15" s="92" customFormat="1" x14ac:dyDescent="0.3">
      <c r="A160" s="113" t="s">
        <v>388</v>
      </c>
      <c r="B160" s="102">
        <v>44659</v>
      </c>
      <c r="C160" s="26" t="s">
        <v>854</v>
      </c>
      <c r="D160" s="30">
        <f>30*100</f>
        <v>3000</v>
      </c>
      <c r="E160" s="13">
        <v>3.4</v>
      </c>
      <c r="F160" s="50">
        <f t="shared" si="22"/>
        <v>10200</v>
      </c>
      <c r="G160" s="103"/>
      <c r="H160" s="103"/>
      <c r="I160" s="104"/>
      <c r="J160" s="103"/>
      <c r="K160" s="103"/>
      <c r="L160" s="103">
        <f t="shared" si="17"/>
        <v>3000</v>
      </c>
      <c r="M160" s="103"/>
      <c r="N160" s="103" t="s">
        <v>945</v>
      </c>
      <c r="O160" s="104">
        <f t="shared" si="21"/>
        <v>10200</v>
      </c>
    </row>
    <row r="161" spans="1:15" s="92" customFormat="1" x14ac:dyDescent="0.3">
      <c r="A161" s="113" t="s">
        <v>389</v>
      </c>
      <c r="B161" s="102">
        <v>44453</v>
      </c>
      <c r="C161" s="9" t="s">
        <v>648</v>
      </c>
      <c r="D161" s="30">
        <v>1100</v>
      </c>
      <c r="E161" s="13">
        <v>2.59</v>
      </c>
      <c r="F161" s="50">
        <f t="shared" si="22"/>
        <v>2849</v>
      </c>
      <c r="G161" s="107">
        <v>44778</v>
      </c>
      <c r="H161" s="109">
        <f>20*100</f>
        <v>2000</v>
      </c>
      <c r="I161" s="104">
        <f>3.4+0.612</f>
        <v>4.0119999999999996</v>
      </c>
      <c r="J161" s="108">
        <f>+H161*I161</f>
        <v>8023.9999999999991</v>
      </c>
      <c r="K161" s="103">
        <f>100+25+100</f>
        <v>225</v>
      </c>
      <c r="L161" s="103">
        <f t="shared" si="17"/>
        <v>2875</v>
      </c>
      <c r="M161" s="103" t="s">
        <v>943</v>
      </c>
      <c r="N161" s="103" t="s">
        <v>945</v>
      </c>
      <c r="O161" s="104">
        <f>+L161*I161</f>
        <v>11534.499999999998</v>
      </c>
    </row>
    <row r="162" spans="1:15" s="92" customFormat="1" x14ac:dyDescent="0.3">
      <c r="A162" s="113" t="s">
        <v>390</v>
      </c>
      <c r="B162" s="102">
        <v>44659</v>
      </c>
      <c r="C162" s="25" t="s">
        <v>855</v>
      </c>
      <c r="D162" s="38">
        <f>25*100</f>
        <v>2500</v>
      </c>
      <c r="E162" s="13">
        <v>4.3499999999999996</v>
      </c>
      <c r="F162" s="50">
        <f t="shared" si="22"/>
        <v>10875</v>
      </c>
      <c r="G162" s="107">
        <v>44778</v>
      </c>
      <c r="H162" s="109">
        <f>10*100</f>
        <v>1000</v>
      </c>
      <c r="I162" s="104">
        <v>4.8899999999999997</v>
      </c>
      <c r="J162" s="108">
        <f>+H162*I162</f>
        <v>4890</v>
      </c>
      <c r="K162" s="103"/>
      <c r="L162" s="103">
        <f t="shared" si="17"/>
        <v>3500</v>
      </c>
      <c r="M162" s="103" t="s">
        <v>943</v>
      </c>
      <c r="N162" s="103" t="s">
        <v>945</v>
      </c>
      <c r="O162" s="104">
        <f>+L162*I162</f>
        <v>17115</v>
      </c>
    </row>
    <row r="163" spans="1:15" s="92" customFormat="1" x14ac:dyDescent="0.3">
      <c r="A163" s="113" t="s">
        <v>391</v>
      </c>
      <c r="B163" s="102">
        <v>44659</v>
      </c>
      <c r="C163" s="25" t="s">
        <v>651</v>
      </c>
      <c r="D163" s="38">
        <f>60*100</f>
        <v>6000</v>
      </c>
      <c r="E163" s="13">
        <v>6.95</v>
      </c>
      <c r="F163" s="50">
        <f t="shared" si="22"/>
        <v>41700</v>
      </c>
      <c r="G163" s="103"/>
      <c r="H163" s="103"/>
      <c r="I163" s="104"/>
      <c r="J163" s="103"/>
      <c r="K163" s="103">
        <f>100+100</f>
        <v>200</v>
      </c>
      <c r="L163" s="103">
        <f t="shared" si="17"/>
        <v>5800</v>
      </c>
      <c r="M163" s="103"/>
      <c r="N163" s="103" t="s">
        <v>945</v>
      </c>
      <c r="O163" s="104">
        <f>+E163*L163</f>
        <v>40310</v>
      </c>
    </row>
    <row r="164" spans="1:15" s="92" customFormat="1" x14ac:dyDescent="0.3">
      <c r="A164" s="113" t="s">
        <v>392</v>
      </c>
      <c r="B164" s="102">
        <v>44659</v>
      </c>
      <c r="C164" s="25" t="s">
        <v>652</v>
      </c>
      <c r="D164" s="38">
        <f>30*100</f>
        <v>3000</v>
      </c>
      <c r="E164" s="13">
        <v>6.5</v>
      </c>
      <c r="F164" s="50">
        <f t="shared" si="22"/>
        <v>19500</v>
      </c>
      <c r="G164" s="103"/>
      <c r="H164" s="103"/>
      <c r="I164" s="104"/>
      <c r="J164" s="103"/>
      <c r="K164" s="103">
        <f>100+100+200</f>
        <v>400</v>
      </c>
      <c r="L164" s="103">
        <f t="shared" si="17"/>
        <v>2600</v>
      </c>
      <c r="M164" s="103"/>
      <c r="N164" s="103" t="s">
        <v>945</v>
      </c>
      <c r="O164" s="104">
        <f t="shared" ref="O164:O227" si="23">+E164*L164</f>
        <v>16900</v>
      </c>
    </row>
    <row r="165" spans="1:15" s="92" customFormat="1" x14ac:dyDescent="0.3">
      <c r="A165" s="113" t="s">
        <v>393</v>
      </c>
      <c r="B165" s="102">
        <v>44193</v>
      </c>
      <c r="C165" s="26" t="s">
        <v>786</v>
      </c>
      <c r="D165" s="32">
        <f>4+8</f>
        <v>12</v>
      </c>
      <c r="E165" s="13">
        <v>150</v>
      </c>
      <c r="F165" s="50">
        <f t="shared" si="22"/>
        <v>1800</v>
      </c>
      <c r="G165" s="103"/>
      <c r="H165" s="103"/>
      <c r="I165" s="104"/>
      <c r="J165" s="103"/>
      <c r="K165" s="103"/>
      <c r="L165" s="103">
        <f t="shared" si="17"/>
        <v>12</v>
      </c>
      <c r="M165" s="103"/>
      <c r="N165" s="103" t="s">
        <v>945</v>
      </c>
      <c r="O165" s="104">
        <f t="shared" si="23"/>
        <v>1800</v>
      </c>
    </row>
    <row r="166" spans="1:15" s="8" customFormat="1" ht="15.75" x14ac:dyDescent="0.25">
      <c r="A166" s="113" t="s">
        <v>394</v>
      </c>
      <c r="B166" s="102"/>
      <c r="C166" s="25" t="s">
        <v>827</v>
      </c>
      <c r="D166" s="38">
        <v>2</v>
      </c>
      <c r="E166" s="13"/>
      <c r="F166" s="50"/>
      <c r="G166" s="103"/>
      <c r="H166" s="103"/>
      <c r="I166" s="104"/>
      <c r="J166" s="103"/>
      <c r="K166" s="103"/>
      <c r="L166" s="103">
        <f t="shared" si="17"/>
        <v>2</v>
      </c>
      <c r="M166" s="103"/>
      <c r="N166" s="103" t="s">
        <v>946</v>
      </c>
      <c r="O166" s="104">
        <f t="shared" si="23"/>
        <v>0</v>
      </c>
    </row>
    <row r="167" spans="1:15" s="8" customFormat="1" ht="15.75" x14ac:dyDescent="0.25">
      <c r="A167" s="113" t="s">
        <v>395</v>
      </c>
      <c r="B167" s="102"/>
      <c r="C167" s="25" t="s">
        <v>828</v>
      </c>
      <c r="D167" s="38">
        <v>1</v>
      </c>
      <c r="E167" s="13"/>
      <c r="F167" s="50"/>
      <c r="G167" s="103"/>
      <c r="H167" s="103"/>
      <c r="I167" s="104"/>
      <c r="J167" s="103"/>
      <c r="K167" s="103"/>
      <c r="L167" s="103">
        <f t="shared" si="17"/>
        <v>1</v>
      </c>
      <c r="M167" s="103"/>
      <c r="N167" s="103" t="s">
        <v>946</v>
      </c>
      <c r="O167" s="104">
        <f t="shared" si="23"/>
        <v>0</v>
      </c>
    </row>
    <row r="168" spans="1:15" s="92" customFormat="1" x14ac:dyDescent="0.3">
      <c r="A168" s="113" t="s">
        <v>396</v>
      </c>
      <c r="B168" s="102">
        <v>44193</v>
      </c>
      <c r="C168" s="25" t="s">
        <v>653</v>
      </c>
      <c r="D168" s="38">
        <v>50</v>
      </c>
      <c r="E168" s="13">
        <v>575</v>
      </c>
      <c r="F168" s="50">
        <f t="shared" ref="F168:F198" si="24">D168*E168</f>
        <v>28750</v>
      </c>
      <c r="G168" s="103"/>
      <c r="H168" s="103"/>
      <c r="I168" s="104"/>
      <c r="J168" s="103"/>
      <c r="K168" s="103">
        <f>1+1</f>
        <v>2</v>
      </c>
      <c r="L168" s="103">
        <f t="shared" si="17"/>
        <v>48</v>
      </c>
      <c r="M168" s="103"/>
      <c r="N168" s="103" t="s">
        <v>945</v>
      </c>
      <c r="O168" s="104">
        <f t="shared" si="23"/>
        <v>27600</v>
      </c>
    </row>
    <row r="169" spans="1:15" s="105" customFormat="1" ht="15.75" x14ac:dyDescent="0.25">
      <c r="A169" s="113" t="s">
        <v>397</v>
      </c>
      <c r="B169" s="102">
        <v>44193</v>
      </c>
      <c r="C169" s="26" t="s">
        <v>655</v>
      </c>
      <c r="D169" s="32">
        <v>20</v>
      </c>
      <c r="E169" s="13">
        <v>25</v>
      </c>
      <c r="F169" s="50">
        <f t="shared" si="24"/>
        <v>500</v>
      </c>
      <c r="G169" s="107">
        <v>44851</v>
      </c>
      <c r="H169" s="103">
        <v>20</v>
      </c>
      <c r="I169" s="104">
        <v>8.08</v>
      </c>
      <c r="J169" s="103">
        <f>+I169*H169</f>
        <v>161.6</v>
      </c>
      <c r="K169" s="103">
        <v>3</v>
      </c>
      <c r="L169" s="103">
        <f t="shared" si="17"/>
        <v>37</v>
      </c>
      <c r="M169" s="103" t="s">
        <v>1037</v>
      </c>
      <c r="N169" s="103" t="s">
        <v>947</v>
      </c>
      <c r="O169" s="104">
        <f>+L169*I169</f>
        <v>298.95999999999998</v>
      </c>
    </row>
    <row r="170" spans="1:15" s="8" customFormat="1" ht="15.75" x14ac:dyDescent="0.25">
      <c r="A170" s="113" t="s">
        <v>398</v>
      </c>
      <c r="B170" s="102">
        <v>44193</v>
      </c>
      <c r="C170" s="9" t="s">
        <v>656</v>
      </c>
      <c r="D170" s="32">
        <v>15</v>
      </c>
      <c r="E170" s="13">
        <v>275</v>
      </c>
      <c r="F170" s="50">
        <f t="shared" si="24"/>
        <v>4125</v>
      </c>
      <c r="G170" s="103"/>
      <c r="H170" s="103"/>
      <c r="I170" s="104"/>
      <c r="J170" s="103"/>
      <c r="K170" s="103">
        <f>1+3</f>
        <v>4</v>
      </c>
      <c r="L170" s="103">
        <f t="shared" si="17"/>
        <v>11</v>
      </c>
      <c r="M170" s="103"/>
      <c r="N170" s="103" t="s">
        <v>947</v>
      </c>
      <c r="O170" s="104">
        <f t="shared" si="23"/>
        <v>3025</v>
      </c>
    </row>
    <row r="171" spans="1:15" s="8" customFormat="1" ht="15.75" x14ac:dyDescent="0.25">
      <c r="A171" s="113" t="s">
        <v>399</v>
      </c>
      <c r="B171" s="102">
        <v>44193</v>
      </c>
      <c r="C171" s="9" t="s">
        <v>658</v>
      </c>
      <c r="D171" s="30">
        <v>2</v>
      </c>
      <c r="E171" s="13">
        <v>50</v>
      </c>
      <c r="F171" s="50">
        <f t="shared" si="24"/>
        <v>100</v>
      </c>
      <c r="G171" s="103"/>
      <c r="H171" s="103"/>
      <c r="I171" s="104"/>
      <c r="J171" s="103"/>
      <c r="K171" s="103"/>
      <c r="L171" s="103">
        <f t="shared" si="17"/>
        <v>2</v>
      </c>
      <c r="M171" s="103"/>
      <c r="N171" s="103" t="s">
        <v>947</v>
      </c>
      <c r="O171" s="104">
        <f t="shared" si="23"/>
        <v>100</v>
      </c>
    </row>
    <row r="172" spans="1:15" s="8" customFormat="1" ht="15.75" x14ac:dyDescent="0.25">
      <c r="A172" s="113" t="s">
        <v>400</v>
      </c>
      <c r="B172" s="102">
        <v>44193</v>
      </c>
      <c r="C172" s="9" t="s">
        <v>657</v>
      </c>
      <c r="D172" s="30">
        <f>20+9</f>
        <v>29</v>
      </c>
      <c r="E172" s="13">
        <v>50</v>
      </c>
      <c r="F172" s="50">
        <f t="shared" si="24"/>
        <v>1450</v>
      </c>
      <c r="G172" s="103"/>
      <c r="H172" s="103"/>
      <c r="I172" s="104"/>
      <c r="J172" s="103"/>
      <c r="K172" s="103">
        <v>1</v>
      </c>
      <c r="L172" s="103">
        <f t="shared" si="17"/>
        <v>28</v>
      </c>
      <c r="M172" s="103"/>
      <c r="N172" s="103" t="s">
        <v>947</v>
      </c>
      <c r="O172" s="104">
        <f t="shared" si="23"/>
        <v>1400</v>
      </c>
    </row>
    <row r="173" spans="1:15" s="92" customFormat="1" x14ac:dyDescent="0.3">
      <c r="A173" s="113" t="s">
        <v>401</v>
      </c>
      <c r="B173" s="102">
        <v>44193</v>
      </c>
      <c r="C173" s="26" t="s">
        <v>660</v>
      </c>
      <c r="D173" s="30">
        <v>35</v>
      </c>
      <c r="E173" s="13">
        <v>7</v>
      </c>
      <c r="F173" s="50">
        <f t="shared" si="24"/>
        <v>245</v>
      </c>
      <c r="G173" s="103"/>
      <c r="H173" s="103"/>
      <c r="I173" s="104"/>
      <c r="J173" s="103"/>
      <c r="K173" s="103"/>
      <c r="L173" s="103">
        <f t="shared" si="17"/>
        <v>35</v>
      </c>
      <c r="M173" s="103"/>
      <c r="N173" s="103" t="s">
        <v>945</v>
      </c>
      <c r="O173" s="104">
        <f t="shared" si="23"/>
        <v>245</v>
      </c>
    </row>
    <row r="174" spans="1:15" s="92" customFormat="1" x14ac:dyDescent="0.3">
      <c r="A174" s="113" t="s">
        <v>402</v>
      </c>
      <c r="B174" s="102">
        <v>44193</v>
      </c>
      <c r="C174" s="26" t="s">
        <v>659</v>
      </c>
      <c r="D174" s="30">
        <v>34</v>
      </c>
      <c r="E174" s="13">
        <v>125</v>
      </c>
      <c r="F174" s="50">
        <f t="shared" si="24"/>
        <v>4250</v>
      </c>
      <c r="G174" s="103"/>
      <c r="H174" s="103"/>
      <c r="I174" s="104"/>
      <c r="J174" s="103"/>
      <c r="K174" s="103">
        <v>1</v>
      </c>
      <c r="L174" s="103">
        <f t="shared" si="17"/>
        <v>33</v>
      </c>
      <c r="M174" s="103"/>
      <c r="N174" s="103" t="s">
        <v>945</v>
      </c>
      <c r="O174" s="104">
        <f t="shared" si="23"/>
        <v>4125</v>
      </c>
    </row>
    <row r="175" spans="1:15" s="92" customFormat="1" x14ac:dyDescent="0.3">
      <c r="A175" s="113" t="s">
        <v>403</v>
      </c>
      <c r="B175" s="102">
        <v>44193</v>
      </c>
      <c r="C175" s="26" t="s">
        <v>661</v>
      </c>
      <c r="D175" s="30">
        <v>106</v>
      </c>
      <c r="E175" s="13">
        <v>7</v>
      </c>
      <c r="F175" s="50">
        <f t="shared" si="24"/>
        <v>742</v>
      </c>
      <c r="G175" s="103"/>
      <c r="H175" s="103"/>
      <c r="I175" s="104"/>
      <c r="J175" s="103"/>
      <c r="K175" s="103">
        <v>3</v>
      </c>
      <c r="L175" s="103">
        <f t="shared" si="17"/>
        <v>103</v>
      </c>
      <c r="M175" s="103"/>
      <c r="N175" s="103" t="s">
        <v>945</v>
      </c>
      <c r="O175" s="104">
        <f t="shared" si="23"/>
        <v>721</v>
      </c>
    </row>
    <row r="176" spans="1:15" s="92" customFormat="1" x14ac:dyDescent="0.3">
      <c r="A176" s="113" t="s">
        <v>404</v>
      </c>
      <c r="B176" s="102">
        <v>44456</v>
      </c>
      <c r="C176" s="26" t="s">
        <v>662</v>
      </c>
      <c r="D176" s="30">
        <v>27</v>
      </c>
      <c r="E176" s="13">
        <v>7</v>
      </c>
      <c r="F176" s="50">
        <f t="shared" si="24"/>
        <v>189</v>
      </c>
      <c r="G176" s="103"/>
      <c r="H176" s="103"/>
      <c r="I176" s="104"/>
      <c r="J176" s="103"/>
      <c r="K176" s="103"/>
      <c r="L176" s="103">
        <f t="shared" ref="L176:L239" si="25">+D176+H176-K176</f>
        <v>27</v>
      </c>
      <c r="M176" s="103"/>
      <c r="N176" s="103" t="s">
        <v>945</v>
      </c>
      <c r="O176" s="104">
        <f t="shared" si="23"/>
        <v>189</v>
      </c>
    </row>
    <row r="177" spans="1:15" s="8" customFormat="1" ht="15.75" x14ac:dyDescent="0.25">
      <c r="A177" s="113" t="s">
        <v>405</v>
      </c>
      <c r="B177" s="102">
        <v>44193</v>
      </c>
      <c r="C177" s="26" t="s">
        <v>800</v>
      </c>
      <c r="D177" s="32">
        <f>6+6</f>
        <v>12</v>
      </c>
      <c r="E177" s="13">
        <v>135</v>
      </c>
      <c r="F177" s="50">
        <f t="shared" si="24"/>
        <v>1620</v>
      </c>
      <c r="G177" s="103"/>
      <c r="H177" s="103"/>
      <c r="I177" s="104"/>
      <c r="J177" s="103"/>
      <c r="K177" s="103"/>
      <c r="L177" s="103">
        <f t="shared" si="25"/>
        <v>12</v>
      </c>
      <c r="M177" s="103"/>
      <c r="N177" s="103" t="s">
        <v>946</v>
      </c>
      <c r="O177" s="104">
        <f t="shared" si="23"/>
        <v>1620</v>
      </c>
    </row>
    <row r="178" spans="1:15" s="8" customFormat="1" ht="15.75" x14ac:dyDescent="0.25">
      <c r="A178" s="113" t="s">
        <v>406</v>
      </c>
      <c r="B178" s="102">
        <v>44193</v>
      </c>
      <c r="C178" s="26" t="s">
        <v>663</v>
      </c>
      <c r="D178" s="55">
        <v>42</v>
      </c>
      <c r="E178" s="13">
        <v>115</v>
      </c>
      <c r="F178" s="50">
        <f t="shared" si="24"/>
        <v>4830</v>
      </c>
      <c r="G178" s="103"/>
      <c r="H178" s="103"/>
      <c r="I178" s="104"/>
      <c r="J178" s="103"/>
      <c r="K178" s="103"/>
      <c r="L178" s="103">
        <f t="shared" si="25"/>
        <v>42</v>
      </c>
      <c r="M178" s="103"/>
      <c r="N178" s="103" t="s">
        <v>946</v>
      </c>
      <c r="O178" s="104">
        <f t="shared" si="23"/>
        <v>4830</v>
      </c>
    </row>
    <row r="179" spans="1:15" s="92" customFormat="1" x14ac:dyDescent="0.3">
      <c r="A179" s="113" t="s">
        <v>407</v>
      </c>
      <c r="B179" s="102">
        <v>44656</v>
      </c>
      <c r="C179" s="26" t="s">
        <v>768</v>
      </c>
      <c r="D179" s="32">
        <v>104</v>
      </c>
      <c r="E179" s="13">
        <v>636.6</v>
      </c>
      <c r="F179" s="50">
        <f t="shared" si="24"/>
        <v>66206.400000000009</v>
      </c>
      <c r="G179" s="107">
        <v>44903</v>
      </c>
      <c r="H179" s="103">
        <f>20*4</f>
        <v>80</v>
      </c>
      <c r="I179" s="104">
        <v>154.58000000000001</v>
      </c>
      <c r="J179" s="108">
        <f>+H179*I179</f>
        <v>12366.400000000001</v>
      </c>
      <c r="K179" s="103">
        <f>1+1+1+1+1+1+1+1+1+1</f>
        <v>10</v>
      </c>
      <c r="L179" s="103">
        <f t="shared" si="25"/>
        <v>174</v>
      </c>
      <c r="M179" s="103"/>
      <c r="N179" s="103" t="s">
        <v>945</v>
      </c>
      <c r="O179" s="104">
        <f>+L179*I179</f>
        <v>26896.920000000002</v>
      </c>
    </row>
    <row r="180" spans="1:15" s="92" customFormat="1" x14ac:dyDescent="0.3">
      <c r="A180" s="113" t="s">
        <v>408</v>
      </c>
      <c r="B180" s="102">
        <v>44656</v>
      </c>
      <c r="C180" s="25" t="s">
        <v>769</v>
      </c>
      <c r="D180" s="32">
        <v>74</v>
      </c>
      <c r="E180" s="13">
        <v>115.48</v>
      </c>
      <c r="F180" s="50">
        <f t="shared" si="24"/>
        <v>8545.52</v>
      </c>
      <c r="G180" s="107">
        <v>44903</v>
      </c>
      <c r="H180" s="103">
        <f>4*20</f>
        <v>80</v>
      </c>
      <c r="I180" s="104">
        <v>172.13</v>
      </c>
      <c r="J180" s="108">
        <f>+H180*I180</f>
        <v>13770.4</v>
      </c>
      <c r="K180" s="103">
        <f>1+2+1+1+1+1+1+1+1+1+1+1+1+1+1+1</f>
        <v>17</v>
      </c>
      <c r="L180" s="103">
        <f>+D180+H180-K180</f>
        <v>137</v>
      </c>
      <c r="M180" s="103" t="s">
        <v>1006</v>
      </c>
      <c r="N180" s="103" t="s">
        <v>945</v>
      </c>
      <c r="O180" s="104">
        <f>+L180*I180</f>
        <v>23581.809999999998</v>
      </c>
    </row>
    <row r="181" spans="1:15" s="8" customFormat="1" ht="15.75" x14ac:dyDescent="0.25">
      <c r="A181" s="113" t="s">
        <v>409</v>
      </c>
      <c r="B181" s="102">
        <v>44193</v>
      </c>
      <c r="C181" s="25" t="s">
        <v>796</v>
      </c>
      <c r="D181" s="38">
        <v>3</v>
      </c>
      <c r="E181" s="13">
        <v>352</v>
      </c>
      <c r="F181" s="50">
        <f t="shared" si="24"/>
        <v>1056</v>
      </c>
      <c r="G181" s="103"/>
      <c r="H181" s="103"/>
      <c r="I181" s="104"/>
      <c r="J181" s="103"/>
      <c r="K181" s="103"/>
      <c r="L181" s="103">
        <f t="shared" si="25"/>
        <v>3</v>
      </c>
      <c r="M181" s="103"/>
      <c r="N181" s="103" t="s">
        <v>946</v>
      </c>
      <c r="O181" s="104">
        <f>+E181*L181</f>
        <v>1056</v>
      </c>
    </row>
    <row r="182" spans="1:15" s="8" customFormat="1" ht="15.75" x14ac:dyDescent="0.25">
      <c r="A182" s="113" t="s">
        <v>410</v>
      </c>
      <c r="B182" s="102">
        <v>44193</v>
      </c>
      <c r="C182" s="25" t="s">
        <v>670</v>
      </c>
      <c r="D182" s="55">
        <f>38+19</f>
        <v>57</v>
      </c>
      <c r="E182" s="13">
        <v>67.8</v>
      </c>
      <c r="F182" s="50">
        <f t="shared" si="24"/>
        <v>3864.6</v>
      </c>
      <c r="G182" s="103"/>
      <c r="H182" s="103"/>
      <c r="I182" s="104"/>
      <c r="J182" s="103"/>
      <c r="K182" s="103"/>
      <c r="L182" s="103">
        <f t="shared" si="25"/>
        <v>57</v>
      </c>
      <c r="M182" s="103"/>
      <c r="N182" s="103" t="s">
        <v>946</v>
      </c>
      <c r="O182" s="104">
        <f t="shared" si="23"/>
        <v>3864.6</v>
      </c>
    </row>
    <row r="183" spans="1:15" s="8" customFormat="1" ht="15.75" x14ac:dyDescent="0.25">
      <c r="A183" s="113" t="s">
        <v>411</v>
      </c>
      <c r="B183" s="102">
        <v>44193</v>
      </c>
      <c r="C183" s="25" t="s">
        <v>671</v>
      </c>
      <c r="D183" s="55">
        <f>19+19</f>
        <v>38</v>
      </c>
      <c r="E183" s="13">
        <v>67.8</v>
      </c>
      <c r="F183" s="50">
        <f t="shared" si="24"/>
        <v>2576.4</v>
      </c>
      <c r="G183" s="103"/>
      <c r="H183" s="103"/>
      <c r="I183" s="104"/>
      <c r="J183" s="103"/>
      <c r="K183" s="103"/>
      <c r="L183" s="103">
        <f t="shared" si="25"/>
        <v>38</v>
      </c>
      <c r="M183" s="103"/>
      <c r="N183" s="103" t="s">
        <v>946</v>
      </c>
      <c r="O183" s="104">
        <f t="shared" si="23"/>
        <v>2576.4</v>
      </c>
    </row>
    <row r="184" spans="1:15" s="8" customFormat="1" ht="15.75" x14ac:dyDescent="0.25">
      <c r="A184" s="113" t="s">
        <v>412</v>
      </c>
      <c r="B184" s="102">
        <v>44193</v>
      </c>
      <c r="C184" s="25" t="s">
        <v>669</v>
      </c>
      <c r="D184" s="32">
        <v>0</v>
      </c>
      <c r="E184" s="13">
        <v>67.8</v>
      </c>
      <c r="F184" s="50">
        <f t="shared" si="24"/>
        <v>0</v>
      </c>
      <c r="G184" s="103"/>
      <c r="H184" s="103"/>
      <c r="I184" s="104"/>
      <c r="J184" s="103"/>
      <c r="K184" s="103"/>
      <c r="L184" s="103">
        <f t="shared" si="25"/>
        <v>0</v>
      </c>
      <c r="M184" s="103"/>
      <c r="N184" s="103" t="s">
        <v>946</v>
      </c>
      <c r="O184" s="104">
        <f t="shared" si="23"/>
        <v>0</v>
      </c>
    </row>
    <row r="185" spans="1:15" s="8" customFormat="1" ht="15.75" x14ac:dyDescent="0.25">
      <c r="A185" s="113" t="s">
        <v>413</v>
      </c>
      <c r="B185" s="102">
        <v>44193</v>
      </c>
      <c r="C185" s="9" t="s">
        <v>672</v>
      </c>
      <c r="D185" s="55">
        <v>50</v>
      </c>
      <c r="E185" s="13">
        <v>170.69</v>
      </c>
      <c r="F185" s="50">
        <f t="shared" si="24"/>
        <v>8534.5</v>
      </c>
      <c r="G185" s="103"/>
      <c r="H185" s="103"/>
      <c r="I185" s="104"/>
      <c r="J185" s="103"/>
      <c r="K185" s="103"/>
      <c r="L185" s="103">
        <f t="shared" si="25"/>
        <v>50</v>
      </c>
      <c r="M185" s="103"/>
      <c r="N185" s="103" t="s">
        <v>947</v>
      </c>
      <c r="O185" s="104">
        <f t="shared" si="23"/>
        <v>8534.5</v>
      </c>
    </row>
    <row r="186" spans="1:15" s="8" customFormat="1" ht="15.75" x14ac:dyDescent="0.25">
      <c r="A186" s="113" t="s">
        <v>414</v>
      </c>
      <c r="B186" s="102">
        <v>44193</v>
      </c>
      <c r="C186" s="9" t="s">
        <v>673</v>
      </c>
      <c r="D186" s="55">
        <v>1040</v>
      </c>
      <c r="E186" s="13">
        <v>170.69</v>
      </c>
      <c r="F186" s="50">
        <f t="shared" si="24"/>
        <v>177517.6</v>
      </c>
      <c r="G186" s="103"/>
      <c r="H186" s="103"/>
      <c r="I186" s="104"/>
      <c r="J186" s="103"/>
      <c r="K186" s="103"/>
      <c r="L186" s="103">
        <f t="shared" si="25"/>
        <v>1040</v>
      </c>
      <c r="M186" s="103"/>
      <c r="N186" s="103" t="s">
        <v>947</v>
      </c>
      <c r="O186" s="104">
        <f t="shared" si="23"/>
        <v>177517.6</v>
      </c>
    </row>
    <row r="187" spans="1:15" s="8" customFormat="1" ht="15.75" x14ac:dyDescent="0.25">
      <c r="A187" s="113" t="s">
        <v>415</v>
      </c>
      <c r="B187" s="102">
        <v>44193</v>
      </c>
      <c r="C187" s="9" t="s">
        <v>674</v>
      </c>
      <c r="D187" s="56">
        <v>1</v>
      </c>
      <c r="E187" s="13">
        <v>170.69</v>
      </c>
      <c r="F187" s="50">
        <f t="shared" si="24"/>
        <v>170.69</v>
      </c>
      <c r="G187" s="103"/>
      <c r="H187" s="103"/>
      <c r="I187" s="104"/>
      <c r="J187" s="103"/>
      <c r="K187" s="103"/>
      <c r="L187" s="103">
        <f t="shared" si="25"/>
        <v>1</v>
      </c>
      <c r="M187" s="103"/>
      <c r="N187" s="103" t="s">
        <v>947</v>
      </c>
      <c r="O187" s="104">
        <f t="shared" si="23"/>
        <v>170.69</v>
      </c>
    </row>
    <row r="188" spans="1:15" s="8" customFormat="1" ht="15.75" x14ac:dyDescent="0.25">
      <c r="A188" s="113" t="s">
        <v>416</v>
      </c>
      <c r="B188" s="102">
        <v>44193</v>
      </c>
      <c r="C188" s="9" t="s">
        <v>675</v>
      </c>
      <c r="D188" s="30">
        <v>300</v>
      </c>
      <c r="E188" s="13">
        <v>6.5</v>
      </c>
      <c r="F188" s="50">
        <f t="shared" si="24"/>
        <v>1950</v>
      </c>
      <c r="G188" s="103"/>
      <c r="H188" s="103"/>
      <c r="I188" s="104"/>
      <c r="J188" s="103"/>
      <c r="K188" s="103"/>
      <c r="L188" s="103">
        <f t="shared" si="25"/>
        <v>300</v>
      </c>
      <c r="M188" s="103"/>
      <c r="N188" s="103" t="s">
        <v>947</v>
      </c>
      <c r="O188" s="104">
        <f t="shared" si="23"/>
        <v>1950</v>
      </c>
    </row>
    <row r="189" spans="1:15" s="8" customFormat="1" ht="15.75" x14ac:dyDescent="0.25">
      <c r="A189" s="113" t="s">
        <v>417</v>
      </c>
      <c r="B189" s="102">
        <v>44193</v>
      </c>
      <c r="C189" s="9" t="s">
        <v>676</v>
      </c>
      <c r="D189" s="30">
        <v>2</v>
      </c>
      <c r="E189" s="13">
        <v>3.5</v>
      </c>
      <c r="F189" s="50">
        <f t="shared" si="24"/>
        <v>7</v>
      </c>
      <c r="G189" s="103"/>
      <c r="H189" s="103"/>
      <c r="I189" s="104"/>
      <c r="J189" s="103"/>
      <c r="K189" s="103"/>
      <c r="L189" s="103">
        <f t="shared" si="25"/>
        <v>2</v>
      </c>
      <c r="M189" s="103"/>
      <c r="N189" s="103" t="s">
        <v>947</v>
      </c>
      <c r="O189" s="104">
        <f t="shared" si="23"/>
        <v>7</v>
      </c>
    </row>
    <row r="190" spans="1:15" s="8" customFormat="1" ht="15.75" x14ac:dyDescent="0.25">
      <c r="A190" s="113" t="s">
        <v>418</v>
      </c>
      <c r="B190" s="102">
        <v>44193</v>
      </c>
      <c r="C190" s="26" t="s">
        <v>678</v>
      </c>
      <c r="D190" s="30">
        <v>5</v>
      </c>
      <c r="E190" s="13">
        <v>5000</v>
      </c>
      <c r="F190" s="50">
        <f t="shared" si="24"/>
        <v>25000</v>
      </c>
      <c r="G190" s="103"/>
      <c r="H190" s="103"/>
      <c r="I190" s="104"/>
      <c r="J190" s="103"/>
      <c r="K190" s="103"/>
      <c r="L190" s="103">
        <f t="shared" si="25"/>
        <v>5</v>
      </c>
      <c r="M190" s="103"/>
      <c r="N190" s="103" t="s">
        <v>946</v>
      </c>
      <c r="O190" s="104">
        <f t="shared" si="23"/>
        <v>25000</v>
      </c>
    </row>
    <row r="191" spans="1:15" s="8" customFormat="1" ht="15.75" x14ac:dyDescent="0.25">
      <c r="A191" s="113" t="s">
        <v>419</v>
      </c>
      <c r="B191" s="102">
        <v>44193</v>
      </c>
      <c r="C191" s="26" t="s">
        <v>677</v>
      </c>
      <c r="D191" s="30">
        <v>2</v>
      </c>
      <c r="E191" s="13">
        <v>10800</v>
      </c>
      <c r="F191" s="50">
        <f t="shared" si="24"/>
        <v>21600</v>
      </c>
      <c r="G191" s="103"/>
      <c r="H191" s="103"/>
      <c r="I191" s="104"/>
      <c r="J191" s="103"/>
      <c r="K191" s="103"/>
      <c r="L191" s="103">
        <f t="shared" si="25"/>
        <v>2</v>
      </c>
      <c r="M191" s="103"/>
      <c r="N191" s="103" t="s">
        <v>946</v>
      </c>
      <c r="O191" s="104">
        <f>+E191*L191</f>
        <v>21600</v>
      </c>
    </row>
    <row r="192" spans="1:15" s="8" customFormat="1" ht="15.75" x14ac:dyDescent="0.25">
      <c r="A192" s="113" t="s">
        <v>420</v>
      </c>
      <c r="B192" s="102">
        <v>44193</v>
      </c>
      <c r="C192" s="9" t="s">
        <v>679</v>
      </c>
      <c r="D192" s="38">
        <v>29</v>
      </c>
      <c r="E192" s="13">
        <v>33</v>
      </c>
      <c r="F192" s="50">
        <f t="shared" si="24"/>
        <v>957</v>
      </c>
      <c r="G192" s="103"/>
      <c r="H192" s="103"/>
      <c r="I192" s="104"/>
      <c r="J192" s="103"/>
      <c r="K192" s="103"/>
      <c r="L192" s="103">
        <f t="shared" si="25"/>
        <v>29</v>
      </c>
      <c r="M192" s="103"/>
      <c r="N192" s="103" t="s">
        <v>947</v>
      </c>
      <c r="O192" s="104">
        <f t="shared" si="23"/>
        <v>957</v>
      </c>
    </row>
    <row r="193" spans="1:15" s="8" customFormat="1" ht="15.75" x14ac:dyDescent="0.25">
      <c r="A193" s="113" t="s">
        <v>421</v>
      </c>
      <c r="B193" s="102">
        <v>44193</v>
      </c>
      <c r="C193" s="9" t="s">
        <v>1035</v>
      </c>
      <c r="D193" s="30">
        <f>8*12</f>
        <v>96</v>
      </c>
      <c r="E193" s="13">
        <v>15</v>
      </c>
      <c r="F193" s="50">
        <f t="shared" si="24"/>
        <v>1440</v>
      </c>
      <c r="G193" s="103"/>
      <c r="H193" s="103"/>
      <c r="I193" s="104"/>
      <c r="J193" s="103"/>
      <c r="K193" s="103">
        <v>12</v>
      </c>
      <c r="L193" s="103">
        <f t="shared" si="25"/>
        <v>84</v>
      </c>
      <c r="M193" s="103"/>
      <c r="N193" s="103" t="s">
        <v>947</v>
      </c>
      <c r="O193" s="104">
        <f>+L193*E193</f>
        <v>1260</v>
      </c>
    </row>
    <row r="194" spans="1:15" s="8" customFormat="1" ht="15.75" x14ac:dyDescent="0.25">
      <c r="A194" s="113" t="s">
        <v>422</v>
      </c>
      <c r="B194" s="102">
        <v>44547</v>
      </c>
      <c r="C194" s="9" t="s">
        <v>777</v>
      </c>
      <c r="D194" s="30">
        <v>27</v>
      </c>
      <c r="E194" s="13">
        <v>8.34</v>
      </c>
      <c r="F194" s="50">
        <f t="shared" si="24"/>
        <v>225.18</v>
      </c>
      <c r="G194" s="103"/>
      <c r="H194" s="103"/>
      <c r="I194" s="104"/>
      <c r="J194" s="103"/>
      <c r="K194" s="103"/>
      <c r="L194" s="103">
        <f t="shared" si="25"/>
        <v>27</v>
      </c>
      <c r="M194" s="103"/>
      <c r="N194" s="103" t="s">
        <v>947</v>
      </c>
      <c r="O194" s="104">
        <f t="shared" si="23"/>
        <v>225.18</v>
      </c>
    </row>
    <row r="195" spans="1:15" s="8" customFormat="1" ht="15.75" x14ac:dyDescent="0.25">
      <c r="A195" s="113" t="s">
        <v>423</v>
      </c>
      <c r="B195" s="102">
        <v>44193</v>
      </c>
      <c r="C195" s="9" t="s">
        <v>778</v>
      </c>
      <c r="D195" s="30">
        <v>12</v>
      </c>
      <c r="E195" s="13">
        <v>8.34</v>
      </c>
      <c r="F195" s="50">
        <f t="shared" si="24"/>
        <v>100.08</v>
      </c>
      <c r="G195" s="103"/>
      <c r="H195" s="103"/>
      <c r="I195" s="104"/>
      <c r="J195" s="103"/>
      <c r="K195" s="103"/>
      <c r="L195" s="103">
        <f t="shared" si="25"/>
        <v>12</v>
      </c>
      <c r="M195" s="103"/>
      <c r="N195" s="103" t="s">
        <v>947</v>
      </c>
      <c r="O195" s="104">
        <f t="shared" si="23"/>
        <v>100.08</v>
      </c>
    </row>
    <row r="196" spans="1:15" s="8" customFormat="1" ht="15.75" x14ac:dyDescent="0.25">
      <c r="A196" s="113" t="s">
        <v>424</v>
      </c>
      <c r="B196" s="102">
        <v>44193</v>
      </c>
      <c r="C196" s="9" t="s">
        <v>681</v>
      </c>
      <c r="D196" s="30">
        <v>139</v>
      </c>
      <c r="E196" s="13">
        <v>5.6</v>
      </c>
      <c r="F196" s="50">
        <f t="shared" si="24"/>
        <v>778.4</v>
      </c>
      <c r="G196" s="103"/>
      <c r="H196" s="103"/>
      <c r="I196" s="104"/>
      <c r="J196" s="103"/>
      <c r="K196" s="103"/>
      <c r="L196" s="103">
        <f t="shared" si="25"/>
        <v>139</v>
      </c>
      <c r="M196" s="103"/>
      <c r="N196" s="103" t="s">
        <v>947</v>
      </c>
      <c r="O196" s="104">
        <f>+E196*L196</f>
        <v>778.4</v>
      </c>
    </row>
    <row r="197" spans="1:15" s="92" customFormat="1" x14ac:dyDescent="0.3">
      <c r="A197" s="113" t="s">
        <v>425</v>
      </c>
      <c r="B197" s="102">
        <v>44193</v>
      </c>
      <c r="C197" s="9" t="s">
        <v>684</v>
      </c>
      <c r="D197" s="30">
        <v>79</v>
      </c>
      <c r="E197" s="13">
        <v>160</v>
      </c>
      <c r="F197" s="50">
        <f t="shared" si="24"/>
        <v>12640</v>
      </c>
      <c r="G197" s="103"/>
      <c r="H197" s="103"/>
      <c r="I197" s="104"/>
      <c r="J197" s="103"/>
      <c r="K197" s="103"/>
      <c r="L197" s="103">
        <f t="shared" si="25"/>
        <v>79</v>
      </c>
      <c r="M197" s="103"/>
      <c r="N197" s="103" t="s">
        <v>945</v>
      </c>
      <c r="O197" s="104">
        <f t="shared" si="23"/>
        <v>12640</v>
      </c>
    </row>
    <row r="198" spans="1:15" s="105" customFormat="1" ht="15.75" x14ac:dyDescent="0.25">
      <c r="A198" s="113" t="s">
        <v>426</v>
      </c>
      <c r="B198" s="102">
        <v>44193</v>
      </c>
      <c r="C198" s="9" t="s">
        <v>787</v>
      </c>
      <c r="D198" s="30">
        <v>11</v>
      </c>
      <c r="E198" s="13">
        <v>35</v>
      </c>
      <c r="F198" s="50">
        <f t="shared" si="24"/>
        <v>385</v>
      </c>
      <c r="G198" s="107">
        <v>44852</v>
      </c>
      <c r="H198" s="103">
        <v>30</v>
      </c>
      <c r="I198" s="104">
        <v>38.65</v>
      </c>
      <c r="J198" s="103">
        <f>+I198*H198</f>
        <v>1159.5</v>
      </c>
      <c r="K198" s="103"/>
      <c r="L198" s="103">
        <f t="shared" si="25"/>
        <v>41</v>
      </c>
      <c r="M198" s="103" t="s">
        <v>1037</v>
      </c>
      <c r="N198" s="103" t="s">
        <v>947</v>
      </c>
      <c r="O198" s="104">
        <f>+L198*I198</f>
        <v>1584.6499999999999</v>
      </c>
    </row>
    <row r="199" spans="1:15" s="8" customFormat="1" ht="15.75" x14ac:dyDescent="0.25">
      <c r="A199" s="113" t="s">
        <v>427</v>
      </c>
      <c r="B199" s="102"/>
      <c r="C199" s="25" t="s">
        <v>782</v>
      </c>
      <c r="D199" s="38">
        <v>38</v>
      </c>
      <c r="E199" s="13"/>
      <c r="F199" s="50"/>
      <c r="G199" s="103"/>
      <c r="H199" s="103"/>
      <c r="I199" s="104"/>
      <c r="J199" s="103"/>
      <c r="K199" s="103"/>
      <c r="L199" s="103">
        <f t="shared" si="25"/>
        <v>38</v>
      </c>
      <c r="M199" s="103"/>
      <c r="N199" s="103" t="s">
        <v>947</v>
      </c>
      <c r="O199" s="104">
        <f t="shared" si="23"/>
        <v>0</v>
      </c>
    </row>
    <row r="200" spans="1:15" s="105" customFormat="1" ht="15.75" x14ac:dyDescent="0.25">
      <c r="A200" s="113" t="s">
        <v>428</v>
      </c>
      <c r="B200" s="106" t="s">
        <v>106</v>
      </c>
      <c r="C200" s="9" t="s">
        <v>780</v>
      </c>
      <c r="D200" s="30">
        <v>2</v>
      </c>
      <c r="E200" s="51">
        <v>325</v>
      </c>
      <c r="F200" s="50">
        <f>D200*E200</f>
        <v>650</v>
      </c>
      <c r="G200" s="107">
        <v>44852</v>
      </c>
      <c r="H200" s="103">
        <v>10</v>
      </c>
      <c r="I200" s="104">
        <v>310.33999999999997</v>
      </c>
      <c r="J200" s="104">
        <f>+I200*H200</f>
        <v>3103.3999999999996</v>
      </c>
      <c r="K200" s="103"/>
      <c r="L200" s="103">
        <f t="shared" si="25"/>
        <v>12</v>
      </c>
      <c r="M200" s="103" t="s">
        <v>1037</v>
      </c>
      <c r="N200" s="103" t="s">
        <v>947</v>
      </c>
      <c r="O200" s="104">
        <f>+L200*I200</f>
        <v>3724.08</v>
      </c>
    </row>
    <row r="201" spans="1:15" s="8" customFormat="1" ht="15.75" x14ac:dyDescent="0.25">
      <c r="A201" s="113" t="s">
        <v>429</v>
      </c>
      <c r="B201" s="102"/>
      <c r="C201" s="25" t="s">
        <v>783</v>
      </c>
      <c r="D201" s="38">
        <v>15</v>
      </c>
      <c r="E201" s="13"/>
      <c r="F201" s="50"/>
      <c r="G201" s="103"/>
      <c r="H201" s="103"/>
      <c r="I201" s="104"/>
      <c r="J201" s="103"/>
      <c r="K201" s="103"/>
      <c r="L201" s="103">
        <f t="shared" si="25"/>
        <v>15</v>
      </c>
      <c r="M201" s="103"/>
      <c r="N201" s="103" t="s">
        <v>947</v>
      </c>
      <c r="O201" s="104">
        <f t="shared" si="23"/>
        <v>0</v>
      </c>
    </row>
    <row r="202" spans="1:15" s="8" customFormat="1" ht="15.75" x14ac:dyDescent="0.25">
      <c r="A202" s="113" t="s">
        <v>430</v>
      </c>
      <c r="B202" s="102">
        <v>44193</v>
      </c>
      <c r="C202" s="9" t="s">
        <v>687</v>
      </c>
      <c r="D202" s="32">
        <v>2</v>
      </c>
      <c r="E202" s="13">
        <v>175</v>
      </c>
      <c r="F202" s="50">
        <f t="shared" ref="F202:F260" si="26">D202*E202</f>
        <v>350</v>
      </c>
      <c r="G202" s="103"/>
      <c r="H202" s="103"/>
      <c r="I202" s="104"/>
      <c r="J202" s="103"/>
      <c r="K202" s="103"/>
      <c r="L202" s="103">
        <f t="shared" si="25"/>
        <v>2</v>
      </c>
      <c r="M202" s="103"/>
      <c r="N202" s="103" t="s">
        <v>947</v>
      </c>
      <c r="O202" s="104">
        <f t="shared" si="23"/>
        <v>350</v>
      </c>
    </row>
    <row r="203" spans="1:15" s="8" customFormat="1" ht="15.75" x14ac:dyDescent="0.25">
      <c r="A203" s="113" t="s">
        <v>431</v>
      </c>
      <c r="B203" s="102">
        <v>44193</v>
      </c>
      <c r="C203" s="26" t="s">
        <v>695</v>
      </c>
      <c r="D203" s="38">
        <v>1</v>
      </c>
      <c r="E203" s="13">
        <v>270.55</v>
      </c>
      <c r="F203" s="50">
        <f t="shared" si="26"/>
        <v>270.55</v>
      </c>
      <c r="G203" s="103"/>
      <c r="H203" s="103"/>
      <c r="I203" s="104"/>
      <c r="J203" s="103"/>
      <c r="K203" s="103"/>
      <c r="L203" s="103">
        <f t="shared" si="25"/>
        <v>1</v>
      </c>
      <c r="M203" s="103"/>
      <c r="N203" s="103" t="s">
        <v>946</v>
      </c>
      <c r="O203" s="104">
        <f t="shared" si="23"/>
        <v>270.55</v>
      </c>
    </row>
    <row r="204" spans="1:15" s="8" customFormat="1" ht="15.75" x14ac:dyDescent="0.25">
      <c r="A204" s="113" t="s">
        <v>432</v>
      </c>
      <c r="B204" s="102">
        <v>44193</v>
      </c>
      <c r="C204" s="25" t="s">
        <v>688</v>
      </c>
      <c r="D204" s="58">
        <v>3</v>
      </c>
      <c r="E204" s="13">
        <v>79.8</v>
      </c>
      <c r="F204" s="50">
        <f t="shared" si="26"/>
        <v>239.39999999999998</v>
      </c>
      <c r="G204" s="103"/>
      <c r="H204" s="103"/>
      <c r="I204" s="104"/>
      <c r="J204" s="103"/>
      <c r="K204" s="103"/>
      <c r="L204" s="103">
        <f t="shared" si="25"/>
        <v>3</v>
      </c>
      <c r="M204" s="103"/>
      <c r="N204" s="103" t="s">
        <v>946</v>
      </c>
      <c r="O204" s="104">
        <f t="shared" si="23"/>
        <v>239.39999999999998</v>
      </c>
    </row>
    <row r="205" spans="1:15" s="8" customFormat="1" ht="15.75" x14ac:dyDescent="0.25">
      <c r="A205" s="113" t="s">
        <v>433</v>
      </c>
      <c r="B205" s="102">
        <v>44193</v>
      </c>
      <c r="C205" s="25" t="s">
        <v>689</v>
      </c>
      <c r="D205" s="55">
        <v>7</v>
      </c>
      <c r="E205" s="13">
        <v>79.8</v>
      </c>
      <c r="F205" s="50">
        <f t="shared" si="26"/>
        <v>558.6</v>
      </c>
      <c r="G205" s="103"/>
      <c r="H205" s="103"/>
      <c r="I205" s="104"/>
      <c r="J205" s="103"/>
      <c r="K205" s="103"/>
      <c r="L205" s="103">
        <f t="shared" si="25"/>
        <v>7</v>
      </c>
      <c r="M205" s="103"/>
      <c r="N205" s="103" t="s">
        <v>946</v>
      </c>
      <c r="O205" s="104">
        <f t="shared" si="23"/>
        <v>558.6</v>
      </c>
    </row>
    <row r="206" spans="1:15" s="8" customFormat="1" ht="15.75" x14ac:dyDescent="0.25">
      <c r="A206" s="113" t="s">
        <v>434</v>
      </c>
      <c r="B206" s="102">
        <v>44193</v>
      </c>
      <c r="C206" s="25" t="s">
        <v>690</v>
      </c>
      <c r="D206" s="57">
        <v>7</v>
      </c>
      <c r="E206" s="13">
        <v>62.93</v>
      </c>
      <c r="F206" s="50">
        <f t="shared" si="26"/>
        <v>440.51</v>
      </c>
      <c r="G206" s="103"/>
      <c r="H206" s="103"/>
      <c r="I206" s="104"/>
      <c r="J206" s="103"/>
      <c r="K206" s="103"/>
      <c r="L206" s="103">
        <f t="shared" si="25"/>
        <v>7</v>
      </c>
      <c r="M206" s="103"/>
      <c r="N206" s="103" t="s">
        <v>946</v>
      </c>
      <c r="O206" s="104">
        <f t="shared" si="23"/>
        <v>440.51</v>
      </c>
    </row>
    <row r="207" spans="1:15" s="8" customFormat="1" ht="15.75" x14ac:dyDescent="0.25">
      <c r="A207" s="113" t="s">
        <v>435</v>
      </c>
      <c r="B207" s="102">
        <v>44193</v>
      </c>
      <c r="C207" s="26" t="s">
        <v>691</v>
      </c>
      <c r="D207" s="57">
        <v>21</v>
      </c>
      <c r="E207" s="13">
        <v>165</v>
      </c>
      <c r="F207" s="50">
        <f t="shared" si="26"/>
        <v>3465</v>
      </c>
      <c r="G207" s="103"/>
      <c r="H207" s="103"/>
      <c r="I207" s="104"/>
      <c r="J207" s="103"/>
      <c r="K207" s="103"/>
      <c r="L207" s="103">
        <f t="shared" si="25"/>
        <v>21</v>
      </c>
      <c r="M207" s="103"/>
      <c r="N207" s="103" t="s">
        <v>946</v>
      </c>
      <c r="O207" s="104">
        <f t="shared" si="23"/>
        <v>3465</v>
      </c>
    </row>
    <row r="208" spans="1:15" s="8" customFormat="1" ht="15.75" x14ac:dyDescent="0.25">
      <c r="A208" s="113" t="s">
        <v>436</v>
      </c>
      <c r="B208" s="102">
        <v>44193</v>
      </c>
      <c r="C208" s="26" t="s">
        <v>791</v>
      </c>
      <c r="D208" s="38">
        <v>18</v>
      </c>
      <c r="E208" s="13">
        <v>52</v>
      </c>
      <c r="F208" s="50">
        <f t="shared" si="26"/>
        <v>936</v>
      </c>
      <c r="G208" s="103"/>
      <c r="H208" s="103"/>
      <c r="I208" s="104"/>
      <c r="J208" s="103"/>
      <c r="K208" s="103"/>
      <c r="L208" s="103">
        <f t="shared" si="25"/>
        <v>18</v>
      </c>
      <c r="M208" s="103"/>
      <c r="N208" s="103" t="s">
        <v>946</v>
      </c>
      <c r="O208" s="104">
        <f t="shared" si="23"/>
        <v>936</v>
      </c>
    </row>
    <row r="209" spans="1:15" s="8" customFormat="1" ht="15.75" x14ac:dyDescent="0.25">
      <c r="A209" s="113" t="s">
        <v>437</v>
      </c>
      <c r="B209" s="102">
        <v>44193</v>
      </c>
      <c r="C209" s="26" t="s">
        <v>790</v>
      </c>
      <c r="D209" s="38">
        <v>11</v>
      </c>
      <c r="E209" s="13">
        <v>79.8</v>
      </c>
      <c r="F209" s="50">
        <f t="shared" si="26"/>
        <v>877.8</v>
      </c>
      <c r="G209" s="103"/>
      <c r="H209" s="103"/>
      <c r="I209" s="104"/>
      <c r="J209" s="103"/>
      <c r="K209" s="103"/>
      <c r="L209" s="103">
        <f t="shared" si="25"/>
        <v>11</v>
      </c>
      <c r="M209" s="103"/>
      <c r="N209" s="103" t="s">
        <v>946</v>
      </c>
      <c r="O209" s="104">
        <f>+E209*L209</f>
        <v>877.8</v>
      </c>
    </row>
    <row r="210" spans="1:15" s="8" customFormat="1" ht="15.75" x14ac:dyDescent="0.25">
      <c r="A210" s="113" t="s">
        <v>438</v>
      </c>
      <c r="B210" s="102">
        <v>44193</v>
      </c>
      <c r="C210" s="26" t="s">
        <v>693</v>
      </c>
      <c r="D210" s="38">
        <v>1</v>
      </c>
      <c r="E210" s="13">
        <v>2075</v>
      </c>
      <c r="F210" s="50">
        <f t="shared" si="26"/>
        <v>2075</v>
      </c>
      <c r="G210" s="103"/>
      <c r="H210" s="103"/>
      <c r="I210" s="104"/>
      <c r="J210" s="103"/>
      <c r="K210" s="103"/>
      <c r="L210" s="103">
        <f t="shared" si="25"/>
        <v>1</v>
      </c>
      <c r="M210" s="103"/>
      <c r="N210" s="103" t="s">
        <v>946</v>
      </c>
      <c r="O210" s="104">
        <f t="shared" si="23"/>
        <v>2075</v>
      </c>
    </row>
    <row r="211" spans="1:15" s="8" customFormat="1" ht="15.75" x14ac:dyDescent="0.25">
      <c r="A211" s="113" t="s">
        <v>439</v>
      </c>
      <c r="B211" s="102">
        <v>44193</v>
      </c>
      <c r="C211" s="26" t="s">
        <v>692</v>
      </c>
      <c r="D211" s="57">
        <v>18</v>
      </c>
      <c r="E211" s="13">
        <v>165</v>
      </c>
      <c r="F211" s="50">
        <f t="shared" si="26"/>
        <v>2970</v>
      </c>
      <c r="G211" s="103"/>
      <c r="H211" s="103"/>
      <c r="I211" s="104"/>
      <c r="J211" s="103"/>
      <c r="K211" s="103"/>
      <c r="L211" s="103">
        <f t="shared" si="25"/>
        <v>18</v>
      </c>
      <c r="M211" s="103"/>
      <c r="N211" s="103" t="s">
        <v>946</v>
      </c>
      <c r="O211" s="104">
        <f t="shared" si="23"/>
        <v>2970</v>
      </c>
    </row>
    <row r="212" spans="1:15" s="8" customFormat="1" ht="15.75" x14ac:dyDescent="0.25">
      <c r="A212" s="113" t="s">
        <v>440</v>
      </c>
      <c r="B212" s="102">
        <v>44193</v>
      </c>
      <c r="C212" s="26" t="s">
        <v>697</v>
      </c>
      <c r="D212" s="38">
        <v>20</v>
      </c>
      <c r="E212" s="13">
        <v>79.8</v>
      </c>
      <c r="F212" s="50">
        <f t="shared" si="26"/>
        <v>1596</v>
      </c>
      <c r="G212" s="103"/>
      <c r="H212" s="103"/>
      <c r="I212" s="104"/>
      <c r="J212" s="103"/>
      <c r="K212" s="103"/>
      <c r="L212" s="103">
        <f t="shared" si="25"/>
        <v>20</v>
      </c>
      <c r="M212" s="103"/>
      <c r="N212" s="103" t="s">
        <v>946</v>
      </c>
      <c r="O212" s="104">
        <f t="shared" si="23"/>
        <v>1596</v>
      </c>
    </row>
    <row r="213" spans="1:15" s="8" customFormat="1" ht="15.75" x14ac:dyDescent="0.25">
      <c r="A213" s="113" t="s">
        <v>441</v>
      </c>
      <c r="B213" s="102">
        <v>44193</v>
      </c>
      <c r="C213" s="26" t="s">
        <v>696</v>
      </c>
      <c r="D213" s="38">
        <v>9</v>
      </c>
      <c r="E213" s="13">
        <v>79.8</v>
      </c>
      <c r="F213" s="50">
        <f t="shared" si="26"/>
        <v>718.19999999999993</v>
      </c>
      <c r="G213" s="103"/>
      <c r="H213" s="103"/>
      <c r="I213" s="104"/>
      <c r="J213" s="103"/>
      <c r="K213" s="103"/>
      <c r="L213" s="103">
        <f t="shared" si="25"/>
        <v>9</v>
      </c>
      <c r="M213" s="103"/>
      <c r="N213" s="103" t="s">
        <v>946</v>
      </c>
      <c r="O213" s="104">
        <f t="shared" si="23"/>
        <v>718.19999999999993</v>
      </c>
    </row>
    <row r="214" spans="1:15" s="8" customFormat="1" ht="15.75" x14ac:dyDescent="0.25">
      <c r="A214" s="113" t="s">
        <v>442</v>
      </c>
      <c r="B214" s="102"/>
      <c r="C214" s="26" t="s">
        <v>808</v>
      </c>
      <c r="D214" s="38">
        <v>9</v>
      </c>
      <c r="E214" s="13">
        <v>352</v>
      </c>
      <c r="F214" s="50">
        <f t="shared" si="26"/>
        <v>3168</v>
      </c>
      <c r="G214" s="103"/>
      <c r="H214" s="103"/>
      <c r="I214" s="104"/>
      <c r="J214" s="103"/>
      <c r="K214" s="103"/>
      <c r="L214" s="103">
        <f t="shared" si="25"/>
        <v>9</v>
      </c>
      <c r="M214" s="103"/>
      <c r="N214" s="103" t="s">
        <v>946</v>
      </c>
      <c r="O214" s="104">
        <f t="shared" si="23"/>
        <v>3168</v>
      </c>
    </row>
    <row r="215" spans="1:15" s="92" customFormat="1" x14ac:dyDescent="0.3">
      <c r="A215" s="113" t="s">
        <v>443</v>
      </c>
      <c r="B215" s="102">
        <v>44456</v>
      </c>
      <c r="C215" s="26" t="s">
        <v>698</v>
      </c>
      <c r="D215" s="38">
        <v>3</v>
      </c>
      <c r="E215" s="13">
        <v>600</v>
      </c>
      <c r="F215" s="50">
        <f t="shared" si="26"/>
        <v>1800</v>
      </c>
      <c r="G215" s="103"/>
      <c r="H215" s="103"/>
      <c r="I215" s="104"/>
      <c r="J215" s="103"/>
      <c r="K215" s="103"/>
      <c r="L215" s="103">
        <f t="shared" si="25"/>
        <v>3</v>
      </c>
      <c r="M215" s="103"/>
      <c r="N215" s="103" t="s">
        <v>945</v>
      </c>
      <c r="O215" s="104">
        <f t="shared" si="23"/>
        <v>1800</v>
      </c>
    </row>
    <row r="216" spans="1:15" s="92" customFormat="1" x14ac:dyDescent="0.3">
      <c r="A216" s="113" t="s">
        <v>444</v>
      </c>
      <c r="B216" s="102">
        <v>44193</v>
      </c>
      <c r="C216" s="26" t="s">
        <v>699</v>
      </c>
      <c r="D216" s="38">
        <v>15</v>
      </c>
      <c r="E216" s="13">
        <v>140</v>
      </c>
      <c r="F216" s="50">
        <f t="shared" si="26"/>
        <v>2100</v>
      </c>
      <c r="G216" s="103"/>
      <c r="H216" s="103"/>
      <c r="I216" s="104"/>
      <c r="J216" s="103"/>
      <c r="K216" s="103"/>
      <c r="L216" s="103">
        <f t="shared" si="25"/>
        <v>15</v>
      </c>
      <c r="M216" s="103"/>
      <c r="N216" s="103" t="s">
        <v>945</v>
      </c>
      <c r="O216" s="104">
        <f t="shared" si="23"/>
        <v>2100</v>
      </c>
    </row>
    <row r="217" spans="1:15" s="8" customFormat="1" ht="15.75" x14ac:dyDescent="0.25">
      <c r="A217" s="113" t="s">
        <v>445</v>
      </c>
      <c r="B217" s="102">
        <v>44193</v>
      </c>
      <c r="C217" s="9" t="s">
        <v>706</v>
      </c>
      <c r="D217" s="48">
        <v>1</v>
      </c>
      <c r="E217" s="13">
        <v>5250</v>
      </c>
      <c r="F217" s="50">
        <f t="shared" si="26"/>
        <v>5250</v>
      </c>
      <c r="G217" s="103"/>
      <c r="H217" s="103"/>
      <c r="I217" s="104"/>
      <c r="J217" s="103"/>
      <c r="K217" s="103"/>
      <c r="L217" s="103">
        <f t="shared" si="25"/>
        <v>1</v>
      </c>
      <c r="M217" s="103"/>
      <c r="N217" s="103" t="s">
        <v>947</v>
      </c>
      <c r="O217" s="104">
        <f>+E217*L217</f>
        <v>5250</v>
      </c>
    </row>
    <row r="218" spans="1:15" s="8" customFormat="1" ht="15.75" x14ac:dyDescent="0.25">
      <c r="A218" s="113" t="s">
        <v>446</v>
      </c>
      <c r="B218" s="102">
        <v>44193</v>
      </c>
      <c r="C218" s="9" t="s">
        <v>700</v>
      </c>
      <c r="D218" s="48">
        <f>9+12+12+24</f>
        <v>57</v>
      </c>
      <c r="E218" s="13">
        <v>12.93</v>
      </c>
      <c r="F218" s="50">
        <f t="shared" si="26"/>
        <v>737.01</v>
      </c>
      <c r="G218" s="103"/>
      <c r="H218" s="103"/>
      <c r="I218" s="104"/>
      <c r="J218" s="103"/>
      <c r="K218" s="103"/>
      <c r="L218" s="103">
        <f t="shared" si="25"/>
        <v>57</v>
      </c>
      <c r="M218" s="103"/>
      <c r="N218" s="103" t="s">
        <v>947</v>
      </c>
      <c r="O218" s="104">
        <f t="shared" si="23"/>
        <v>737.01</v>
      </c>
    </row>
    <row r="219" spans="1:15" s="8" customFormat="1" ht="15.75" x14ac:dyDescent="0.25">
      <c r="A219" s="113" t="s">
        <v>447</v>
      </c>
      <c r="B219" s="102">
        <v>44193</v>
      </c>
      <c r="C219" s="9" t="s">
        <v>701</v>
      </c>
      <c r="D219" s="48">
        <f>16+12+12</f>
        <v>40</v>
      </c>
      <c r="E219" s="13">
        <v>14.37</v>
      </c>
      <c r="F219" s="50">
        <f t="shared" si="26"/>
        <v>574.79999999999995</v>
      </c>
      <c r="G219" s="103"/>
      <c r="H219" s="103"/>
      <c r="I219" s="104"/>
      <c r="J219" s="103"/>
      <c r="K219" s="103"/>
      <c r="L219" s="103">
        <f t="shared" si="25"/>
        <v>40</v>
      </c>
      <c r="M219" s="103"/>
      <c r="N219" s="103" t="s">
        <v>947</v>
      </c>
      <c r="O219" s="104">
        <f t="shared" si="23"/>
        <v>574.79999999999995</v>
      </c>
    </row>
    <row r="220" spans="1:15" s="8" customFormat="1" ht="15.75" x14ac:dyDescent="0.25">
      <c r="A220" s="113" t="s">
        <v>448</v>
      </c>
      <c r="B220" s="102">
        <v>44193</v>
      </c>
      <c r="C220" s="9" t="s">
        <v>702</v>
      </c>
      <c r="D220" s="48">
        <v>6</v>
      </c>
      <c r="E220" s="13">
        <v>35</v>
      </c>
      <c r="F220" s="50">
        <f t="shared" si="26"/>
        <v>210</v>
      </c>
      <c r="G220" s="103"/>
      <c r="H220" s="103"/>
      <c r="I220" s="104"/>
      <c r="J220" s="103"/>
      <c r="K220" s="103"/>
      <c r="L220" s="103">
        <f t="shared" si="25"/>
        <v>6</v>
      </c>
      <c r="M220" s="103"/>
      <c r="N220" s="103" t="s">
        <v>947</v>
      </c>
      <c r="O220" s="104">
        <f t="shared" si="23"/>
        <v>210</v>
      </c>
    </row>
    <row r="221" spans="1:15" s="8" customFormat="1" ht="15.75" x14ac:dyDescent="0.25">
      <c r="A221" s="113" t="s">
        <v>449</v>
      </c>
      <c r="B221" s="102">
        <v>44193</v>
      </c>
      <c r="C221" s="9" t="s">
        <v>703</v>
      </c>
      <c r="D221" s="48"/>
      <c r="E221" s="13">
        <v>30</v>
      </c>
      <c r="F221" s="50">
        <f t="shared" si="26"/>
        <v>0</v>
      </c>
      <c r="G221" s="103"/>
      <c r="H221" s="103"/>
      <c r="I221" s="104"/>
      <c r="J221" s="103"/>
      <c r="K221" s="103"/>
      <c r="L221" s="103">
        <f t="shared" si="25"/>
        <v>0</v>
      </c>
      <c r="M221" s="103"/>
      <c r="N221" s="103" t="s">
        <v>947</v>
      </c>
      <c r="O221" s="104">
        <f t="shared" si="23"/>
        <v>0</v>
      </c>
    </row>
    <row r="222" spans="1:15" s="8" customFormat="1" ht="15.75" x14ac:dyDescent="0.25">
      <c r="A222" s="113" t="s">
        <v>450</v>
      </c>
      <c r="B222" s="102">
        <v>44193</v>
      </c>
      <c r="C222" s="9" t="s">
        <v>704</v>
      </c>
      <c r="D222" s="48">
        <v>1300</v>
      </c>
      <c r="E222" s="13">
        <v>2.6</v>
      </c>
      <c r="F222" s="50">
        <f t="shared" si="26"/>
        <v>3380</v>
      </c>
      <c r="G222" s="103"/>
      <c r="H222" s="103"/>
      <c r="I222" s="104"/>
      <c r="J222" s="103"/>
      <c r="K222" s="103"/>
      <c r="L222" s="103">
        <f t="shared" si="25"/>
        <v>1300</v>
      </c>
      <c r="M222" s="103"/>
      <c r="N222" s="103" t="s">
        <v>947</v>
      </c>
      <c r="O222" s="104">
        <f t="shared" si="23"/>
        <v>3380</v>
      </c>
    </row>
    <row r="223" spans="1:15" s="8" customFormat="1" ht="15.75" x14ac:dyDescent="0.25">
      <c r="A223" s="113" t="s">
        <v>451</v>
      </c>
      <c r="B223" s="102">
        <v>44193</v>
      </c>
      <c r="C223" s="9" t="s">
        <v>705</v>
      </c>
      <c r="D223" s="48">
        <v>1</v>
      </c>
      <c r="E223" s="13">
        <v>728.81</v>
      </c>
      <c r="F223" s="50">
        <f t="shared" si="26"/>
        <v>728.81</v>
      </c>
      <c r="G223" s="103"/>
      <c r="H223" s="103"/>
      <c r="I223" s="104"/>
      <c r="J223" s="103"/>
      <c r="K223" s="103"/>
      <c r="L223" s="103">
        <f t="shared" si="25"/>
        <v>1</v>
      </c>
      <c r="M223" s="103"/>
      <c r="N223" s="103" t="s">
        <v>947</v>
      </c>
      <c r="O223" s="104">
        <f t="shared" si="23"/>
        <v>728.81</v>
      </c>
    </row>
    <row r="224" spans="1:15" s="8" customFormat="1" ht="15.75" x14ac:dyDescent="0.25">
      <c r="A224" s="113" t="s">
        <v>452</v>
      </c>
      <c r="B224" s="102">
        <v>44193</v>
      </c>
      <c r="C224" s="9" t="s">
        <v>709</v>
      </c>
      <c r="D224" s="58">
        <v>2</v>
      </c>
      <c r="E224" s="13">
        <v>350</v>
      </c>
      <c r="F224" s="50">
        <f t="shared" si="26"/>
        <v>700</v>
      </c>
      <c r="G224" s="103"/>
      <c r="H224" s="103"/>
      <c r="I224" s="104"/>
      <c r="J224" s="103"/>
      <c r="K224" s="103"/>
      <c r="L224" s="103">
        <f t="shared" si="25"/>
        <v>2</v>
      </c>
      <c r="M224" s="103"/>
      <c r="N224" s="103" t="s">
        <v>947</v>
      </c>
      <c r="O224" s="104">
        <f t="shared" si="23"/>
        <v>700</v>
      </c>
    </row>
    <row r="225" spans="1:15" s="8" customFormat="1" ht="15.75" x14ac:dyDescent="0.25">
      <c r="A225" s="113" t="s">
        <v>453</v>
      </c>
      <c r="B225" s="102">
        <v>44193</v>
      </c>
      <c r="C225" s="9" t="s">
        <v>707</v>
      </c>
      <c r="D225" s="48">
        <v>5</v>
      </c>
      <c r="E225" s="13">
        <v>595</v>
      </c>
      <c r="F225" s="50">
        <f t="shared" si="26"/>
        <v>2975</v>
      </c>
      <c r="G225" s="103"/>
      <c r="H225" s="103"/>
      <c r="I225" s="104"/>
      <c r="J225" s="103"/>
      <c r="K225" s="103"/>
      <c r="L225" s="103">
        <f t="shared" si="25"/>
        <v>5</v>
      </c>
      <c r="M225" s="103"/>
      <c r="N225" s="103" t="s">
        <v>947</v>
      </c>
      <c r="O225" s="104">
        <f t="shared" si="23"/>
        <v>2975</v>
      </c>
    </row>
    <row r="226" spans="1:15" s="8" customFormat="1" ht="15.75" x14ac:dyDescent="0.25">
      <c r="A226" s="113" t="s">
        <v>454</v>
      </c>
      <c r="B226" s="102">
        <v>44193</v>
      </c>
      <c r="C226" s="9" t="s">
        <v>868</v>
      </c>
      <c r="D226" s="48">
        <v>2</v>
      </c>
      <c r="E226" s="13">
        <v>300</v>
      </c>
      <c r="F226" s="50">
        <f t="shared" si="26"/>
        <v>600</v>
      </c>
      <c r="G226" s="103"/>
      <c r="H226" s="103"/>
      <c r="I226" s="104"/>
      <c r="J226" s="103"/>
      <c r="K226" s="103"/>
      <c r="L226" s="103">
        <f t="shared" si="25"/>
        <v>2</v>
      </c>
      <c r="M226" s="103"/>
      <c r="N226" s="103" t="s">
        <v>947</v>
      </c>
      <c r="O226" s="104">
        <f t="shared" si="23"/>
        <v>600</v>
      </c>
    </row>
    <row r="227" spans="1:15" s="8" customFormat="1" ht="15.75" x14ac:dyDescent="0.25">
      <c r="A227" s="113" t="s">
        <v>455</v>
      </c>
      <c r="B227" s="102">
        <v>44193</v>
      </c>
      <c r="C227" s="26" t="s">
        <v>710</v>
      </c>
      <c r="D227" s="32">
        <v>0</v>
      </c>
      <c r="E227" s="13">
        <v>3950</v>
      </c>
      <c r="F227" s="50">
        <f t="shared" si="26"/>
        <v>0</v>
      </c>
      <c r="G227" s="103"/>
      <c r="H227" s="103"/>
      <c r="I227" s="104"/>
      <c r="J227" s="103"/>
      <c r="K227" s="103"/>
      <c r="L227" s="103">
        <f t="shared" si="25"/>
        <v>0</v>
      </c>
      <c r="M227" s="103"/>
      <c r="N227" s="103" t="s">
        <v>947</v>
      </c>
      <c r="O227" s="104">
        <f t="shared" si="23"/>
        <v>0</v>
      </c>
    </row>
    <row r="228" spans="1:15" s="8" customFormat="1" ht="15.75" x14ac:dyDescent="0.25">
      <c r="A228" s="113" t="s">
        <v>456</v>
      </c>
      <c r="B228" s="106" t="s">
        <v>108</v>
      </c>
      <c r="C228" s="26" t="s">
        <v>714</v>
      </c>
      <c r="D228" s="55">
        <v>6</v>
      </c>
      <c r="E228" s="51">
        <v>11000</v>
      </c>
      <c r="F228" s="50">
        <f t="shared" si="26"/>
        <v>66000</v>
      </c>
      <c r="G228" s="103"/>
      <c r="H228" s="103"/>
      <c r="I228" s="104"/>
      <c r="J228" s="103"/>
      <c r="K228" s="103"/>
      <c r="L228" s="103">
        <f t="shared" si="25"/>
        <v>6</v>
      </c>
      <c r="M228" s="103"/>
      <c r="N228" s="103" t="s">
        <v>947</v>
      </c>
      <c r="O228" s="104">
        <f t="shared" ref="O228:O236" si="27">+E228*L228</f>
        <v>66000</v>
      </c>
    </row>
    <row r="229" spans="1:15" s="8" customFormat="1" ht="15.75" x14ac:dyDescent="0.25">
      <c r="A229" s="113" t="s">
        <v>457</v>
      </c>
      <c r="B229" s="102">
        <v>44652</v>
      </c>
      <c r="C229" s="26" t="s">
        <v>856</v>
      </c>
      <c r="D229" s="38">
        <v>5</v>
      </c>
      <c r="E229" s="59">
        <v>1700</v>
      </c>
      <c r="F229" s="50">
        <f t="shared" si="26"/>
        <v>8500</v>
      </c>
      <c r="G229" s="103"/>
      <c r="H229" s="103"/>
      <c r="I229" s="104"/>
      <c r="J229" s="103"/>
      <c r="K229" s="103"/>
      <c r="L229" s="103">
        <f t="shared" si="25"/>
        <v>5</v>
      </c>
      <c r="M229" s="103"/>
      <c r="N229" s="103" t="s">
        <v>946</v>
      </c>
      <c r="O229" s="104">
        <f t="shared" si="27"/>
        <v>8500</v>
      </c>
    </row>
    <row r="230" spans="1:15" s="8" customFormat="1" ht="15.75" x14ac:dyDescent="0.25">
      <c r="A230" s="113" t="s">
        <v>458</v>
      </c>
      <c r="B230" s="102">
        <v>44193</v>
      </c>
      <c r="C230" s="26" t="s">
        <v>712</v>
      </c>
      <c r="D230" s="32">
        <v>0</v>
      </c>
      <c r="E230" s="13">
        <v>148.31</v>
      </c>
      <c r="F230" s="50">
        <f t="shared" si="26"/>
        <v>0</v>
      </c>
      <c r="G230" s="103"/>
      <c r="H230" s="103"/>
      <c r="I230" s="104"/>
      <c r="J230" s="103"/>
      <c r="K230" s="103"/>
      <c r="L230" s="103">
        <f t="shared" si="25"/>
        <v>0</v>
      </c>
      <c r="M230" s="103"/>
      <c r="N230" s="103" t="s">
        <v>946</v>
      </c>
      <c r="O230" s="104">
        <f t="shared" si="27"/>
        <v>0</v>
      </c>
    </row>
    <row r="231" spans="1:15" s="8" customFormat="1" ht="15.75" x14ac:dyDescent="0.25">
      <c r="A231" s="113" t="s">
        <v>459</v>
      </c>
      <c r="B231" s="102">
        <v>44193</v>
      </c>
      <c r="C231" s="26" t="s">
        <v>713</v>
      </c>
      <c r="D231" s="32">
        <v>0</v>
      </c>
      <c r="E231" s="13">
        <v>122.88</v>
      </c>
      <c r="F231" s="50">
        <f t="shared" si="26"/>
        <v>0</v>
      </c>
      <c r="G231" s="103"/>
      <c r="H231" s="103"/>
      <c r="I231" s="104"/>
      <c r="J231" s="103"/>
      <c r="K231" s="103"/>
      <c r="L231" s="103">
        <f t="shared" si="25"/>
        <v>0</v>
      </c>
      <c r="M231" s="103"/>
      <c r="N231" s="103" t="s">
        <v>946</v>
      </c>
      <c r="O231" s="104">
        <f t="shared" si="27"/>
        <v>0</v>
      </c>
    </row>
    <row r="232" spans="1:15" s="8" customFormat="1" ht="15.75" x14ac:dyDescent="0.25">
      <c r="A232" s="113" t="s">
        <v>460</v>
      </c>
      <c r="B232" s="102">
        <v>44193</v>
      </c>
      <c r="C232" s="26" t="s">
        <v>847</v>
      </c>
      <c r="D232" s="32">
        <v>0</v>
      </c>
      <c r="E232" s="13">
        <v>0</v>
      </c>
      <c r="F232" s="50">
        <f t="shared" si="26"/>
        <v>0</v>
      </c>
      <c r="G232" s="103"/>
      <c r="H232" s="103"/>
      <c r="I232" s="104"/>
      <c r="J232" s="103"/>
      <c r="K232" s="103"/>
      <c r="L232" s="103">
        <f t="shared" si="25"/>
        <v>0</v>
      </c>
      <c r="M232" s="103"/>
      <c r="N232" s="103" t="s">
        <v>946</v>
      </c>
      <c r="O232" s="104">
        <f t="shared" si="27"/>
        <v>0</v>
      </c>
    </row>
    <row r="233" spans="1:15" s="8" customFormat="1" ht="15.75" x14ac:dyDescent="0.25">
      <c r="A233" s="113" t="s">
        <v>461</v>
      </c>
      <c r="B233" s="102">
        <v>44193</v>
      </c>
      <c r="C233" s="26" t="s">
        <v>711</v>
      </c>
      <c r="D233" s="32">
        <v>0</v>
      </c>
      <c r="E233" s="13">
        <v>237.29</v>
      </c>
      <c r="F233" s="50">
        <f t="shared" si="26"/>
        <v>0</v>
      </c>
      <c r="G233" s="124">
        <v>44851</v>
      </c>
      <c r="H233" s="125">
        <v>100</v>
      </c>
      <c r="I233" s="126">
        <v>156.35</v>
      </c>
      <c r="J233" s="127">
        <f>+H233*I233</f>
        <v>15635</v>
      </c>
      <c r="K233" s="125">
        <v>1</v>
      </c>
      <c r="L233" s="103">
        <f t="shared" si="25"/>
        <v>99</v>
      </c>
      <c r="M233" s="103"/>
      <c r="N233" s="103" t="s">
        <v>946</v>
      </c>
      <c r="O233" s="104">
        <f t="shared" si="27"/>
        <v>23491.71</v>
      </c>
    </row>
    <row r="234" spans="1:15" s="92" customFormat="1" x14ac:dyDescent="0.3">
      <c r="A234" s="113" t="s">
        <v>462</v>
      </c>
      <c r="B234" s="102">
        <v>44193</v>
      </c>
      <c r="C234" s="25" t="s">
        <v>716</v>
      </c>
      <c r="D234" s="32">
        <v>0</v>
      </c>
      <c r="E234" s="51">
        <v>82</v>
      </c>
      <c r="F234" s="50">
        <f t="shared" si="26"/>
        <v>0</v>
      </c>
      <c r="G234" s="125"/>
      <c r="H234" s="125"/>
      <c r="I234" s="126"/>
      <c r="J234" s="125"/>
      <c r="K234" s="125">
        <v>1</v>
      </c>
      <c r="L234" s="103">
        <f t="shared" si="25"/>
        <v>-1</v>
      </c>
      <c r="M234" s="103"/>
      <c r="N234" s="103" t="s">
        <v>945</v>
      </c>
      <c r="O234" s="104">
        <f t="shared" si="27"/>
        <v>-82</v>
      </c>
    </row>
    <row r="235" spans="1:15" s="92" customFormat="1" x14ac:dyDescent="0.3">
      <c r="A235" s="113" t="s">
        <v>463</v>
      </c>
      <c r="B235" s="102">
        <v>44193</v>
      </c>
      <c r="C235" s="25" t="s">
        <v>717</v>
      </c>
      <c r="D235" s="32">
        <v>0</v>
      </c>
      <c r="E235" s="51">
        <v>14.29</v>
      </c>
      <c r="F235" s="50">
        <f t="shared" si="26"/>
        <v>0</v>
      </c>
      <c r="G235" s="103"/>
      <c r="H235" s="103"/>
      <c r="I235" s="104"/>
      <c r="J235" s="103"/>
      <c r="K235" s="103"/>
      <c r="L235" s="103">
        <f t="shared" si="25"/>
        <v>0</v>
      </c>
      <c r="M235" s="103"/>
      <c r="N235" s="103" t="s">
        <v>945</v>
      </c>
      <c r="O235" s="104">
        <f t="shared" si="27"/>
        <v>0</v>
      </c>
    </row>
    <row r="236" spans="1:15" s="92" customFormat="1" x14ac:dyDescent="0.3">
      <c r="A236" s="113" t="s">
        <v>464</v>
      </c>
      <c r="B236" s="106" t="s">
        <v>770</v>
      </c>
      <c r="C236" s="25" t="s">
        <v>715</v>
      </c>
      <c r="D236" s="32">
        <v>6</v>
      </c>
      <c r="E236" s="51">
        <v>82</v>
      </c>
      <c r="F236" s="50">
        <f t="shared" si="26"/>
        <v>492</v>
      </c>
      <c r="G236" s="103"/>
      <c r="H236" s="103"/>
      <c r="I236" s="104"/>
      <c r="J236" s="103"/>
      <c r="K236" s="103"/>
      <c r="L236" s="103">
        <f t="shared" si="25"/>
        <v>6</v>
      </c>
      <c r="M236" s="103"/>
      <c r="N236" s="103" t="s">
        <v>945</v>
      </c>
      <c r="O236" s="104">
        <f t="shared" si="27"/>
        <v>492</v>
      </c>
    </row>
    <row r="237" spans="1:15" s="8" customFormat="1" ht="15.75" x14ac:dyDescent="0.25">
      <c r="A237" s="113" t="s">
        <v>465</v>
      </c>
      <c r="B237" s="106" t="s">
        <v>108</v>
      </c>
      <c r="C237" s="25" t="s">
        <v>718</v>
      </c>
      <c r="D237" s="32">
        <v>0</v>
      </c>
      <c r="E237" s="51">
        <v>6375</v>
      </c>
      <c r="F237" s="50">
        <f t="shared" si="26"/>
        <v>0</v>
      </c>
      <c r="G237" s="103"/>
      <c r="H237" s="103"/>
      <c r="I237" s="104"/>
      <c r="J237" s="103"/>
      <c r="K237" s="103">
        <v>1</v>
      </c>
      <c r="L237" s="103">
        <f t="shared" si="25"/>
        <v>-1</v>
      </c>
      <c r="M237" s="103"/>
      <c r="N237" s="103" t="s">
        <v>946</v>
      </c>
      <c r="O237" s="104">
        <f>+E237*L237</f>
        <v>-6375</v>
      </c>
    </row>
    <row r="238" spans="1:15" s="8" customFormat="1" ht="15.75" x14ac:dyDescent="0.25">
      <c r="A238" s="113" t="s">
        <v>466</v>
      </c>
      <c r="B238" s="102">
        <v>44193</v>
      </c>
      <c r="C238" s="9" t="s">
        <v>781</v>
      </c>
      <c r="D238" s="48">
        <v>2</v>
      </c>
      <c r="E238" s="13">
        <v>725</v>
      </c>
      <c r="F238" s="50">
        <f t="shared" si="26"/>
        <v>1450</v>
      </c>
      <c r="G238" s="103"/>
      <c r="H238" s="103"/>
      <c r="I238" s="104"/>
      <c r="J238" s="103"/>
      <c r="K238" s="103"/>
      <c r="L238" s="103">
        <f t="shared" si="25"/>
        <v>2</v>
      </c>
      <c r="M238" s="103"/>
      <c r="N238" s="103" t="s">
        <v>947</v>
      </c>
      <c r="O238" s="104">
        <f t="shared" ref="O238:O267" si="28">+L238*E238</f>
        <v>1450</v>
      </c>
    </row>
    <row r="239" spans="1:15" s="8" customFormat="1" ht="15.75" x14ac:dyDescent="0.25">
      <c r="A239" s="113" t="s">
        <v>467</v>
      </c>
      <c r="B239" s="102">
        <v>44193</v>
      </c>
      <c r="C239" s="9" t="s">
        <v>721</v>
      </c>
      <c r="D239" s="30">
        <v>40</v>
      </c>
      <c r="E239" s="13">
        <v>230</v>
      </c>
      <c r="F239" s="50">
        <f t="shared" si="26"/>
        <v>9200</v>
      </c>
      <c r="G239" s="107">
        <v>44852</v>
      </c>
      <c r="H239" s="103">
        <f>10*10</f>
        <v>100</v>
      </c>
      <c r="I239" s="104">
        <v>326.62</v>
      </c>
      <c r="J239" s="104">
        <f>+I239*H239</f>
        <v>32662</v>
      </c>
      <c r="K239" s="103">
        <f>6+1+1</f>
        <v>8</v>
      </c>
      <c r="L239" s="103">
        <f t="shared" si="25"/>
        <v>132</v>
      </c>
      <c r="M239" s="103" t="s">
        <v>1037</v>
      </c>
      <c r="N239" s="103" t="s">
        <v>947</v>
      </c>
      <c r="O239" s="104">
        <f>+L239*I239</f>
        <v>43113.840000000004</v>
      </c>
    </row>
    <row r="240" spans="1:15" s="8" customFormat="1" ht="15.75" x14ac:dyDescent="0.25">
      <c r="A240" s="113" t="s">
        <v>468</v>
      </c>
      <c r="B240" s="102">
        <v>44193</v>
      </c>
      <c r="C240" s="9" t="s">
        <v>722</v>
      </c>
      <c r="D240" s="48">
        <v>100</v>
      </c>
      <c r="E240" s="13">
        <v>2.25</v>
      </c>
      <c r="F240" s="50">
        <f t="shared" si="26"/>
        <v>225</v>
      </c>
      <c r="G240" s="103"/>
      <c r="H240" s="103"/>
      <c r="I240" s="104"/>
      <c r="J240" s="104">
        <f t="shared" ref="J240:J251" si="29">+I240*H240</f>
        <v>0</v>
      </c>
      <c r="K240" s="103">
        <v>5</v>
      </c>
      <c r="L240" s="103">
        <f t="shared" ref="L240:L303" si="30">+D240+H240-K240</f>
        <v>95</v>
      </c>
      <c r="M240" s="103"/>
      <c r="N240" s="103" t="s">
        <v>947</v>
      </c>
      <c r="O240" s="104">
        <f t="shared" si="28"/>
        <v>213.75</v>
      </c>
    </row>
    <row r="241" spans="1:15" s="105" customFormat="1" ht="15.75" x14ac:dyDescent="0.25">
      <c r="A241" s="113" t="s">
        <v>469</v>
      </c>
      <c r="B241" s="102">
        <v>44193</v>
      </c>
      <c r="C241" s="9" t="s">
        <v>1039</v>
      </c>
      <c r="D241" s="48">
        <v>7</v>
      </c>
      <c r="E241" s="13">
        <v>250</v>
      </c>
      <c r="F241" s="50">
        <f t="shared" si="26"/>
        <v>1750</v>
      </c>
      <c r="G241" s="107">
        <v>44852</v>
      </c>
      <c r="H241" s="103">
        <f>2*10</f>
        <v>20</v>
      </c>
      <c r="I241" s="104">
        <v>428.22</v>
      </c>
      <c r="J241" s="104">
        <f t="shared" si="29"/>
        <v>8564.4000000000015</v>
      </c>
      <c r="K241" s="103"/>
      <c r="L241" s="103">
        <f t="shared" si="30"/>
        <v>27</v>
      </c>
      <c r="M241" s="103" t="s">
        <v>1037</v>
      </c>
      <c r="N241" s="103" t="s">
        <v>947</v>
      </c>
      <c r="O241" s="104">
        <f>+L241*I241</f>
        <v>11561.94</v>
      </c>
    </row>
    <row r="242" spans="1:15" s="8" customFormat="1" ht="15.75" x14ac:dyDescent="0.25">
      <c r="A242" s="113" t="s">
        <v>470</v>
      </c>
      <c r="B242" s="102">
        <v>44193</v>
      </c>
      <c r="C242" s="9" t="s">
        <v>725</v>
      </c>
      <c r="D242" s="48">
        <v>61</v>
      </c>
      <c r="E242" s="13">
        <v>30</v>
      </c>
      <c r="F242" s="50">
        <f t="shared" si="26"/>
        <v>1830</v>
      </c>
      <c r="G242" s="107">
        <v>44852</v>
      </c>
      <c r="H242" s="103">
        <v>2</v>
      </c>
      <c r="I242" s="104">
        <v>21.69</v>
      </c>
      <c r="J242" s="104">
        <f t="shared" si="29"/>
        <v>43.38</v>
      </c>
      <c r="K242" s="103">
        <v>15</v>
      </c>
      <c r="L242" s="103">
        <f t="shared" si="30"/>
        <v>48</v>
      </c>
      <c r="M242" s="103" t="s">
        <v>1037</v>
      </c>
      <c r="N242" s="103" t="s">
        <v>947</v>
      </c>
      <c r="O242" s="104">
        <f>+L242*I242</f>
        <v>1041.1200000000001</v>
      </c>
    </row>
    <row r="243" spans="1:15" s="105" customFormat="1" ht="15.75" x14ac:dyDescent="0.25">
      <c r="A243" s="113" t="s">
        <v>466</v>
      </c>
      <c r="B243" s="102">
        <v>44193</v>
      </c>
      <c r="C243" s="9" t="s">
        <v>781</v>
      </c>
      <c r="D243" s="48">
        <v>2</v>
      </c>
      <c r="E243" s="13">
        <v>725</v>
      </c>
      <c r="F243" s="50">
        <f t="shared" si="26"/>
        <v>1450</v>
      </c>
      <c r="G243" s="107">
        <v>44851</v>
      </c>
      <c r="H243" s="103">
        <v>2</v>
      </c>
      <c r="I243" s="104">
        <v>857.86</v>
      </c>
      <c r="J243" s="103">
        <f>+I243*H243</f>
        <v>1715.72</v>
      </c>
      <c r="K243" s="103"/>
      <c r="L243" s="103">
        <f t="shared" si="30"/>
        <v>4</v>
      </c>
      <c r="M243" s="103" t="s">
        <v>1037</v>
      </c>
      <c r="N243" s="103" t="s">
        <v>947</v>
      </c>
      <c r="O243" s="104">
        <f>+L243*I243</f>
        <v>3431.44</v>
      </c>
    </row>
    <row r="244" spans="1:15" s="8" customFormat="1" ht="15.75" x14ac:dyDescent="0.25">
      <c r="A244" s="113" t="s">
        <v>472</v>
      </c>
      <c r="B244" s="102">
        <v>44652</v>
      </c>
      <c r="C244" s="9" t="s">
        <v>727</v>
      </c>
      <c r="D244" s="14">
        <v>190</v>
      </c>
      <c r="E244" s="13">
        <v>560</v>
      </c>
      <c r="F244" s="50">
        <f t="shared" si="26"/>
        <v>106400</v>
      </c>
      <c r="G244" s="107">
        <v>44778</v>
      </c>
      <c r="H244" s="103">
        <f>70*6</f>
        <v>420</v>
      </c>
      <c r="I244" s="104">
        <f>65254/H244</f>
        <v>155.36666666666667</v>
      </c>
      <c r="J244" s="104">
        <f t="shared" si="29"/>
        <v>65254</v>
      </c>
      <c r="K244" s="103">
        <f>4+4+4+2+4+3+6+6+3+12+4+4+3+6+1+2+4+5+18+24+6+18+4</f>
        <v>147</v>
      </c>
      <c r="L244" s="103">
        <f t="shared" si="30"/>
        <v>463</v>
      </c>
      <c r="M244" s="103" t="s">
        <v>943</v>
      </c>
      <c r="N244" s="103" t="s">
        <v>947</v>
      </c>
      <c r="O244" s="104">
        <f>+L244*I244</f>
        <v>71934.766666666677</v>
      </c>
    </row>
    <row r="245" spans="1:15" s="8" customFormat="1" ht="15.75" x14ac:dyDescent="0.25">
      <c r="A245" s="113" t="s">
        <v>473</v>
      </c>
      <c r="B245" s="106" t="s">
        <v>112</v>
      </c>
      <c r="C245" s="26" t="s">
        <v>752</v>
      </c>
      <c r="D245" s="38">
        <v>3</v>
      </c>
      <c r="E245" s="13">
        <v>135</v>
      </c>
      <c r="F245" s="50">
        <f t="shared" si="26"/>
        <v>405</v>
      </c>
      <c r="G245" s="103"/>
      <c r="H245" s="103"/>
      <c r="I245" s="104"/>
      <c r="J245" s="104">
        <f t="shared" si="29"/>
        <v>0</v>
      </c>
      <c r="K245" s="103"/>
      <c r="L245" s="103">
        <f t="shared" si="30"/>
        <v>3</v>
      </c>
      <c r="M245" s="103"/>
      <c r="N245" s="103" t="s">
        <v>947</v>
      </c>
      <c r="O245" s="104">
        <f t="shared" si="28"/>
        <v>405</v>
      </c>
    </row>
    <row r="246" spans="1:15" s="105" customFormat="1" ht="15.75" x14ac:dyDescent="0.25">
      <c r="A246" s="113" t="s">
        <v>507</v>
      </c>
      <c r="B246" s="102">
        <v>44193</v>
      </c>
      <c r="C246" s="9" t="s">
        <v>728</v>
      </c>
      <c r="D246" s="30">
        <v>0</v>
      </c>
      <c r="E246" s="13">
        <v>62.5</v>
      </c>
      <c r="F246" s="50">
        <f t="shared" si="26"/>
        <v>0</v>
      </c>
      <c r="G246" s="107">
        <v>44852</v>
      </c>
      <c r="H246" s="103">
        <v>5</v>
      </c>
      <c r="I246" s="104">
        <v>206.54</v>
      </c>
      <c r="J246" s="103">
        <f>+I246*H246</f>
        <v>1032.7</v>
      </c>
      <c r="K246" s="103">
        <v>1</v>
      </c>
      <c r="L246" s="103">
        <f t="shared" si="30"/>
        <v>4</v>
      </c>
      <c r="M246" s="103" t="s">
        <v>1037</v>
      </c>
      <c r="N246" s="103" t="s">
        <v>947</v>
      </c>
      <c r="O246" s="104">
        <f>+L246*I246</f>
        <v>826.16</v>
      </c>
    </row>
    <row r="247" spans="1:15" s="8" customFormat="1" ht="15.75" x14ac:dyDescent="0.25">
      <c r="A247" s="113" t="s">
        <v>508</v>
      </c>
      <c r="B247" s="102">
        <v>44193</v>
      </c>
      <c r="C247" s="9" t="s">
        <v>729</v>
      </c>
      <c r="D247" s="30">
        <v>226</v>
      </c>
      <c r="E247" s="13">
        <v>22.2</v>
      </c>
      <c r="F247" s="50">
        <f t="shared" si="26"/>
        <v>5017.2</v>
      </c>
      <c r="G247" s="103"/>
      <c r="H247" s="103"/>
      <c r="I247" s="104"/>
      <c r="J247" s="104">
        <f t="shared" si="29"/>
        <v>0</v>
      </c>
      <c r="K247" s="103"/>
      <c r="L247" s="103">
        <f t="shared" si="30"/>
        <v>226</v>
      </c>
      <c r="M247" s="103"/>
      <c r="N247" s="103" t="s">
        <v>947</v>
      </c>
      <c r="O247" s="104">
        <f t="shared" si="28"/>
        <v>5017.2</v>
      </c>
    </row>
    <row r="248" spans="1:15" s="8" customFormat="1" ht="15.75" x14ac:dyDescent="0.25">
      <c r="A248" s="113" t="s">
        <v>509</v>
      </c>
      <c r="B248" s="102">
        <v>44193</v>
      </c>
      <c r="C248" s="9" t="s">
        <v>730</v>
      </c>
      <c r="D248" s="30">
        <v>2</v>
      </c>
      <c r="E248" s="13">
        <v>375</v>
      </c>
      <c r="F248" s="50">
        <f t="shared" si="26"/>
        <v>750</v>
      </c>
      <c r="G248" s="107">
        <v>44610</v>
      </c>
      <c r="H248" s="103">
        <v>2</v>
      </c>
      <c r="I248" s="104">
        <v>284.99</v>
      </c>
      <c r="J248" s="104">
        <f t="shared" si="29"/>
        <v>569.98</v>
      </c>
      <c r="K248" s="103"/>
      <c r="L248" s="103">
        <f t="shared" si="30"/>
        <v>4</v>
      </c>
      <c r="M248" s="103" t="s">
        <v>1037</v>
      </c>
      <c r="N248" s="103" t="s">
        <v>947</v>
      </c>
      <c r="O248" s="104">
        <f>+L248*I248</f>
        <v>1139.96</v>
      </c>
    </row>
    <row r="249" spans="1:15" s="8" customFormat="1" ht="15.75" x14ac:dyDescent="0.25">
      <c r="A249" s="113" t="s">
        <v>869</v>
      </c>
      <c r="B249" s="102">
        <v>44193</v>
      </c>
      <c r="C249" s="25" t="s">
        <v>825</v>
      </c>
      <c r="D249" s="38">
        <v>11</v>
      </c>
      <c r="E249" s="13">
        <v>301</v>
      </c>
      <c r="F249" s="50">
        <f t="shared" si="26"/>
        <v>3311</v>
      </c>
      <c r="G249" s="103"/>
      <c r="H249" s="103"/>
      <c r="I249" s="104"/>
      <c r="J249" s="104">
        <f t="shared" si="29"/>
        <v>0</v>
      </c>
      <c r="K249" s="103"/>
      <c r="L249" s="103">
        <f t="shared" si="30"/>
        <v>11</v>
      </c>
      <c r="M249" s="103"/>
      <c r="N249" s="103" t="s">
        <v>947</v>
      </c>
      <c r="O249" s="104">
        <f t="shared" si="28"/>
        <v>3311</v>
      </c>
    </row>
    <row r="250" spans="1:15" s="92" customFormat="1" x14ac:dyDescent="0.3">
      <c r="A250" s="113" t="s">
        <v>512</v>
      </c>
      <c r="B250" s="106" t="s">
        <v>106</v>
      </c>
      <c r="C250" s="25" t="s">
        <v>731</v>
      </c>
      <c r="D250" s="30">
        <v>0</v>
      </c>
      <c r="E250" s="51">
        <v>171.6</v>
      </c>
      <c r="F250" s="50">
        <f t="shared" si="26"/>
        <v>0</v>
      </c>
      <c r="G250" s="107">
        <v>44903</v>
      </c>
      <c r="H250" s="103">
        <f>5*48</f>
        <v>240</v>
      </c>
      <c r="I250" s="104">
        <v>56.54</v>
      </c>
      <c r="J250" s="104">
        <f t="shared" si="29"/>
        <v>13569.6</v>
      </c>
      <c r="K250" s="103">
        <f>3+3+3+6+3+3+3+2+4+4+4</f>
        <v>38</v>
      </c>
      <c r="L250" s="103">
        <f t="shared" si="30"/>
        <v>202</v>
      </c>
      <c r="M250" s="103" t="s">
        <v>1006</v>
      </c>
      <c r="N250" s="103" t="s">
        <v>945</v>
      </c>
      <c r="O250" s="104">
        <f t="shared" si="28"/>
        <v>34663.199999999997</v>
      </c>
    </row>
    <row r="251" spans="1:15" s="105" customFormat="1" ht="15.75" x14ac:dyDescent="0.25">
      <c r="A251" s="113" t="s">
        <v>870</v>
      </c>
      <c r="B251" s="102">
        <v>44193</v>
      </c>
      <c r="C251" s="9" t="s">
        <v>950</v>
      </c>
      <c r="D251" s="30">
        <v>12</v>
      </c>
      <c r="E251" s="13">
        <v>65</v>
      </c>
      <c r="F251" s="50">
        <f t="shared" si="26"/>
        <v>780</v>
      </c>
      <c r="G251" s="107">
        <v>44852</v>
      </c>
      <c r="H251" s="103">
        <v>32</v>
      </c>
      <c r="I251" s="104">
        <v>44.54</v>
      </c>
      <c r="J251" s="104">
        <f t="shared" si="29"/>
        <v>1425.28</v>
      </c>
      <c r="K251" s="103">
        <f>4+4</f>
        <v>8</v>
      </c>
      <c r="L251" s="103">
        <f t="shared" si="30"/>
        <v>36</v>
      </c>
      <c r="M251" s="103"/>
      <c r="N251" s="103" t="s">
        <v>945</v>
      </c>
      <c r="O251" s="104">
        <f>+L251*I251</f>
        <v>1603.44</v>
      </c>
    </row>
    <row r="252" spans="1:15" s="92" customFormat="1" x14ac:dyDescent="0.3">
      <c r="A252" s="113" t="s">
        <v>513</v>
      </c>
      <c r="B252" s="102">
        <v>44678</v>
      </c>
      <c r="C252" s="25" t="s">
        <v>853</v>
      </c>
      <c r="D252" s="56">
        <v>16</v>
      </c>
      <c r="E252" s="13">
        <v>3000</v>
      </c>
      <c r="F252" s="50">
        <f t="shared" si="26"/>
        <v>48000</v>
      </c>
      <c r="G252" s="103"/>
      <c r="H252" s="103"/>
      <c r="I252" s="104"/>
      <c r="J252" s="103"/>
      <c r="K252" s="103"/>
      <c r="L252" s="103">
        <f t="shared" si="30"/>
        <v>16</v>
      </c>
      <c r="M252" s="103"/>
      <c r="N252" s="103" t="s">
        <v>945</v>
      </c>
      <c r="O252" s="104">
        <f t="shared" si="28"/>
        <v>48000</v>
      </c>
    </row>
    <row r="253" spans="1:15" s="92" customFormat="1" x14ac:dyDescent="0.3">
      <c r="A253" s="113" t="s">
        <v>514</v>
      </c>
      <c r="B253" s="102">
        <v>44193</v>
      </c>
      <c r="C253" s="25" t="s">
        <v>734</v>
      </c>
      <c r="D253" s="38">
        <v>0</v>
      </c>
      <c r="E253" s="13">
        <v>1500</v>
      </c>
      <c r="F253" s="50">
        <f t="shared" si="26"/>
        <v>0</v>
      </c>
      <c r="G253" s="103"/>
      <c r="H253" s="103"/>
      <c r="I253" s="104"/>
      <c r="J253" s="103"/>
      <c r="K253" s="103"/>
      <c r="L253" s="103">
        <f t="shared" si="30"/>
        <v>0</v>
      </c>
      <c r="M253" s="103"/>
      <c r="N253" s="103" t="s">
        <v>945</v>
      </c>
      <c r="O253" s="104">
        <f t="shared" si="28"/>
        <v>0</v>
      </c>
    </row>
    <row r="254" spans="1:15" s="92" customFormat="1" x14ac:dyDescent="0.3">
      <c r="A254" s="113" t="s">
        <v>871</v>
      </c>
      <c r="B254" s="102">
        <v>44678</v>
      </c>
      <c r="C254" s="25" t="s">
        <v>852</v>
      </c>
      <c r="D254" s="57">
        <v>11</v>
      </c>
      <c r="E254" s="13">
        <v>1500</v>
      </c>
      <c r="F254" s="50">
        <f t="shared" si="26"/>
        <v>16500</v>
      </c>
      <c r="G254" s="103"/>
      <c r="H254" s="103"/>
      <c r="I254" s="104"/>
      <c r="J254" s="103"/>
      <c r="K254" s="103"/>
      <c r="L254" s="103">
        <f t="shared" si="30"/>
        <v>11</v>
      </c>
      <c r="M254" s="103"/>
      <c r="N254" s="103" t="s">
        <v>945</v>
      </c>
      <c r="O254" s="104">
        <f t="shared" si="28"/>
        <v>16500</v>
      </c>
    </row>
    <row r="255" spans="1:15" s="92" customFormat="1" x14ac:dyDescent="0.3">
      <c r="A255" s="113" t="s">
        <v>872</v>
      </c>
      <c r="B255" s="102">
        <v>44678</v>
      </c>
      <c r="C255" s="25" t="s">
        <v>735</v>
      </c>
      <c r="D255" s="57">
        <v>3</v>
      </c>
      <c r="E255" s="13">
        <v>3800</v>
      </c>
      <c r="F255" s="50">
        <f t="shared" si="26"/>
        <v>11400</v>
      </c>
      <c r="G255" s="103"/>
      <c r="H255" s="103"/>
      <c r="I255" s="104"/>
      <c r="J255" s="103"/>
      <c r="K255" s="103"/>
      <c r="L255" s="103">
        <f t="shared" si="30"/>
        <v>3</v>
      </c>
      <c r="M255" s="103"/>
      <c r="N255" s="103" t="s">
        <v>945</v>
      </c>
      <c r="O255" s="104">
        <f t="shared" si="28"/>
        <v>11400</v>
      </c>
    </row>
    <row r="256" spans="1:15" s="92" customFormat="1" x14ac:dyDescent="0.3">
      <c r="A256" s="113" t="s">
        <v>515</v>
      </c>
      <c r="B256" s="102">
        <v>44678</v>
      </c>
      <c r="C256" s="25" t="s">
        <v>737</v>
      </c>
      <c r="D256" s="57">
        <v>2</v>
      </c>
      <c r="E256" s="13">
        <v>1500</v>
      </c>
      <c r="F256" s="50">
        <f t="shared" si="26"/>
        <v>3000</v>
      </c>
      <c r="G256" s="103"/>
      <c r="H256" s="103"/>
      <c r="I256" s="104"/>
      <c r="J256" s="103"/>
      <c r="K256" s="103"/>
      <c r="L256" s="103">
        <f t="shared" si="30"/>
        <v>2</v>
      </c>
      <c r="M256" s="103"/>
      <c r="N256" s="103" t="s">
        <v>945</v>
      </c>
      <c r="O256" s="104">
        <f t="shared" si="28"/>
        <v>3000</v>
      </c>
    </row>
    <row r="257" spans="1:15" s="92" customFormat="1" x14ac:dyDescent="0.3">
      <c r="A257" s="113" t="s">
        <v>516</v>
      </c>
      <c r="B257" s="102">
        <v>44678</v>
      </c>
      <c r="C257" s="25" t="s">
        <v>736</v>
      </c>
      <c r="D257" s="57">
        <v>2</v>
      </c>
      <c r="E257" s="13">
        <v>3800</v>
      </c>
      <c r="F257" s="50">
        <f t="shared" si="26"/>
        <v>7600</v>
      </c>
      <c r="G257" s="103"/>
      <c r="H257" s="103"/>
      <c r="I257" s="104"/>
      <c r="J257" s="103"/>
      <c r="K257" s="103"/>
      <c r="L257" s="103">
        <f t="shared" si="30"/>
        <v>2</v>
      </c>
      <c r="M257" s="103"/>
      <c r="N257" s="103" t="s">
        <v>945</v>
      </c>
      <c r="O257" s="104">
        <f t="shared" si="28"/>
        <v>7600</v>
      </c>
    </row>
    <row r="258" spans="1:15" s="92" customFormat="1" x14ac:dyDescent="0.3">
      <c r="A258" s="113" t="s">
        <v>517</v>
      </c>
      <c r="B258" s="102">
        <v>44678</v>
      </c>
      <c r="C258" s="25" t="s">
        <v>738</v>
      </c>
      <c r="D258" s="57">
        <v>4</v>
      </c>
      <c r="E258" s="13">
        <v>3800</v>
      </c>
      <c r="F258" s="50">
        <f t="shared" si="26"/>
        <v>15200</v>
      </c>
      <c r="G258" s="103"/>
      <c r="H258" s="103"/>
      <c r="I258" s="104"/>
      <c r="J258" s="103"/>
      <c r="K258" s="103"/>
      <c r="L258" s="103">
        <f t="shared" si="30"/>
        <v>4</v>
      </c>
      <c r="M258" s="103"/>
      <c r="N258" s="103" t="s">
        <v>945</v>
      </c>
      <c r="O258" s="104">
        <f t="shared" si="28"/>
        <v>15200</v>
      </c>
    </row>
    <row r="259" spans="1:15" s="92" customFormat="1" x14ac:dyDescent="0.3">
      <c r="A259" s="113" t="s">
        <v>518</v>
      </c>
      <c r="B259" s="102">
        <v>44678</v>
      </c>
      <c r="C259" s="26" t="s">
        <v>751</v>
      </c>
      <c r="D259" s="57">
        <v>16</v>
      </c>
      <c r="E259" s="13">
        <v>3000</v>
      </c>
      <c r="F259" s="50">
        <f t="shared" si="26"/>
        <v>48000</v>
      </c>
      <c r="G259" s="103"/>
      <c r="H259" s="103"/>
      <c r="I259" s="104"/>
      <c r="J259" s="103"/>
      <c r="K259" s="103"/>
      <c r="L259" s="103">
        <f t="shared" si="30"/>
        <v>16</v>
      </c>
      <c r="M259" s="103"/>
      <c r="N259" s="103" t="s">
        <v>945</v>
      </c>
      <c r="O259" s="104">
        <f t="shared" si="28"/>
        <v>48000</v>
      </c>
    </row>
    <row r="260" spans="1:15" s="92" customFormat="1" x14ac:dyDescent="0.3">
      <c r="A260" s="113" t="s">
        <v>519</v>
      </c>
      <c r="B260" s="102">
        <v>44678</v>
      </c>
      <c r="C260" s="25" t="s">
        <v>845</v>
      </c>
      <c r="D260" s="38">
        <v>2</v>
      </c>
      <c r="E260" s="13">
        <v>200</v>
      </c>
      <c r="F260" s="50">
        <f t="shared" si="26"/>
        <v>400</v>
      </c>
      <c r="G260" s="103"/>
      <c r="H260" s="103"/>
      <c r="I260" s="104"/>
      <c r="J260" s="103"/>
      <c r="K260" s="103"/>
      <c r="L260" s="103">
        <f t="shared" si="30"/>
        <v>2</v>
      </c>
      <c r="M260" s="103"/>
      <c r="N260" s="103" t="s">
        <v>945</v>
      </c>
      <c r="O260" s="104">
        <f t="shared" si="28"/>
        <v>400</v>
      </c>
    </row>
    <row r="261" spans="1:15" s="8" customFormat="1" ht="15.75" x14ac:dyDescent="0.25">
      <c r="A261" s="113" t="s">
        <v>520</v>
      </c>
      <c r="B261" s="102">
        <v>44193</v>
      </c>
      <c r="C261" s="9" t="s">
        <v>740</v>
      </c>
      <c r="D261" s="30">
        <v>3</v>
      </c>
      <c r="E261" s="13">
        <v>75</v>
      </c>
      <c r="F261" s="50">
        <f>D261*E261</f>
        <v>225</v>
      </c>
      <c r="G261" s="103"/>
      <c r="H261" s="103"/>
      <c r="I261" s="104"/>
      <c r="J261" s="103"/>
      <c r="K261" s="103"/>
      <c r="L261" s="103">
        <f t="shared" si="30"/>
        <v>3</v>
      </c>
      <c r="M261" s="103"/>
      <c r="N261" s="103" t="s">
        <v>947</v>
      </c>
      <c r="O261" s="104">
        <f t="shared" si="28"/>
        <v>225</v>
      </c>
    </row>
    <row r="262" spans="1:15" s="8" customFormat="1" ht="15.75" x14ac:dyDescent="0.25">
      <c r="A262" s="113" t="s">
        <v>521</v>
      </c>
      <c r="B262" s="102">
        <v>44193</v>
      </c>
      <c r="C262" s="9" t="s">
        <v>739</v>
      </c>
      <c r="D262" s="30">
        <v>300</v>
      </c>
      <c r="E262" s="13">
        <v>29</v>
      </c>
      <c r="F262" s="50">
        <f>D262*E262</f>
        <v>8700</v>
      </c>
      <c r="G262" s="103"/>
      <c r="H262" s="103"/>
      <c r="I262" s="104"/>
      <c r="J262" s="103"/>
      <c r="K262" s="103"/>
      <c r="L262" s="103">
        <f t="shared" si="30"/>
        <v>300</v>
      </c>
      <c r="M262" s="103"/>
      <c r="N262" s="103" t="s">
        <v>947</v>
      </c>
      <c r="O262" s="104">
        <f t="shared" si="28"/>
        <v>8700</v>
      </c>
    </row>
    <row r="263" spans="1:15" s="8" customFormat="1" ht="15.75" x14ac:dyDescent="0.25">
      <c r="A263" s="113" t="s">
        <v>522</v>
      </c>
      <c r="B263" s="102">
        <v>44193</v>
      </c>
      <c r="C263" s="25" t="s">
        <v>826</v>
      </c>
      <c r="D263" s="38">
        <v>16</v>
      </c>
      <c r="E263" s="13">
        <v>143</v>
      </c>
      <c r="F263" s="50">
        <f>D263*E263</f>
        <v>2288</v>
      </c>
      <c r="G263" s="103"/>
      <c r="H263" s="103"/>
      <c r="I263" s="104"/>
      <c r="J263" s="103"/>
      <c r="K263" s="103"/>
      <c r="L263" s="103">
        <f t="shared" si="30"/>
        <v>16</v>
      </c>
      <c r="M263" s="103"/>
      <c r="N263" s="103" t="s">
        <v>946</v>
      </c>
      <c r="O263" s="104">
        <f t="shared" si="28"/>
        <v>2288</v>
      </c>
    </row>
    <row r="264" spans="1:15" s="8" customFormat="1" ht="15.75" x14ac:dyDescent="0.25">
      <c r="A264" s="113" t="s">
        <v>523</v>
      </c>
      <c r="B264" s="102">
        <v>44193</v>
      </c>
      <c r="C264" s="9" t="s">
        <v>741</v>
      </c>
      <c r="D264" s="56">
        <v>112</v>
      </c>
      <c r="E264" s="13">
        <v>8.5</v>
      </c>
      <c r="F264" s="50">
        <f t="shared" ref="F264:F271" si="31">D264*E264</f>
        <v>952</v>
      </c>
      <c r="G264" s="103"/>
      <c r="H264" s="103"/>
      <c r="I264" s="104"/>
      <c r="J264" s="103"/>
      <c r="K264" s="103"/>
      <c r="L264" s="103">
        <f t="shared" si="30"/>
        <v>112</v>
      </c>
      <c r="M264" s="103"/>
      <c r="N264" s="103" t="s">
        <v>947</v>
      </c>
      <c r="O264" s="104">
        <f t="shared" si="28"/>
        <v>952</v>
      </c>
    </row>
    <row r="265" spans="1:15" s="8" customFormat="1" ht="15.75" x14ac:dyDescent="0.25">
      <c r="A265" s="113" t="s">
        <v>524</v>
      </c>
      <c r="B265" s="102">
        <v>44193</v>
      </c>
      <c r="C265" s="9" t="s">
        <v>742</v>
      </c>
      <c r="D265" s="56">
        <v>24</v>
      </c>
      <c r="E265" s="13">
        <v>12</v>
      </c>
      <c r="F265" s="50">
        <f t="shared" si="31"/>
        <v>288</v>
      </c>
      <c r="G265" s="103"/>
      <c r="H265" s="103"/>
      <c r="I265" s="104"/>
      <c r="J265" s="103"/>
      <c r="K265" s="103"/>
      <c r="L265" s="103">
        <f t="shared" si="30"/>
        <v>24</v>
      </c>
      <c r="M265" s="103"/>
      <c r="N265" s="103" t="s">
        <v>947</v>
      </c>
      <c r="O265" s="104">
        <f t="shared" si="28"/>
        <v>288</v>
      </c>
    </row>
    <row r="266" spans="1:15" s="8" customFormat="1" ht="15.75" x14ac:dyDescent="0.25">
      <c r="A266" s="113" t="s">
        <v>525</v>
      </c>
      <c r="B266" s="102">
        <v>44193</v>
      </c>
      <c r="C266" s="9" t="s">
        <v>743</v>
      </c>
      <c r="D266" s="30">
        <v>34</v>
      </c>
      <c r="E266" s="13">
        <v>8</v>
      </c>
      <c r="F266" s="50">
        <f t="shared" si="31"/>
        <v>272</v>
      </c>
      <c r="G266" s="103"/>
      <c r="H266" s="103"/>
      <c r="I266" s="104"/>
      <c r="J266" s="103"/>
      <c r="K266" s="103"/>
      <c r="L266" s="103">
        <f t="shared" si="30"/>
        <v>34</v>
      </c>
      <c r="M266" s="103"/>
      <c r="N266" s="103" t="s">
        <v>947</v>
      </c>
      <c r="O266" s="104">
        <f t="shared" si="28"/>
        <v>272</v>
      </c>
    </row>
    <row r="267" spans="1:15" s="105" customFormat="1" ht="15.75" x14ac:dyDescent="0.25">
      <c r="A267" s="113" t="s">
        <v>526</v>
      </c>
      <c r="B267" s="102">
        <v>44193</v>
      </c>
      <c r="C267" s="9" t="s">
        <v>744</v>
      </c>
      <c r="D267" s="30">
        <v>1</v>
      </c>
      <c r="E267" s="13">
        <v>150</v>
      </c>
      <c r="F267" s="50">
        <f t="shared" si="31"/>
        <v>150</v>
      </c>
      <c r="G267" s="107">
        <v>44852</v>
      </c>
      <c r="H267" s="103">
        <v>5</v>
      </c>
      <c r="I267" s="104">
        <v>91.99</v>
      </c>
      <c r="J267" s="108">
        <f>+H267*I267</f>
        <v>459.95</v>
      </c>
      <c r="K267" s="103"/>
      <c r="L267" s="103">
        <f t="shared" si="30"/>
        <v>6</v>
      </c>
      <c r="M267" s="103" t="s">
        <v>1037</v>
      </c>
      <c r="N267" s="103" t="s">
        <v>947</v>
      </c>
      <c r="O267" s="104">
        <f t="shared" si="28"/>
        <v>900</v>
      </c>
    </row>
    <row r="268" spans="1:15" s="8" customFormat="1" ht="31.5" x14ac:dyDescent="0.25">
      <c r="A268" s="113" t="s">
        <v>527</v>
      </c>
      <c r="B268" s="102">
        <v>44193</v>
      </c>
      <c r="C268" s="9" t="s">
        <v>745</v>
      </c>
      <c r="D268" s="30">
        <v>1</v>
      </c>
      <c r="E268" s="13">
        <v>211.86</v>
      </c>
      <c r="F268" s="50">
        <f t="shared" si="31"/>
        <v>211.86</v>
      </c>
      <c r="G268" s="107">
        <v>44851</v>
      </c>
      <c r="H268" s="103">
        <v>20</v>
      </c>
      <c r="I268" s="104">
        <v>188.21</v>
      </c>
      <c r="J268" s="108">
        <f>+H268*I268</f>
        <v>3764.2000000000003</v>
      </c>
      <c r="K268" s="103"/>
      <c r="L268" s="103">
        <f t="shared" si="30"/>
        <v>21</v>
      </c>
      <c r="M268" s="121" t="s">
        <v>1006</v>
      </c>
      <c r="N268" s="103" t="s">
        <v>946</v>
      </c>
      <c r="O268" s="104">
        <f>+L268*I268</f>
        <v>3952.4100000000003</v>
      </c>
    </row>
    <row r="269" spans="1:15" s="8" customFormat="1" ht="15.75" x14ac:dyDescent="0.25">
      <c r="A269" s="113" t="s">
        <v>528</v>
      </c>
      <c r="B269" s="106" t="s">
        <v>105</v>
      </c>
      <c r="C269" s="9" t="s">
        <v>747</v>
      </c>
      <c r="D269" s="30">
        <f>90+44</f>
        <v>134</v>
      </c>
      <c r="E269" s="13">
        <v>25.42</v>
      </c>
      <c r="F269" s="50">
        <f t="shared" si="31"/>
        <v>3406.28</v>
      </c>
      <c r="G269" s="103"/>
      <c r="H269" s="103"/>
      <c r="I269" s="104"/>
      <c r="J269" s="103"/>
      <c r="K269" s="103"/>
      <c r="L269" s="103">
        <f t="shared" si="30"/>
        <v>134</v>
      </c>
      <c r="M269" s="103"/>
      <c r="N269" s="103" t="s">
        <v>947</v>
      </c>
      <c r="O269" s="104">
        <f t="shared" ref="O269:O274" si="32">+L269*E269</f>
        <v>3406.28</v>
      </c>
    </row>
    <row r="270" spans="1:15" s="8" customFormat="1" ht="15.75" x14ac:dyDescent="0.25">
      <c r="A270" s="113" t="s">
        <v>529</v>
      </c>
      <c r="B270" s="102">
        <v>44193</v>
      </c>
      <c r="C270" s="9" t="s">
        <v>748</v>
      </c>
      <c r="D270" s="30">
        <v>31</v>
      </c>
      <c r="E270" s="13">
        <v>50</v>
      </c>
      <c r="F270" s="50">
        <f t="shared" si="31"/>
        <v>1550</v>
      </c>
      <c r="G270" s="107">
        <v>44852</v>
      </c>
      <c r="H270" s="103">
        <f>10*12</f>
        <v>120</v>
      </c>
      <c r="I270" s="104">
        <v>23.82</v>
      </c>
      <c r="J270" s="108">
        <f>+H270*I270</f>
        <v>2858.4</v>
      </c>
      <c r="K270" s="103"/>
      <c r="L270" s="103">
        <f t="shared" si="30"/>
        <v>151</v>
      </c>
      <c r="M270" s="103" t="s">
        <v>1037</v>
      </c>
      <c r="N270" s="103" t="s">
        <v>947</v>
      </c>
      <c r="O270" s="104">
        <f>+L270*I270</f>
        <v>3596.82</v>
      </c>
    </row>
    <row r="271" spans="1:15" s="8" customFormat="1" ht="15.75" x14ac:dyDescent="0.25">
      <c r="A271" s="113" t="s">
        <v>873</v>
      </c>
      <c r="B271" s="102">
        <v>44193</v>
      </c>
      <c r="C271" s="25" t="s">
        <v>785</v>
      </c>
      <c r="D271" s="38">
        <v>4</v>
      </c>
      <c r="E271" s="13">
        <v>45</v>
      </c>
      <c r="F271" s="50">
        <f t="shared" si="31"/>
        <v>180</v>
      </c>
      <c r="G271" s="103"/>
      <c r="H271" s="103"/>
      <c r="I271" s="104"/>
      <c r="J271" s="103"/>
      <c r="K271" s="103"/>
      <c r="L271" s="103">
        <f t="shared" si="30"/>
        <v>4</v>
      </c>
      <c r="M271" s="103"/>
      <c r="N271" s="103" t="s">
        <v>947</v>
      </c>
      <c r="O271" s="104">
        <f t="shared" si="32"/>
        <v>180</v>
      </c>
    </row>
    <row r="272" spans="1:15" s="8" customFormat="1" ht="15.75" x14ac:dyDescent="0.25">
      <c r="A272" s="113" t="s">
        <v>874</v>
      </c>
      <c r="B272" s="106" t="s">
        <v>105</v>
      </c>
      <c r="C272" s="9" t="s">
        <v>746</v>
      </c>
      <c r="D272" s="30">
        <v>7</v>
      </c>
      <c r="E272" s="51">
        <v>48</v>
      </c>
      <c r="F272" s="50">
        <f>D272*E272</f>
        <v>336</v>
      </c>
      <c r="G272" s="103"/>
      <c r="H272" s="103"/>
      <c r="I272" s="104"/>
      <c r="J272" s="103"/>
      <c r="K272" s="103">
        <f>3+2</f>
        <v>5</v>
      </c>
      <c r="L272" s="103">
        <f t="shared" si="30"/>
        <v>2</v>
      </c>
      <c r="M272" s="103"/>
      <c r="N272" s="103" t="s">
        <v>947</v>
      </c>
      <c r="O272" s="104">
        <f t="shared" si="32"/>
        <v>96</v>
      </c>
    </row>
    <row r="273" spans="1:15" s="8" customFormat="1" ht="15.75" x14ac:dyDescent="0.25">
      <c r="A273" s="113" t="s">
        <v>875</v>
      </c>
      <c r="B273" s="102"/>
      <c r="C273" s="25" t="s">
        <v>815</v>
      </c>
      <c r="D273" s="38">
        <v>6</v>
      </c>
      <c r="E273" s="13"/>
      <c r="F273" s="50"/>
      <c r="G273" s="103"/>
      <c r="H273" s="103"/>
      <c r="I273" s="104"/>
      <c r="J273" s="103"/>
      <c r="K273" s="103"/>
      <c r="L273" s="103">
        <f t="shared" si="30"/>
        <v>6</v>
      </c>
      <c r="M273" s="103"/>
      <c r="N273" s="103" t="s">
        <v>946</v>
      </c>
      <c r="O273" s="104">
        <f t="shared" si="32"/>
        <v>0</v>
      </c>
    </row>
    <row r="274" spans="1:15" s="92" customFormat="1" x14ac:dyDescent="0.3">
      <c r="A274" s="113" t="s">
        <v>876</v>
      </c>
      <c r="B274" s="102">
        <v>44193</v>
      </c>
      <c r="C274" s="26" t="s">
        <v>750</v>
      </c>
      <c r="D274" s="38">
        <v>20</v>
      </c>
      <c r="E274" s="13">
        <v>1449.14</v>
      </c>
      <c r="F274" s="50">
        <f t="shared" ref="F274:F286" si="33">D274*E274</f>
        <v>28982.800000000003</v>
      </c>
      <c r="G274" s="103"/>
      <c r="H274" s="103"/>
      <c r="I274" s="104"/>
      <c r="J274" s="103"/>
      <c r="K274" s="103"/>
      <c r="L274" s="103">
        <f t="shared" si="30"/>
        <v>20</v>
      </c>
      <c r="M274" s="103"/>
      <c r="N274" s="103" t="s">
        <v>945</v>
      </c>
      <c r="O274" s="104">
        <f t="shared" si="32"/>
        <v>28982.800000000003</v>
      </c>
    </row>
    <row r="275" spans="1:15" s="92" customFormat="1" x14ac:dyDescent="0.3">
      <c r="A275" s="113" t="s">
        <v>877</v>
      </c>
      <c r="B275" s="102">
        <v>44193</v>
      </c>
      <c r="C275" s="26" t="s">
        <v>771</v>
      </c>
      <c r="D275" s="38">
        <v>3</v>
      </c>
      <c r="E275" s="13">
        <v>289</v>
      </c>
      <c r="F275" s="50">
        <f t="shared" si="33"/>
        <v>867</v>
      </c>
      <c r="G275" s="107">
        <v>44778</v>
      </c>
      <c r="H275" s="103">
        <v>10</v>
      </c>
      <c r="I275" s="104">
        <v>3481</v>
      </c>
      <c r="J275" s="103">
        <f>+I275/10</f>
        <v>348.1</v>
      </c>
      <c r="K275" s="103"/>
      <c r="L275" s="103">
        <f t="shared" si="30"/>
        <v>13</v>
      </c>
      <c r="M275" s="103" t="s">
        <v>943</v>
      </c>
      <c r="N275" s="103" t="s">
        <v>945</v>
      </c>
      <c r="O275" s="104">
        <f>+L275*I275</f>
        <v>45253</v>
      </c>
    </row>
    <row r="276" spans="1:15" s="8" customFormat="1" ht="15.75" x14ac:dyDescent="0.25">
      <c r="A276" s="113" t="s">
        <v>878</v>
      </c>
      <c r="B276" s="102">
        <v>44193</v>
      </c>
      <c r="C276" s="26" t="s">
        <v>754</v>
      </c>
      <c r="D276" s="38">
        <v>7</v>
      </c>
      <c r="E276" s="13">
        <v>38</v>
      </c>
      <c r="F276" s="50">
        <f t="shared" si="33"/>
        <v>266</v>
      </c>
      <c r="G276" s="103"/>
      <c r="H276" s="103"/>
      <c r="I276" s="104"/>
      <c r="J276" s="103"/>
      <c r="K276" s="103"/>
      <c r="L276" s="103">
        <f t="shared" si="30"/>
        <v>7</v>
      </c>
      <c r="M276" s="103"/>
      <c r="N276" s="103" t="s">
        <v>946</v>
      </c>
      <c r="O276" s="104">
        <f>+L276*E276</f>
        <v>266</v>
      </c>
    </row>
    <row r="277" spans="1:15" s="8" customFormat="1" ht="15.75" x14ac:dyDescent="0.25">
      <c r="A277" s="113" t="s">
        <v>879</v>
      </c>
      <c r="B277" s="106" t="s">
        <v>105</v>
      </c>
      <c r="C277" s="26" t="s">
        <v>753</v>
      </c>
      <c r="D277" s="38">
        <v>12</v>
      </c>
      <c r="E277" s="13">
        <v>38</v>
      </c>
      <c r="F277" s="50">
        <f t="shared" si="33"/>
        <v>456</v>
      </c>
      <c r="G277" s="103"/>
      <c r="H277" s="103"/>
      <c r="I277" s="104"/>
      <c r="J277" s="103"/>
      <c r="K277" s="103"/>
      <c r="L277" s="103">
        <f t="shared" si="30"/>
        <v>12</v>
      </c>
      <c r="M277" s="103"/>
      <c r="N277" s="103" t="s">
        <v>946</v>
      </c>
      <c r="O277" s="104">
        <f t="shared" ref="O277:O302" si="34">+L277*E277</f>
        <v>456</v>
      </c>
    </row>
    <row r="278" spans="1:15" s="8" customFormat="1" ht="15.75" x14ac:dyDescent="0.25">
      <c r="A278" s="113" t="s">
        <v>880</v>
      </c>
      <c r="B278" s="102">
        <v>44193</v>
      </c>
      <c r="C278" s="26" t="s">
        <v>757</v>
      </c>
      <c r="D278" s="38">
        <v>1</v>
      </c>
      <c r="E278" s="13">
        <v>38</v>
      </c>
      <c r="F278" s="50">
        <f t="shared" si="33"/>
        <v>38</v>
      </c>
      <c r="G278" s="103"/>
      <c r="H278" s="103"/>
      <c r="I278" s="104"/>
      <c r="J278" s="103"/>
      <c r="K278" s="103"/>
      <c r="L278" s="103">
        <f t="shared" si="30"/>
        <v>1</v>
      </c>
      <c r="M278" s="103"/>
      <c r="N278" s="103" t="s">
        <v>946</v>
      </c>
      <c r="O278" s="104">
        <f t="shared" si="34"/>
        <v>38</v>
      </c>
    </row>
    <row r="279" spans="1:15" s="8" customFormat="1" ht="15.75" x14ac:dyDescent="0.25">
      <c r="A279" s="113" t="s">
        <v>881</v>
      </c>
      <c r="B279" s="102">
        <v>44193</v>
      </c>
      <c r="C279" s="26" t="s">
        <v>760</v>
      </c>
      <c r="D279" s="38">
        <v>1</v>
      </c>
      <c r="E279" s="13">
        <v>41</v>
      </c>
      <c r="F279" s="50">
        <f t="shared" si="33"/>
        <v>41</v>
      </c>
      <c r="G279" s="103"/>
      <c r="H279" s="103"/>
      <c r="I279" s="104"/>
      <c r="J279" s="103"/>
      <c r="K279" s="103"/>
      <c r="L279" s="103">
        <f t="shared" si="30"/>
        <v>1</v>
      </c>
      <c r="M279" s="103"/>
      <c r="N279" s="103" t="s">
        <v>946</v>
      </c>
      <c r="O279" s="104">
        <f t="shared" si="34"/>
        <v>41</v>
      </c>
    </row>
    <row r="280" spans="1:15" s="8" customFormat="1" ht="15.75" x14ac:dyDescent="0.25">
      <c r="A280" s="113" t="s">
        <v>882</v>
      </c>
      <c r="B280" s="102">
        <v>44193</v>
      </c>
      <c r="C280" s="26" t="s">
        <v>758</v>
      </c>
      <c r="D280" s="38">
        <v>1</v>
      </c>
      <c r="E280" s="13">
        <v>38</v>
      </c>
      <c r="F280" s="50">
        <f t="shared" si="33"/>
        <v>38</v>
      </c>
      <c r="G280" s="103"/>
      <c r="H280" s="103"/>
      <c r="I280" s="104"/>
      <c r="J280" s="103"/>
      <c r="K280" s="103"/>
      <c r="L280" s="103">
        <f t="shared" si="30"/>
        <v>1</v>
      </c>
      <c r="M280" s="103"/>
      <c r="N280" s="103" t="s">
        <v>946</v>
      </c>
      <c r="O280" s="104">
        <f t="shared" si="34"/>
        <v>38</v>
      </c>
    </row>
    <row r="281" spans="1:15" s="8" customFormat="1" ht="15.75" x14ac:dyDescent="0.25">
      <c r="A281" s="113" t="s">
        <v>883</v>
      </c>
      <c r="B281" s="102">
        <v>44193</v>
      </c>
      <c r="C281" s="26" t="s">
        <v>759</v>
      </c>
      <c r="D281" s="38">
        <v>1</v>
      </c>
      <c r="E281" s="13">
        <v>38</v>
      </c>
      <c r="F281" s="50">
        <f t="shared" si="33"/>
        <v>38</v>
      </c>
      <c r="G281" s="103"/>
      <c r="H281" s="103"/>
      <c r="I281" s="104"/>
      <c r="J281" s="103"/>
      <c r="K281" s="103"/>
      <c r="L281" s="103">
        <f t="shared" si="30"/>
        <v>1</v>
      </c>
      <c r="M281" s="103"/>
      <c r="N281" s="103" t="s">
        <v>946</v>
      </c>
      <c r="O281" s="104">
        <f t="shared" si="34"/>
        <v>38</v>
      </c>
    </row>
    <row r="282" spans="1:15" s="8" customFormat="1" ht="15.75" x14ac:dyDescent="0.25">
      <c r="A282" s="113" t="s">
        <v>884</v>
      </c>
      <c r="B282" s="106" t="s">
        <v>105</v>
      </c>
      <c r="C282" s="26" t="s">
        <v>755</v>
      </c>
      <c r="D282" s="38">
        <v>1</v>
      </c>
      <c r="E282" s="13">
        <v>38</v>
      </c>
      <c r="F282" s="50">
        <f t="shared" si="33"/>
        <v>38</v>
      </c>
      <c r="G282" s="103"/>
      <c r="H282" s="103"/>
      <c r="I282" s="104"/>
      <c r="J282" s="103"/>
      <c r="K282" s="103"/>
      <c r="L282" s="103">
        <f t="shared" si="30"/>
        <v>1</v>
      </c>
      <c r="M282" s="103"/>
      <c r="N282" s="103" t="s">
        <v>946</v>
      </c>
      <c r="O282" s="104">
        <f t="shared" si="34"/>
        <v>38</v>
      </c>
    </row>
    <row r="283" spans="1:15" s="8" customFormat="1" ht="15.75" x14ac:dyDescent="0.25">
      <c r="A283" s="113" t="s">
        <v>885</v>
      </c>
      <c r="B283" s="102">
        <v>44193</v>
      </c>
      <c r="C283" s="26" t="s">
        <v>756</v>
      </c>
      <c r="D283" s="38">
        <v>1</v>
      </c>
      <c r="E283" s="13">
        <v>38</v>
      </c>
      <c r="F283" s="50">
        <f t="shared" si="33"/>
        <v>38</v>
      </c>
      <c r="G283" s="103"/>
      <c r="H283" s="103"/>
      <c r="I283" s="104"/>
      <c r="J283" s="103"/>
      <c r="K283" s="103"/>
      <c r="L283" s="103">
        <f t="shared" si="30"/>
        <v>1</v>
      </c>
      <c r="M283" s="103"/>
      <c r="N283" s="103" t="s">
        <v>946</v>
      </c>
      <c r="O283" s="104">
        <f t="shared" si="34"/>
        <v>38</v>
      </c>
    </row>
    <row r="284" spans="1:15" s="8" customFormat="1" ht="15.75" x14ac:dyDescent="0.25">
      <c r="A284" s="113" t="s">
        <v>886</v>
      </c>
      <c r="B284" s="102">
        <v>44193</v>
      </c>
      <c r="C284" s="26" t="s">
        <v>762</v>
      </c>
      <c r="D284" s="38">
        <v>7</v>
      </c>
      <c r="E284" s="13">
        <v>537</v>
      </c>
      <c r="F284" s="50">
        <f t="shared" si="33"/>
        <v>3759</v>
      </c>
      <c r="G284" s="103"/>
      <c r="H284" s="103"/>
      <c r="I284" s="104"/>
      <c r="J284" s="103"/>
      <c r="K284" s="103"/>
      <c r="L284" s="103">
        <f t="shared" si="30"/>
        <v>7</v>
      </c>
      <c r="M284" s="103"/>
      <c r="N284" s="103" t="s">
        <v>946</v>
      </c>
      <c r="O284" s="104">
        <f t="shared" si="34"/>
        <v>3759</v>
      </c>
    </row>
    <row r="285" spans="1:15" s="8" customFormat="1" ht="15.75" x14ac:dyDescent="0.25">
      <c r="A285" s="113" t="s">
        <v>887</v>
      </c>
      <c r="B285" s="102">
        <v>44193</v>
      </c>
      <c r="C285" s="26" t="s">
        <v>761</v>
      </c>
      <c r="D285" s="38">
        <v>3</v>
      </c>
      <c r="E285" s="13">
        <v>537</v>
      </c>
      <c r="F285" s="50">
        <f t="shared" si="33"/>
        <v>1611</v>
      </c>
      <c r="G285" s="103"/>
      <c r="H285" s="103"/>
      <c r="I285" s="104"/>
      <c r="J285" s="103"/>
      <c r="K285" s="103"/>
      <c r="L285" s="103">
        <f t="shared" si="30"/>
        <v>3</v>
      </c>
      <c r="M285" s="103"/>
      <c r="N285" s="103" t="s">
        <v>946</v>
      </c>
      <c r="O285" s="104">
        <f t="shared" si="34"/>
        <v>1611</v>
      </c>
    </row>
    <row r="286" spans="1:15" s="8" customFormat="1" ht="15.75" x14ac:dyDescent="0.25">
      <c r="A286" s="113" t="s">
        <v>888</v>
      </c>
      <c r="B286" s="102">
        <v>44193</v>
      </c>
      <c r="C286" s="9" t="s">
        <v>763</v>
      </c>
      <c r="D286" s="30">
        <v>13</v>
      </c>
      <c r="E286" s="13">
        <v>13.87</v>
      </c>
      <c r="F286" s="50">
        <f t="shared" si="33"/>
        <v>180.31</v>
      </c>
      <c r="G286" s="103"/>
      <c r="H286" s="103"/>
      <c r="I286" s="104"/>
      <c r="J286" s="103"/>
      <c r="K286" s="103"/>
      <c r="L286" s="103">
        <f t="shared" si="30"/>
        <v>13</v>
      </c>
      <c r="M286" s="103"/>
      <c r="N286" s="103" t="s">
        <v>947</v>
      </c>
      <c r="O286" s="104">
        <f t="shared" si="34"/>
        <v>180.31</v>
      </c>
    </row>
    <row r="287" spans="1:15" s="8" customFormat="1" ht="15.75" x14ac:dyDescent="0.25">
      <c r="A287" s="113" t="s">
        <v>889</v>
      </c>
      <c r="B287" s="102"/>
      <c r="C287" s="25" t="s">
        <v>814</v>
      </c>
      <c r="D287" s="38">
        <v>5</v>
      </c>
      <c r="E287" s="13"/>
      <c r="F287" s="50"/>
      <c r="G287" s="103"/>
      <c r="H287" s="103"/>
      <c r="I287" s="104"/>
      <c r="J287" s="103"/>
      <c r="K287" s="103"/>
      <c r="L287" s="103">
        <f t="shared" si="30"/>
        <v>5</v>
      </c>
      <c r="M287" s="103"/>
      <c r="N287" s="103" t="s">
        <v>946</v>
      </c>
      <c r="O287" s="104">
        <f>+L287*E287</f>
        <v>0</v>
      </c>
    </row>
    <row r="288" spans="1:15" s="8" customFormat="1" ht="15.75" x14ac:dyDescent="0.25">
      <c r="A288" s="113" t="s">
        <v>890</v>
      </c>
      <c r="B288" s="102"/>
      <c r="C288" s="25" t="s">
        <v>805</v>
      </c>
      <c r="D288" s="38">
        <v>9</v>
      </c>
      <c r="E288" s="13"/>
      <c r="F288" s="50"/>
      <c r="G288" s="103"/>
      <c r="H288" s="103"/>
      <c r="I288" s="104"/>
      <c r="J288" s="103"/>
      <c r="K288" s="103"/>
      <c r="L288" s="103">
        <f t="shared" si="30"/>
        <v>9</v>
      </c>
      <c r="M288" s="103"/>
      <c r="N288" s="103" t="s">
        <v>946</v>
      </c>
      <c r="O288" s="104">
        <f t="shared" si="34"/>
        <v>0</v>
      </c>
    </row>
    <row r="289" spans="1:15" s="105" customFormat="1" ht="15.75" x14ac:dyDescent="0.25">
      <c r="A289" s="113" t="s">
        <v>891</v>
      </c>
      <c r="B289" s="102"/>
      <c r="C289" s="25" t="s">
        <v>784</v>
      </c>
      <c r="D289" s="38">
        <v>29</v>
      </c>
      <c r="E289" s="13"/>
      <c r="F289" s="50"/>
      <c r="G289" s="107">
        <v>44852</v>
      </c>
      <c r="H289" s="103">
        <v>15</v>
      </c>
      <c r="I289" s="104">
        <v>25.52</v>
      </c>
      <c r="J289" s="108">
        <f>+H289*I289</f>
        <v>382.8</v>
      </c>
      <c r="K289" s="103">
        <v>1</v>
      </c>
      <c r="L289" s="103">
        <f t="shared" si="30"/>
        <v>43</v>
      </c>
      <c r="M289" s="103" t="s">
        <v>1037</v>
      </c>
      <c r="N289" s="103" t="s">
        <v>947</v>
      </c>
      <c r="O289" s="104">
        <f>+L289*I289</f>
        <v>1097.3599999999999</v>
      </c>
    </row>
    <row r="290" spans="1:15" s="105" customFormat="1" ht="15.75" x14ac:dyDescent="0.25">
      <c r="A290" s="113" t="s">
        <v>892</v>
      </c>
      <c r="B290" s="102">
        <v>44729</v>
      </c>
      <c r="C290" s="25" t="s">
        <v>860</v>
      </c>
      <c r="D290" s="38">
        <v>12</v>
      </c>
      <c r="E290" s="13">
        <v>1637.5</v>
      </c>
      <c r="F290" s="50">
        <f>+D290*E290</f>
        <v>19650</v>
      </c>
      <c r="G290" s="103"/>
      <c r="H290" s="103"/>
      <c r="I290" s="104"/>
      <c r="J290" s="103"/>
      <c r="K290" s="103"/>
      <c r="L290" s="103">
        <f t="shared" si="30"/>
        <v>12</v>
      </c>
      <c r="M290" s="103"/>
      <c r="N290" s="103" t="s">
        <v>946</v>
      </c>
      <c r="O290" s="104">
        <f t="shared" ref="O290" si="35">+L290*E290</f>
        <v>19650</v>
      </c>
    </row>
    <row r="291" spans="1:15" s="92" customFormat="1" x14ac:dyDescent="0.3">
      <c r="A291" s="113" t="s">
        <v>893</v>
      </c>
      <c r="B291" s="102">
        <v>44652</v>
      </c>
      <c r="C291" s="25" t="s">
        <v>859</v>
      </c>
      <c r="D291" s="38">
        <f>11+6+12+11</f>
        <v>40</v>
      </c>
      <c r="E291" s="13">
        <v>159</v>
      </c>
      <c r="F291" s="50">
        <f>+D291*E291</f>
        <v>6360</v>
      </c>
      <c r="G291" s="103"/>
      <c r="H291" s="103"/>
      <c r="I291" s="104"/>
      <c r="J291" s="103"/>
      <c r="K291" s="103">
        <f>3+1+1+1</f>
        <v>6</v>
      </c>
      <c r="L291" s="103">
        <f t="shared" si="30"/>
        <v>34</v>
      </c>
      <c r="M291" s="103"/>
      <c r="N291" s="103" t="s">
        <v>945</v>
      </c>
      <c r="O291" s="104">
        <f t="shared" si="34"/>
        <v>5406</v>
      </c>
    </row>
    <row r="292" spans="1:15" s="92" customFormat="1" x14ac:dyDescent="0.3">
      <c r="A292" s="113" t="s">
        <v>894</v>
      </c>
      <c r="B292" s="102">
        <v>44652</v>
      </c>
      <c r="C292" s="25" t="s">
        <v>858</v>
      </c>
      <c r="D292" s="38">
        <v>11</v>
      </c>
      <c r="E292" s="13"/>
      <c r="F292" s="50">
        <f>+D292*E292</f>
        <v>0</v>
      </c>
      <c r="G292" s="103"/>
      <c r="H292" s="103"/>
      <c r="I292" s="104"/>
      <c r="J292" s="103"/>
      <c r="K292" s="103"/>
      <c r="L292" s="103">
        <f t="shared" si="30"/>
        <v>11</v>
      </c>
      <c r="M292" s="103"/>
      <c r="N292" s="103" t="s">
        <v>945</v>
      </c>
      <c r="O292" s="104">
        <f t="shared" si="34"/>
        <v>0</v>
      </c>
    </row>
    <row r="293" spans="1:15" s="92" customFormat="1" x14ac:dyDescent="0.3">
      <c r="A293" s="113" t="s">
        <v>895</v>
      </c>
      <c r="B293" s="102">
        <v>44652</v>
      </c>
      <c r="C293" s="25" t="s">
        <v>920</v>
      </c>
      <c r="D293" s="38">
        <f>9+11+7</f>
        <v>27</v>
      </c>
      <c r="E293" s="13">
        <v>145</v>
      </c>
      <c r="F293" s="50">
        <f>+D293*E293</f>
        <v>3915</v>
      </c>
      <c r="G293" s="103"/>
      <c r="H293" s="103"/>
      <c r="I293" s="104"/>
      <c r="J293" s="103"/>
      <c r="K293" s="103">
        <v>1</v>
      </c>
      <c r="L293" s="103">
        <f t="shared" si="30"/>
        <v>26</v>
      </c>
      <c r="M293" s="103"/>
      <c r="N293" s="103" t="s">
        <v>945</v>
      </c>
      <c r="O293" s="104">
        <f t="shared" si="34"/>
        <v>3770</v>
      </c>
    </row>
    <row r="294" spans="1:15" s="8" customFormat="1" ht="15.75" x14ac:dyDescent="0.25">
      <c r="A294" s="113" t="s">
        <v>896</v>
      </c>
      <c r="B294" s="102"/>
      <c r="C294" s="25" t="s">
        <v>795</v>
      </c>
      <c r="D294" s="38">
        <v>29</v>
      </c>
      <c r="E294" s="13">
        <v>29.35</v>
      </c>
      <c r="F294" s="50">
        <f t="shared" ref="F294:F310" si="36">+D294*E294</f>
        <v>851.15000000000009</v>
      </c>
      <c r="G294" s="103"/>
      <c r="H294" s="103"/>
      <c r="I294" s="104"/>
      <c r="J294" s="103"/>
      <c r="K294" s="103"/>
      <c r="L294" s="103">
        <f t="shared" si="30"/>
        <v>29</v>
      </c>
      <c r="M294" s="103"/>
      <c r="N294" s="103" t="s">
        <v>946</v>
      </c>
      <c r="O294" s="104">
        <f t="shared" si="34"/>
        <v>851.15000000000009</v>
      </c>
    </row>
    <row r="295" spans="1:15" s="8" customFormat="1" ht="15.75" x14ac:dyDescent="0.25">
      <c r="A295" s="113" t="s">
        <v>897</v>
      </c>
      <c r="B295" s="102"/>
      <c r="C295" s="25" t="s">
        <v>843</v>
      </c>
      <c r="D295" s="38">
        <v>8</v>
      </c>
      <c r="E295" s="13"/>
      <c r="F295" s="50">
        <f t="shared" si="36"/>
        <v>0</v>
      </c>
      <c r="G295" s="103"/>
      <c r="H295" s="103"/>
      <c r="I295" s="104"/>
      <c r="J295" s="103"/>
      <c r="K295" s="103"/>
      <c r="L295" s="103">
        <f t="shared" si="30"/>
        <v>8</v>
      </c>
      <c r="M295" s="103"/>
      <c r="N295" s="103" t="s">
        <v>946</v>
      </c>
      <c r="O295" s="104">
        <f t="shared" si="34"/>
        <v>0</v>
      </c>
    </row>
    <row r="296" spans="1:15" s="8" customFormat="1" ht="15.75" x14ac:dyDescent="0.25">
      <c r="A296" s="113" t="s">
        <v>898</v>
      </c>
      <c r="B296" s="102"/>
      <c r="C296" s="25" t="s">
        <v>793</v>
      </c>
      <c r="D296" s="38">
        <f>3+1</f>
        <v>4</v>
      </c>
      <c r="E296" s="13"/>
      <c r="F296" s="50">
        <f t="shared" si="36"/>
        <v>0</v>
      </c>
      <c r="G296" s="103"/>
      <c r="H296" s="103"/>
      <c r="I296" s="104"/>
      <c r="J296" s="103"/>
      <c r="K296" s="103">
        <v>1</v>
      </c>
      <c r="L296" s="103">
        <f t="shared" si="30"/>
        <v>3</v>
      </c>
      <c r="M296" s="103"/>
      <c r="N296" s="103" t="s">
        <v>946</v>
      </c>
      <c r="O296" s="104">
        <f t="shared" si="34"/>
        <v>0</v>
      </c>
    </row>
    <row r="297" spans="1:15" s="8" customFormat="1" ht="15.75" x14ac:dyDescent="0.25">
      <c r="A297" s="113" t="s">
        <v>899</v>
      </c>
      <c r="B297" s="102"/>
      <c r="C297" s="25" t="s">
        <v>842</v>
      </c>
      <c r="D297" s="38">
        <v>2</v>
      </c>
      <c r="E297" s="13"/>
      <c r="F297" s="50">
        <f t="shared" si="36"/>
        <v>0</v>
      </c>
      <c r="G297" s="103"/>
      <c r="H297" s="103"/>
      <c r="I297" s="104"/>
      <c r="J297" s="103"/>
      <c r="K297" s="103"/>
      <c r="L297" s="103">
        <f t="shared" si="30"/>
        <v>2</v>
      </c>
      <c r="M297" s="103"/>
      <c r="N297" s="103" t="s">
        <v>946</v>
      </c>
      <c r="O297" s="104">
        <f t="shared" si="34"/>
        <v>0</v>
      </c>
    </row>
    <row r="298" spans="1:15" s="8" customFormat="1" ht="15.75" x14ac:dyDescent="0.25">
      <c r="A298" s="113" t="s">
        <v>900</v>
      </c>
      <c r="B298" s="102">
        <v>44193</v>
      </c>
      <c r="C298" s="25" t="s">
        <v>841</v>
      </c>
      <c r="D298" s="38">
        <v>1</v>
      </c>
      <c r="E298" s="13">
        <v>18.86</v>
      </c>
      <c r="F298" s="50">
        <f t="shared" si="36"/>
        <v>18.86</v>
      </c>
      <c r="G298" s="103"/>
      <c r="H298" s="103"/>
      <c r="I298" s="104"/>
      <c r="J298" s="103"/>
      <c r="K298" s="103"/>
      <c r="L298" s="103">
        <f t="shared" si="30"/>
        <v>1</v>
      </c>
      <c r="M298" s="103"/>
      <c r="N298" s="103" t="s">
        <v>946</v>
      </c>
      <c r="O298" s="104">
        <f>+L298*E298</f>
        <v>18.86</v>
      </c>
    </row>
    <row r="299" spans="1:15" s="8" customFormat="1" ht="15.75" x14ac:dyDescent="0.25">
      <c r="A299" s="113" t="s">
        <v>901</v>
      </c>
      <c r="B299" s="102">
        <v>44193</v>
      </c>
      <c r="C299" s="25" t="s">
        <v>848</v>
      </c>
      <c r="D299" s="38">
        <v>1</v>
      </c>
      <c r="E299" s="13"/>
      <c r="F299" s="50">
        <f t="shared" si="36"/>
        <v>0</v>
      </c>
      <c r="G299" s="103"/>
      <c r="H299" s="103"/>
      <c r="I299" s="104"/>
      <c r="J299" s="103"/>
      <c r="K299" s="103"/>
      <c r="L299" s="103">
        <f t="shared" si="30"/>
        <v>1</v>
      </c>
      <c r="M299" s="103"/>
      <c r="N299" s="103" t="s">
        <v>946</v>
      </c>
      <c r="O299" s="104">
        <f t="shared" si="34"/>
        <v>0</v>
      </c>
    </row>
    <row r="300" spans="1:15" s="8" customFormat="1" ht="15.75" x14ac:dyDescent="0.25">
      <c r="A300" s="113" t="s">
        <v>902</v>
      </c>
      <c r="B300" s="102">
        <v>44193</v>
      </c>
      <c r="C300" s="25" t="s">
        <v>839</v>
      </c>
      <c r="D300" s="38">
        <v>7</v>
      </c>
      <c r="E300" s="13"/>
      <c r="F300" s="50">
        <f t="shared" si="36"/>
        <v>0</v>
      </c>
      <c r="G300" s="103"/>
      <c r="H300" s="103"/>
      <c r="I300" s="104"/>
      <c r="J300" s="103"/>
      <c r="K300" s="103"/>
      <c r="L300" s="103">
        <f t="shared" si="30"/>
        <v>7</v>
      </c>
      <c r="M300" s="103"/>
      <c r="N300" s="103" t="s">
        <v>946</v>
      </c>
      <c r="O300" s="104">
        <f t="shared" si="34"/>
        <v>0</v>
      </c>
    </row>
    <row r="301" spans="1:15" s="8" customFormat="1" ht="15.75" x14ac:dyDescent="0.25">
      <c r="A301" s="113" t="s">
        <v>903</v>
      </c>
      <c r="B301" s="102">
        <v>44193</v>
      </c>
      <c r="C301" s="25" t="s">
        <v>867</v>
      </c>
      <c r="D301" s="38">
        <v>6</v>
      </c>
      <c r="E301" s="13">
        <v>176</v>
      </c>
      <c r="F301" s="50">
        <f t="shared" si="36"/>
        <v>1056</v>
      </c>
      <c r="G301" s="103"/>
      <c r="H301" s="103"/>
      <c r="I301" s="104"/>
      <c r="J301" s="103"/>
      <c r="K301" s="103"/>
      <c r="L301" s="103">
        <f t="shared" si="30"/>
        <v>6</v>
      </c>
      <c r="M301" s="103"/>
      <c r="N301" s="103" t="s">
        <v>947</v>
      </c>
      <c r="O301" s="104">
        <f t="shared" si="34"/>
        <v>1056</v>
      </c>
    </row>
    <row r="302" spans="1:15" s="8" customFormat="1" ht="15.75" x14ac:dyDescent="0.25">
      <c r="A302" s="113" t="s">
        <v>904</v>
      </c>
      <c r="B302" s="102">
        <v>44193</v>
      </c>
      <c r="C302" s="25" t="s">
        <v>798</v>
      </c>
      <c r="D302" s="38">
        <v>3</v>
      </c>
      <c r="E302" s="13">
        <v>234</v>
      </c>
      <c r="F302" s="50">
        <f t="shared" si="36"/>
        <v>702</v>
      </c>
      <c r="G302" s="103"/>
      <c r="H302" s="103"/>
      <c r="I302" s="104"/>
      <c r="J302" s="103"/>
      <c r="K302" s="103"/>
      <c r="L302" s="103">
        <f t="shared" si="30"/>
        <v>3</v>
      </c>
      <c r="M302" s="103"/>
      <c r="N302" s="103" t="s">
        <v>946</v>
      </c>
      <c r="O302" s="104">
        <f t="shared" si="34"/>
        <v>702</v>
      </c>
    </row>
    <row r="303" spans="1:15" s="92" customFormat="1" x14ac:dyDescent="0.3">
      <c r="A303" s="113" t="s">
        <v>905</v>
      </c>
      <c r="B303" s="102">
        <v>44193</v>
      </c>
      <c r="C303" s="25" t="s">
        <v>764</v>
      </c>
      <c r="D303" s="38">
        <v>0</v>
      </c>
      <c r="E303" s="13">
        <v>39</v>
      </c>
      <c r="F303" s="50">
        <f t="shared" si="36"/>
        <v>0</v>
      </c>
      <c r="G303" s="107">
        <v>44755</v>
      </c>
      <c r="H303" s="103">
        <v>25</v>
      </c>
      <c r="I303" s="104">
        <v>50.84</v>
      </c>
      <c r="J303" s="108">
        <f>+H303*I303</f>
        <v>1271</v>
      </c>
      <c r="K303" s="38">
        <f>1+1+2+1+1</f>
        <v>6</v>
      </c>
      <c r="L303" s="103">
        <f t="shared" si="30"/>
        <v>19</v>
      </c>
      <c r="M303" s="103" t="s">
        <v>928</v>
      </c>
      <c r="N303" s="103" t="s">
        <v>945</v>
      </c>
      <c r="O303" s="104">
        <f>+L303*I303</f>
        <v>965.96</v>
      </c>
    </row>
    <row r="304" spans="1:15" s="8" customFormat="1" ht="15.75" x14ac:dyDescent="0.25">
      <c r="A304" s="113" t="s">
        <v>906</v>
      </c>
      <c r="B304" s="102"/>
      <c r="C304" s="25" t="s">
        <v>799</v>
      </c>
      <c r="D304" s="38">
        <v>120</v>
      </c>
      <c r="E304" s="13"/>
      <c r="F304" s="50">
        <f t="shared" si="36"/>
        <v>0</v>
      </c>
      <c r="G304" s="103"/>
      <c r="H304" s="103"/>
      <c r="I304" s="104"/>
      <c r="J304" s="103"/>
      <c r="K304" s="103"/>
      <c r="L304" s="103">
        <f t="shared" ref="L304:L367" si="37">+D304+H304-K304</f>
        <v>120</v>
      </c>
      <c r="M304" s="103"/>
      <c r="N304" s="103" t="s">
        <v>946</v>
      </c>
      <c r="O304" s="104">
        <f>+L304*E304</f>
        <v>0</v>
      </c>
    </row>
    <row r="305" spans="1:15" s="8" customFormat="1" ht="15.75" x14ac:dyDescent="0.25">
      <c r="A305" s="113" t="s">
        <v>907</v>
      </c>
      <c r="B305" s="102"/>
      <c r="C305" s="25" t="s">
        <v>824</v>
      </c>
      <c r="D305" s="38">
        <v>15</v>
      </c>
      <c r="E305" s="13"/>
      <c r="F305" s="50">
        <f t="shared" si="36"/>
        <v>0</v>
      </c>
      <c r="G305" s="107"/>
      <c r="H305" s="103"/>
      <c r="I305" s="104"/>
      <c r="J305" s="108"/>
      <c r="K305" s="108"/>
      <c r="L305" s="103">
        <f t="shared" si="37"/>
        <v>15</v>
      </c>
      <c r="M305" s="103"/>
      <c r="N305" s="103" t="s">
        <v>946</v>
      </c>
      <c r="O305" s="104">
        <f t="shared" ref="O305:O322" si="38">+L305*E305</f>
        <v>0</v>
      </c>
    </row>
    <row r="306" spans="1:15" s="8" customFormat="1" ht="15.75" x14ac:dyDescent="0.25">
      <c r="A306" s="113" t="s">
        <v>908</v>
      </c>
      <c r="B306" s="102"/>
      <c r="C306" s="25" t="s">
        <v>837</v>
      </c>
      <c r="D306" s="38">
        <v>9</v>
      </c>
      <c r="E306" s="13"/>
      <c r="F306" s="50">
        <f t="shared" si="36"/>
        <v>0</v>
      </c>
      <c r="G306" s="103"/>
      <c r="H306" s="103"/>
      <c r="I306" s="104"/>
      <c r="J306" s="103"/>
      <c r="K306" s="103"/>
      <c r="L306" s="103">
        <f t="shared" si="37"/>
        <v>9</v>
      </c>
      <c r="M306" s="103"/>
      <c r="N306" s="103" t="s">
        <v>946</v>
      </c>
      <c r="O306" s="104">
        <f t="shared" si="38"/>
        <v>0</v>
      </c>
    </row>
    <row r="307" spans="1:15" s="8" customFormat="1" ht="15.75" x14ac:dyDescent="0.25">
      <c r="A307" s="113" t="s">
        <v>909</v>
      </c>
      <c r="B307" s="102"/>
      <c r="C307" s="25" t="s">
        <v>792</v>
      </c>
      <c r="D307" s="38">
        <v>19</v>
      </c>
      <c r="E307" s="13"/>
      <c r="F307" s="50">
        <f t="shared" si="36"/>
        <v>0</v>
      </c>
      <c r="G307" s="103"/>
      <c r="H307" s="103"/>
      <c r="I307" s="104"/>
      <c r="J307" s="103"/>
      <c r="K307" s="103"/>
      <c r="L307" s="103">
        <f t="shared" si="37"/>
        <v>19</v>
      </c>
      <c r="M307" s="103"/>
      <c r="N307" s="103" t="s">
        <v>946</v>
      </c>
      <c r="O307" s="104">
        <f t="shared" si="38"/>
        <v>0</v>
      </c>
    </row>
    <row r="308" spans="1:15" s="8" customFormat="1" ht="15.75" x14ac:dyDescent="0.25">
      <c r="A308" s="113" t="s">
        <v>910</v>
      </c>
      <c r="B308" s="102"/>
      <c r="C308" s="25" t="s">
        <v>329</v>
      </c>
      <c r="D308" s="38">
        <v>21</v>
      </c>
      <c r="E308" s="13"/>
      <c r="F308" s="50">
        <f t="shared" si="36"/>
        <v>0</v>
      </c>
      <c r="G308" s="103"/>
      <c r="H308" s="103"/>
      <c r="I308" s="104"/>
      <c r="J308" s="103"/>
      <c r="K308" s="103"/>
      <c r="L308" s="103">
        <f t="shared" si="37"/>
        <v>21</v>
      </c>
      <c r="M308" s="103"/>
      <c r="N308" s="103" t="s">
        <v>946</v>
      </c>
      <c r="O308" s="104">
        <f t="shared" si="38"/>
        <v>0</v>
      </c>
    </row>
    <row r="309" spans="1:15" s="8" customFormat="1" ht="15.75" x14ac:dyDescent="0.25">
      <c r="A309" s="113" t="s">
        <v>911</v>
      </c>
      <c r="B309" s="102"/>
      <c r="C309" s="25" t="s">
        <v>330</v>
      </c>
      <c r="D309" s="38">
        <f>2+18</f>
        <v>20</v>
      </c>
      <c r="E309" s="13"/>
      <c r="F309" s="50">
        <f t="shared" si="36"/>
        <v>0</v>
      </c>
      <c r="G309" s="103"/>
      <c r="H309" s="103"/>
      <c r="I309" s="104"/>
      <c r="J309" s="103"/>
      <c r="K309" s="103"/>
      <c r="L309" s="103">
        <f t="shared" si="37"/>
        <v>20</v>
      </c>
      <c r="M309" s="103"/>
      <c r="N309" s="103" t="s">
        <v>946</v>
      </c>
      <c r="O309" s="104">
        <f t="shared" si="38"/>
        <v>0</v>
      </c>
    </row>
    <row r="310" spans="1:15" s="8" customFormat="1" ht="15.75" x14ac:dyDescent="0.25">
      <c r="A310" s="113" t="s">
        <v>912</v>
      </c>
      <c r="B310" s="102">
        <v>44193</v>
      </c>
      <c r="C310" s="25" t="s">
        <v>836</v>
      </c>
      <c r="D310" s="38">
        <v>19</v>
      </c>
      <c r="E310" s="13">
        <v>30</v>
      </c>
      <c r="F310" s="50">
        <f t="shared" si="36"/>
        <v>570</v>
      </c>
      <c r="G310" s="103"/>
      <c r="H310" s="103"/>
      <c r="I310" s="104"/>
      <c r="J310" s="103"/>
      <c r="K310" s="103"/>
      <c r="L310" s="103">
        <f t="shared" si="37"/>
        <v>19</v>
      </c>
      <c r="M310" s="103"/>
      <c r="N310" s="103" t="s">
        <v>946</v>
      </c>
      <c r="O310" s="104">
        <f t="shared" si="38"/>
        <v>570</v>
      </c>
    </row>
    <row r="311" spans="1:15" s="8" customFormat="1" ht="15.75" x14ac:dyDescent="0.25">
      <c r="A311" s="113" t="s">
        <v>530</v>
      </c>
      <c r="B311" s="102">
        <v>44193</v>
      </c>
      <c r="C311" s="25" t="s">
        <v>810</v>
      </c>
      <c r="D311" s="38">
        <v>6</v>
      </c>
      <c r="E311" s="13">
        <v>299.72000000000003</v>
      </c>
      <c r="F311" s="50">
        <f>+D311*E311</f>
        <v>1798.3200000000002</v>
      </c>
      <c r="G311" s="103"/>
      <c r="H311" s="103"/>
      <c r="I311" s="104"/>
      <c r="J311" s="103"/>
      <c r="K311" s="103"/>
      <c r="L311" s="103">
        <f t="shared" si="37"/>
        <v>6</v>
      </c>
      <c r="M311" s="103"/>
      <c r="N311" s="103" t="s">
        <v>946</v>
      </c>
      <c r="O311" s="104">
        <f t="shared" si="38"/>
        <v>1798.3200000000002</v>
      </c>
    </row>
    <row r="312" spans="1:15" s="8" customFormat="1" ht="15.75" x14ac:dyDescent="0.25">
      <c r="A312" s="113" t="s">
        <v>916</v>
      </c>
      <c r="B312" s="102"/>
      <c r="C312" s="25" t="s">
        <v>836</v>
      </c>
      <c r="D312" s="38">
        <v>19</v>
      </c>
      <c r="E312" s="13"/>
      <c r="F312" s="50"/>
      <c r="G312" s="103"/>
      <c r="H312" s="103"/>
      <c r="I312" s="104"/>
      <c r="J312" s="103"/>
      <c r="K312" s="103"/>
      <c r="L312" s="103">
        <f t="shared" si="37"/>
        <v>19</v>
      </c>
      <c r="M312" s="103"/>
      <c r="N312" s="103" t="s">
        <v>946</v>
      </c>
      <c r="O312" s="104">
        <f t="shared" si="38"/>
        <v>0</v>
      </c>
    </row>
    <row r="313" spans="1:15" s="92" customFormat="1" x14ac:dyDescent="0.3">
      <c r="A313" s="113" t="s">
        <v>917</v>
      </c>
      <c r="B313" s="102"/>
      <c r="C313" s="25" t="s">
        <v>918</v>
      </c>
      <c r="D313" s="38">
        <v>5</v>
      </c>
      <c r="E313" s="13"/>
      <c r="F313" s="50"/>
      <c r="G313" s="103"/>
      <c r="H313" s="103"/>
      <c r="I313" s="104"/>
      <c r="J313" s="103"/>
      <c r="K313" s="103"/>
      <c r="L313" s="103">
        <f t="shared" si="37"/>
        <v>5</v>
      </c>
      <c r="M313" s="103"/>
      <c r="N313" s="103" t="s">
        <v>945</v>
      </c>
      <c r="O313" s="104">
        <f t="shared" si="38"/>
        <v>0</v>
      </c>
    </row>
    <row r="314" spans="1:15" s="92" customFormat="1" x14ac:dyDescent="0.3">
      <c r="A314" s="113" t="s">
        <v>921</v>
      </c>
      <c r="B314" s="102"/>
      <c r="C314" s="25" t="s">
        <v>919</v>
      </c>
      <c r="D314" s="38">
        <f>12+10+11</f>
        <v>33</v>
      </c>
      <c r="E314" s="13">
        <v>150</v>
      </c>
      <c r="F314" s="50"/>
      <c r="G314" s="103"/>
      <c r="H314" s="103"/>
      <c r="I314" s="104"/>
      <c r="J314" s="103"/>
      <c r="K314" s="103"/>
      <c r="L314" s="103">
        <f t="shared" si="37"/>
        <v>33</v>
      </c>
      <c r="M314" s="103"/>
      <c r="N314" s="103" t="s">
        <v>945</v>
      </c>
      <c r="O314" s="104">
        <f t="shared" si="38"/>
        <v>4950</v>
      </c>
    </row>
    <row r="315" spans="1:15" s="92" customFormat="1" x14ac:dyDescent="0.3">
      <c r="A315" s="113" t="s">
        <v>922</v>
      </c>
      <c r="B315" s="102"/>
      <c r="C315" s="25" t="s">
        <v>926</v>
      </c>
      <c r="D315" s="38">
        <v>1</v>
      </c>
      <c r="E315" s="13"/>
      <c r="F315" s="50"/>
      <c r="G315" s="103"/>
      <c r="H315" s="103"/>
      <c r="I315" s="104"/>
      <c r="J315" s="103"/>
      <c r="K315" s="103"/>
      <c r="L315" s="103">
        <f t="shared" si="37"/>
        <v>1</v>
      </c>
      <c r="M315" s="103"/>
      <c r="N315" s="103" t="s">
        <v>945</v>
      </c>
      <c r="O315" s="104">
        <f t="shared" si="38"/>
        <v>0</v>
      </c>
    </row>
    <row r="316" spans="1:15" s="92" customFormat="1" x14ac:dyDescent="0.3">
      <c r="A316" s="113" t="s">
        <v>923</v>
      </c>
      <c r="B316" s="102"/>
      <c r="C316" s="25" t="s">
        <v>930</v>
      </c>
      <c r="D316" s="38"/>
      <c r="E316" s="13"/>
      <c r="F316" s="50"/>
      <c r="G316" s="103"/>
      <c r="H316" s="103"/>
      <c r="I316" s="104"/>
      <c r="J316" s="103"/>
      <c r="K316" s="103">
        <f>2+2+2+2</f>
        <v>8</v>
      </c>
      <c r="L316" s="103">
        <f t="shared" si="37"/>
        <v>-8</v>
      </c>
      <c r="M316" s="103"/>
      <c r="N316" s="103" t="s">
        <v>945</v>
      </c>
      <c r="O316" s="104">
        <f t="shared" si="38"/>
        <v>0</v>
      </c>
    </row>
    <row r="317" spans="1:15" s="8" customFormat="1" ht="15.75" x14ac:dyDescent="0.25">
      <c r="A317" s="113" t="s">
        <v>932</v>
      </c>
      <c r="B317" s="102"/>
      <c r="C317" s="25" t="s">
        <v>931</v>
      </c>
      <c r="D317" s="38"/>
      <c r="E317" s="13"/>
      <c r="F317" s="50"/>
      <c r="G317" s="103"/>
      <c r="H317" s="103"/>
      <c r="I317" s="104"/>
      <c r="J317" s="103"/>
      <c r="K317" s="103">
        <f>1+1</f>
        <v>2</v>
      </c>
      <c r="L317" s="103">
        <f t="shared" si="37"/>
        <v>-2</v>
      </c>
      <c r="M317" s="103"/>
      <c r="N317" s="103" t="s">
        <v>947</v>
      </c>
      <c r="O317" s="104">
        <f t="shared" si="38"/>
        <v>0</v>
      </c>
    </row>
    <row r="318" spans="1:15" s="8" customFormat="1" ht="15.75" x14ac:dyDescent="0.25">
      <c r="A318" s="113" t="s">
        <v>933</v>
      </c>
      <c r="B318" s="102"/>
      <c r="C318" s="68" t="s">
        <v>934</v>
      </c>
      <c r="D318" s="38"/>
      <c r="E318" s="13"/>
      <c r="F318" s="50"/>
      <c r="G318" s="103"/>
      <c r="H318" s="103"/>
      <c r="I318" s="104"/>
      <c r="J318" s="103"/>
      <c r="K318" s="103">
        <f>1+1+15+1</f>
        <v>18</v>
      </c>
      <c r="L318" s="103">
        <f t="shared" si="37"/>
        <v>-18</v>
      </c>
      <c r="M318" s="103"/>
      <c r="N318" s="103" t="s">
        <v>946</v>
      </c>
      <c r="O318" s="104">
        <f t="shared" si="38"/>
        <v>0</v>
      </c>
    </row>
    <row r="319" spans="1:15" s="8" customFormat="1" ht="15.75" x14ac:dyDescent="0.25">
      <c r="A319" s="113" t="s">
        <v>936</v>
      </c>
      <c r="B319" s="102">
        <v>44193</v>
      </c>
      <c r="C319" s="25" t="s">
        <v>613</v>
      </c>
      <c r="D319" s="38">
        <v>25</v>
      </c>
      <c r="E319" s="13">
        <v>5.78</v>
      </c>
      <c r="F319" s="50">
        <f>+D319*E319</f>
        <v>144.5</v>
      </c>
      <c r="G319" s="103"/>
      <c r="H319" s="103"/>
      <c r="I319" s="104"/>
      <c r="J319" s="103"/>
      <c r="K319" s="103">
        <v>1</v>
      </c>
      <c r="L319" s="103">
        <f t="shared" si="37"/>
        <v>24</v>
      </c>
      <c r="M319" s="103"/>
      <c r="N319" s="103" t="s">
        <v>946</v>
      </c>
      <c r="O319" s="104">
        <f t="shared" si="38"/>
        <v>138.72</v>
      </c>
    </row>
    <row r="320" spans="1:15" s="8" customFormat="1" ht="15.75" x14ac:dyDescent="0.25">
      <c r="A320" s="113" t="s">
        <v>937</v>
      </c>
      <c r="B320" s="102"/>
      <c r="C320" s="25" t="s">
        <v>935</v>
      </c>
      <c r="D320" s="38"/>
      <c r="E320" s="13"/>
      <c r="F320" s="50"/>
      <c r="G320" s="103"/>
      <c r="H320" s="103"/>
      <c r="I320" s="104"/>
      <c r="J320" s="103"/>
      <c r="K320" s="103">
        <v>2</v>
      </c>
      <c r="L320" s="103">
        <f t="shared" si="37"/>
        <v>-2</v>
      </c>
      <c r="M320" s="103"/>
      <c r="N320" s="103" t="s">
        <v>946</v>
      </c>
      <c r="O320" s="104">
        <f t="shared" si="38"/>
        <v>0</v>
      </c>
    </row>
    <row r="321" spans="1:15" s="8" customFormat="1" ht="15.75" x14ac:dyDescent="0.25">
      <c r="A321" s="113" t="s">
        <v>938</v>
      </c>
      <c r="B321" s="102"/>
      <c r="C321" s="25" t="s">
        <v>939</v>
      </c>
      <c r="D321" s="38"/>
      <c r="E321" s="13"/>
      <c r="F321" s="50"/>
      <c r="G321" s="103"/>
      <c r="H321" s="103"/>
      <c r="I321" s="104"/>
      <c r="J321" s="103"/>
      <c r="K321" s="103">
        <v>1</v>
      </c>
      <c r="L321" s="103">
        <f t="shared" si="37"/>
        <v>-1</v>
      </c>
      <c r="M321" s="103"/>
      <c r="N321" s="103" t="s">
        <v>946</v>
      </c>
      <c r="O321" s="104">
        <f t="shared" si="38"/>
        <v>0</v>
      </c>
    </row>
    <row r="322" spans="1:15" s="8" customFormat="1" ht="15.75" x14ac:dyDescent="0.25">
      <c r="A322" s="113" t="s">
        <v>941</v>
      </c>
      <c r="B322" s="102"/>
      <c r="C322" s="25" t="s">
        <v>940</v>
      </c>
      <c r="D322" s="38"/>
      <c r="E322" s="13"/>
      <c r="F322" s="50"/>
      <c r="G322" s="103"/>
      <c r="H322" s="103"/>
      <c r="I322" s="104"/>
      <c r="J322" s="103"/>
      <c r="K322" s="103">
        <v>1</v>
      </c>
      <c r="L322" s="103">
        <f t="shared" si="37"/>
        <v>-1</v>
      </c>
      <c r="M322" s="103"/>
      <c r="N322" s="103" t="s">
        <v>946</v>
      </c>
      <c r="O322" s="104">
        <f t="shared" si="38"/>
        <v>0</v>
      </c>
    </row>
    <row r="323" spans="1:15" s="8" customFormat="1" ht="15.75" x14ac:dyDescent="0.25">
      <c r="A323" s="113" t="s">
        <v>948</v>
      </c>
      <c r="B323" s="102"/>
      <c r="C323" s="25" t="s">
        <v>942</v>
      </c>
      <c r="D323" s="38"/>
      <c r="E323" s="13"/>
      <c r="F323" s="50"/>
      <c r="G323" s="107">
        <v>44778</v>
      </c>
      <c r="H323" s="103">
        <f>120*12</f>
        <v>1440</v>
      </c>
      <c r="I323" s="104">
        <f>111864/H323</f>
        <v>77.683333333333337</v>
      </c>
      <c r="J323" s="104">
        <f>+I323*H323</f>
        <v>111864</v>
      </c>
      <c r="K323" s="103">
        <f>1+4+3+12+12+3+12+4+4+3+12+4+5+4+4+36+36</f>
        <v>159</v>
      </c>
      <c r="L323" s="103">
        <f t="shared" si="37"/>
        <v>1281</v>
      </c>
      <c r="M323" s="103"/>
      <c r="N323" s="103" t="s">
        <v>946</v>
      </c>
      <c r="O323" s="104">
        <f>+L323*I323</f>
        <v>99512.35</v>
      </c>
    </row>
    <row r="324" spans="1:15" s="8" customFormat="1" ht="15.75" x14ac:dyDescent="0.25">
      <c r="A324" s="113" t="s">
        <v>953</v>
      </c>
      <c r="B324" s="102"/>
      <c r="C324" s="25" t="s">
        <v>949</v>
      </c>
      <c r="D324" s="38"/>
      <c r="E324" s="13"/>
      <c r="F324" s="50"/>
      <c r="G324" s="103"/>
      <c r="H324" s="103"/>
      <c r="I324" s="104"/>
      <c r="J324" s="103"/>
      <c r="K324" s="103">
        <v>1</v>
      </c>
      <c r="L324" s="103">
        <f t="shared" si="37"/>
        <v>-1</v>
      </c>
      <c r="M324" s="103"/>
      <c r="N324" s="103" t="s">
        <v>946</v>
      </c>
      <c r="O324" s="104">
        <f>+L324*I324</f>
        <v>0</v>
      </c>
    </row>
    <row r="325" spans="1:15" s="92" customFormat="1" x14ac:dyDescent="0.3">
      <c r="A325" s="113" t="s">
        <v>954</v>
      </c>
      <c r="B325" s="102"/>
      <c r="C325" s="25" t="s">
        <v>952</v>
      </c>
      <c r="D325" s="38"/>
      <c r="E325" s="13"/>
      <c r="F325" s="50"/>
      <c r="G325" s="103"/>
      <c r="H325" s="103"/>
      <c r="I325" s="104"/>
      <c r="J325" s="103"/>
      <c r="K325" s="103">
        <f>1+1+2</f>
        <v>4</v>
      </c>
      <c r="L325" s="103">
        <f t="shared" si="37"/>
        <v>-4</v>
      </c>
      <c r="M325" s="103"/>
      <c r="N325" s="103" t="s">
        <v>945</v>
      </c>
      <c r="O325" s="104">
        <f t="shared" ref="O325:O330" si="39">+L325*I325</f>
        <v>0</v>
      </c>
    </row>
    <row r="326" spans="1:15" s="92" customFormat="1" x14ac:dyDescent="0.3">
      <c r="A326" s="113" t="s">
        <v>957</v>
      </c>
      <c r="B326" s="102"/>
      <c r="C326" s="25" t="s">
        <v>958</v>
      </c>
      <c r="D326" s="38"/>
      <c r="E326" s="13"/>
      <c r="F326" s="50"/>
      <c r="G326" s="103"/>
      <c r="H326" s="103"/>
      <c r="I326" s="104"/>
      <c r="J326" s="103"/>
      <c r="K326" s="103">
        <f>1+1+2+2+1</f>
        <v>7</v>
      </c>
      <c r="L326" s="103">
        <f t="shared" si="37"/>
        <v>-7</v>
      </c>
      <c r="M326" s="103"/>
      <c r="N326" s="103" t="s">
        <v>945</v>
      </c>
      <c r="O326" s="104">
        <f t="shared" si="39"/>
        <v>0</v>
      </c>
    </row>
    <row r="327" spans="1:15" s="105" customFormat="1" ht="15.75" x14ac:dyDescent="0.25">
      <c r="A327" s="113" t="s">
        <v>972</v>
      </c>
      <c r="B327" s="102"/>
      <c r="C327" s="25" t="s">
        <v>959</v>
      </c>
      <c r="D327" s="38"/>
      <c r="E327" s="13"/>
      <c r="F327" s="50"/>
      <c r="G327" s="107">
        <v>44852</v>
      </c>
      <c r="H327" s="103">
        <v>20</v>
      </c>
      <c r="I327" s="104">
        <v>19.329999999999998</v>
      </c>
      <c r="J327" s="108">
        <f>+H327*I327</f>
        <v>386.59999999999997</v>
      </c>
      <c r="K327" s="103">
        <f>1+1+2+2</f>
        <v>6</v>
      </c>
      <c r="L327" s="103">
        <f t="shared" si="37"/>
        <v>14</v>
      </c>
      <c r="M327" s="103" t="s">
        <v>1037</v>
      </c>
      <c r="N327" s="103" t="s">
        <v>947</v>
      </c>
      <c r="O327" s="104">
        <f t="shared" si="39"/>
        <v>270.62</v>
      </c>
    </row>
    <row r="328" spans="1:15" s="105" customFormat="1" ht="15.75" x14ac:dyDescent="0.25">
      <c r="A328" s="113" t="s">
        <v>973</v>
      </c>
      <c r="B328" s="102"/>
      <c r="C328" s="25" t="s">
        <v>1036</v>
      </c>
      <c r="D328" s="38"/>
      <c r="E328" s="13"/>
      <c r="F328" s="50"/>
      <c r="G328" s="107">
        <v>44852</v>
      </c>
      <c r="H328" s="103">
        <v>10</v>
      </c>
      <c r="I328" s="104">
        <v>145.80000000000001</v>
      </c>
      <c r="J328" s="108">
        <f>+H328*I328</f>
        <v>1458</v>
      </c>
      <c r="K328" s="103">
        <f>1+1+2+1</f>
        <v>5</v>
      </c>
      <c r="L328" s="103">
        <f t="shared" si="37"/>
        <v>5</v>
      </c>
      <c r="M328" s="103" t="s">
        <v>1037</v>
      </c>
      <c r="N328" s="103" t="s">
        <v>947</v>
      </c>
      <c r="O328" s="104">
        <f t="shared" si="39"/>
        <v>729</v>
      </c>
    </row>
    <row r="329" spans="1:15" s="105" customFormat="1" ht="15.75" x14ac:dyDescent="0.25">
      <c r="A329" s="113" t="s">
        <v>974</v>
      </c>
      <c r="B329" s="102"/>
      <c r="C329" s="25" t="s">
        <v>1040</v>
      </c>
      <c r="D329" s="38"/>
      <c r="E329" s="13"/>
      <c r="F329" s="50"/>
      <c r="G329" s="107">
        <v>44852</v>
      </c>
      <c r="H329" s="103">
        <v>30</v>
      </c>
      <c r="I329" s="104">
        <v>97.59</v>
      </c>
      <c r="J329" s="108">
        <f>+H329*I329</f>
        <v>2927.7000000000003</v>
      </c>
      <c r="K329" s="103">
        <f t="shared" ref="K329" si="40">1+1+2</f>
        <v>4</v>
      </c>
      <c r="L329" s="103">
        <f t="shared" si="37"/>
        <v>26</v>
      </c>
      <c r="M329" s="103" t="s">
        <v>1037</v>
      </c>
      <c r="N329" s="103" t="s">
        <v>947</v>
      </c>
      <c r="O329" s="104">
        <f t="shared" si="39"/>
        <v>2537.34</v>
      </c>
    </row>
    <row r="330" spans="1:15" s="92" customFormat="1" x14ac:dyDescent="0.3">
      <c r="A330" s="113" t="s">
        <v>975</v>
      </c>
      <c r="B330" s="102"/>
      <c r="C330" s="25" t="s">
        <v>960</v>
      </c>
      <c r="D330" s="38"/>
      <c r="E330" s="13"/>
      <c r="F330" s="50"/>
      <c r="G330" s="103"/>
      <c r="H330" s="103"/>
      <c r="I330" s="104"/>
      <c r="J330" s="103"/>
      <c r="K330" s="103">
        <v>2</v>
      </c>
      <c r="L330" s="103">
        <f t="shared" si="37"/>
        <v>-2</v>
      </c>
      <c r="M330" s="103"/>
      <c r="N330" s="103" t="s">
        <v>946</v>
      </c>
      <c r="O330" s="104">
        <f t="shared" si="39"/>
        <v>0</v>
      </c>
    </row>
    <row r="331" spans="1:15" s="92" customFormat="1" ht="32.25" x14ac:dyDescent="0.3">
      <c r="A331" s="113" t="s">
        <v>976</v>
      </c>
      <c r="B331" s="102"/>
      <c r="C331" s="25" t="s">
        <v>961</v>
      </c>
      <c r="D331" s="38"/>
      <c r="E331" s="13"/>
      <c r="F331" s="50"/>
      <c r="G331" s="107">
        <v>44851</v>
      </c>
      <c r="H331" s="103">
        <v>25</v>
      </c>
      <c r="I331" s="104">
        <v>672.78</v>
      </c>
      <c r="J331" s="108">
        <f>+H331*I331</f>
        <v>16819.5</v>
      </c>
      <c r="K331" s="103">
        <f>1+1</f>
        <v>2</v>
      </c>
      <c r="L331" s="103">
        <f t="shared" si="37"/>
        <v>23</v>
      </c>
      <c r="M331" s="121" t="s">
        <v>1006</v>
      </c>
      <c r="N331" s="103" t="s">
        <v>946</v>
      </c>
      <c r="O331" s="104">
        <f>+L331*I331</f>
        <v>15473.939999999999</v>
      </c>
    </row>
    <row r="332" spans="1:15" s="92" customFormat="1" x14ac:dyDescent="0.3">
      <c r="A332" s="113" t="s">
        <v>977</v>
      </c>
      <c r="B332" s="102"/>
      <c r="C332" s="25" t="s">
        <v>962</v>
      </c>
      <c r="D332" s="38"/>
      <c r="E332" s="13"/>
      <c r="F332" s="50"/>
      <c r="G332" s="107">
        <v>44852</v>
      </c>
      <c r="H332" s="103">
        <v>12</v>
      </c>
      <c r="I332" s="104">
        <f>1452+261.36</f>
        <v>1713.3600000000001</v>
      </c>
      <c r="J332" s="108">
        <f>+H332*I332</f>
        <v>20560.32</v>
      </c>
      <c r="K332" s="103">
        <v>1</v>
      </c>
      <c r="L332" s="103">
        <f t="shared" si="37"/>
        <v>11</v>
      </c>
      <c r="M332" s="103"/>
      <c r="N332" s="103" t="s">
        <v>946</v>
      </c>
      <c r="O332" s="104">
        <f t="shared" ref="O332:O404" si="41">+L332*I332</f>
        <v>18846.960000000003</v>
      </c>
    </row>
    <row r="333" spans="1:15" s="92" customFormat="1" x14ac:dyDescent="0.3">
      <c r="A333" s="113" t="s">
        <v>978</v>
      </c>
      <c r="B333" s="102"/>
      <c r="C333" s="25" t="s">
        <v>963</v>
      </c>
      <c r="D333" s="38"/>
      <c r="E333" s="13"/>
      <c r="F333" s="50"/>
      <c r="G333" s="107">
        <v>44852</v>
      </c>
      <c r="H333" s="103">
        <v>15</v>
      </c>
      <c r="I333" s="104">
        <f>4210+757.8</f>
        <v>4967.8</v>
      </c>
      <c r="J333" s="108">
        <f>+H333*I333</f>
        <v>74517</v>
      </c>
      <c r="K333" s="103"/>
      <c r="L333" s="103">
        <f t="shared" si="37"/>
        <v>15</v>
      </c>
      <c r="M333" s="103"/>
      <c r="N333" s="103" t="s">
        <v>946</v>
      </c>
      <c r="O333" s="104">
        <f t="shared" si="41"/>
        <v>74517</v>
      </c>
    </row>
    <row r="334" spans="1:15" s="92" customFormat="1" x14ac:dyDescent="0.3">
      <c r="A334" s="113" t="s">
        <v>979</v>
      </c>
      <c r="B334" s="102"/>
      <c r="C334" s="25" t="s">
        <v>964</v>
      </c>
      <c r="D334" s="38"/>
      <c r="E334" s="13"/>
      <c r="F334" s="50"/>
      <c r="G334" s="107">
        <v>44852</v>
      </c>
      <c r="H334" s="103">
        <v>16</v>
      </c>
      <c r="I334" s="104">
        <f>3200+576</f>
        <v>3776</v>
      </c>
      <c r="J334" s="108">
        <f>+H334*I334</f>
        <v>60416</v>
      </c>
      <c r="K334" s="103"/>
      <c r="L334" s="103">
        <f t="shared" si="37"/>
        <v>16</v>
      </c>
      <c r="M334" s="103"/>
      <c r="N334" s="103" t="s">
        <v>946</v>
      </c>
      <c r="O334" s="104">
        <f t="shared" si="41"/>
        <v>60416</v>
      </c>
    </row>
    <row r="335" spans="1:15" s="92" customFormat="1" x14ac:dyDescent="0.3">
      <c r="A335" s="113" t="s">
        <v>980</v>
      </c>
      <c r="B335" s="102"/>
      <c r="C335" s="25" t="s">
        <v>965</v>
      </c>
      <c r="D335" s="38"/>
      <c r="E335" s="13"/>
      <c r="F335" s="50"/>
      <c r="G335" s="107">
        <v>44852</v>
      </c>
      <c r="H335" s="103">
        <v>5</v>
      </c>
      <c r="I335" s="104">
        <f>1911+343.98</f>
        <v>2254.98</v>
      </c>
      <c r="J335" s="108">
        <f t="shared" ref="J335:J345" si="42">+H335*I335</f>
        <v>11274.9</v>
      </c>
      <c r="K335" s="103"/>
      <c r="L335" s="103">
        <f t="shared" si="37"/>
        <v>5</v>
      </c>
      <c r="M335" s="103"/>
      <c r="N335" s="103" t="s">
        <v>946</v>
      </c>
      <c r="O335" s="104">
        <f t="shared" si="41"/>
        <v>11274.9</v>
      </c>
    </row>
    <row r="336" spans="1:15" s="92" customFormat="1" x14ac:dyDescent="0.3">
      <c r="A336" s="113" t="s">
        <v>981</v>
      </c>
      <c r="B336" s="102"/>
      <c r="C336" s="25" t="s">
        <v>966</v>
      </c>
      <c r="D336" s="38"/>
      <c r="E336" s="13"/>
      <c r="F336" s="50"/>
      <c r="G336" s="107">
        <v>44852</v>
      </c>
      <c r="H336" s="103">
        <v>20</v>
      </c>
      <c r="I336" s="104">
        <f>3200+576</f>
        <v>3776</v>
      </c>
      <c r="J336" s="108">
        <f t="shared" si="42"/>
        <v>75520</v>
      </c>
      <c r="K336" s="103"/>
      <c r="L336" s="103">
        <f t="shared" si="37"/>
        <v>20</v>
      </c>
      <c r="M336" s="103"/>
      <c r="N336" s="103" t="s">
        <v>946</v>
      </c>
      <c r="O336" s="104">
        <f t="shared" si="41"/>
        <v>75520</v>
      </c>
    </row>
    <row r="337" spans="1:15" s="92" customFormat="1" x14ac:dyDescent="0.3">
      <c r="A337" s="113" t="s">
        <v>982</v>
      </c>
      <c r="B337" s="102"/>
      <c r="C337" s="25" t="s">
        <v>967</v>
      </c>
      <c r="D337" s="38"/>
      <c r="E337" s="13"/>
      <c r="F337" s="50"/>
      <c r="G337" s="107">
        <v>44852</v>
      </c>
      <c r="H337" s="103">
        <v>10</v>
      </c>
      <c r="I337" s="104">
        <f>4800+864</f>
        <v>5664</v>
      </c>
      <c r="J337" s="108">
        <f t="shared" si="42"/>
        <v>56640</v>
      </c>
      <c r="K337" s="103"/>
      <c r="L337" s="103">
        <f t="shared" si="37"/>
        <v>10</v>
      </c>
      <c r="M337" s="103"/>
      <c r="N337" s="103" t="s">
        <v>946</v>
      </c>
      <c r="O337" s="104">
        <f t="shared" si="41"/>
        <v>56640</v>
      </c>
    </row>
    <row r="338" spans="1:15" s="92" customFormat="1" x14ac:dyDescent="0.3">
      <c r="A338" s="113" t="s">
        <v>983</v>
      </c>
      <c r="B338" s="102"/>
      <c r="C338" s="25" t="s">
        <v>968</v>
      </c>
      <c r="D338" s="38"/>
      <c r="E338" s="13"/>
      <c r="F338" s="50"/>
      <c r="G338" s="107">
        <v>44852</v>
      </c>
      <c r="H338" s="103">
        <v>35</v>
      </c>
      <c r="I338" s="104">
        <f>2050+369</f>
        <v>2419</v>
      </c>
      <c r="J338" s="108">
        <f t="shared" si="42"/>
        <v>84665</v>
      </c>
      <c r="K338" s="103">
        <v>1</v>
      </c>
      <c r="L338" s="103">
        <f t="shared" si="37"/>
        <v>34</v>
      </c>
      <c r="M338" s="103"/>
      <c r="N338" s="103" t="s">
        <v>946</v>
      </c>
      <c r="O338" s="104">
        <f t="shared" si="41"/>
        <v>82246</v>
      </c>
    </row>
    <row r="339" spans="1:15" s="92" customFormat="1" x14ac:dyDescent="0.3">
      <c r="A339" s="113" t="s">
        <v>984</v>
      </c>
      <c r="B339" s="102"/>
      <c r="C339" s="25" t="s">
        <v>969</v>
      </c>
      <c r="D339" s="38"/>
      <c r="E339" s="13"/>
      <c r="F339" s="50"/>
      <c r="G339" s="107">
        <v>44852</v>
      </c>
      <c r="H339" s="103">
        <v>5</v>
      </c>
      <c r="I339" s="104">
        <f>3737+672.66</f>
        <v>4409.66</v>
      </c>
      <c r="J339" s="108">
        <f t="shared" si="42"/>
        <v>22048.3</v>
      </c>
      <c r="K339" s="103"/>
      <c r="L339" s="103">
        <f t="shared" si="37"/>
        <v>5</v>
      </c>
      <c r="M339" s="103"/>
      <c r="N339" s="103" t="s">
        <v>946</v>
      </c>
      <c r="O339" s="104">
        <f t="shared" si="41"/>
        <v>22048.3</v>
      </c>
    </row>
    <row r="340" spans="1:15" s="92" customFormat="1" x14ac:dyDescent="0.3">
      <c r="A340" s="113" t="s">
        <v>985</v>
      </c>
      <c r="B340" s="102"/>
      <c r="C340" s="25" t="s">
        <v>994</v>
      </c>
      <c r="D340" s="38"/>
      <c r="E340" s="13"/>
      <c r="F340" s="50"/>
      <c r="G340" s="107">
        <v>44862</v>
      </c>
      <c r="H340" s="103">
        <v>40</v>
      </c>
      <c r="I340" s="104">
        <f>8750+1575</f>
        <v>10325</v>
      </c>
      <c r="J340" s="108">
        <f t="shared" si="42"/>
        <v>413000</v>
      </c>
      <c r="K340" s="103">
        <v>17</v>
      </c>
      <c r="L340" s="103">
        <f t="shared" si="37"/>
        <v>23</v>
      </c>
      <c r="M340" s="103"/>
      <c r="N340" s="103" t="s">
        <v>946</v>
      </c>
      <c r="O340" s="104">
        <f t="shared" si="41"/>
        <v>237475</v>
      </c>
    </row>
    <row r="341" spans="1:15" s="92" customFormat="1" x14ac:dyDescent="0.3">
      <c r="A341" s="113" t="s">
        <v>986</v>
      </c>
      <c r="B341" s="102"/>
      <c r="C341" s="25" t="s">
        <v>995</v>
      </c>
      <c r="D341" s="38"/>
      <c r="E341" s="13"/>
      <c r="F341" s="50"/>
      <c r="G341" s="107">
        <v>44862</v>
      </c>
      <c r="H341" s="103">
        <v>4</v>
      </c>
      <c r="I341" s="104">
        <f>1311+235.98</f>
        <v>1546.98</v>
      </c>
      <c r="J341" s="108">
        <f t="shared" si="42"/>
        <v>6187.92</v>
      </c>
      <c r="K341" s="103"/>
      <c r="L341" s="103">
        <f t="shared" si="37"/>
        <v>4</v>
      </c>
      <c r="M341" s="103"/>
      <c r="N341" s="103" t="s">
        <v>946</v>
      </c>
      <c r="O341" s="104">
        <f t="shared" si="41"/>
        <v>6187.92</v>
      </c>
    </row>
    <row r="342" spans="1:15" s="92" customFormat="1" x14ac:dyDescent="0.3">
      <c r="A342" s="113" t="s">
        <v>987</v>
      </c>
      <c r="B342" s="102"/>
      <c r="C342" s="25" t="s">
        <v>295</v>
      </c>
      <c r="D342" s="38"/>
      <c r="E342" s="13"/>
      <c r="F342" s="50"/>
      <c r="G342" s="103"/>
      <c r="H342" s="103"/>
      <c r="I342" s="104"/>
      <c r="J342" s="108">
        <f t="shared" si="42"/>
        <v>0</v>
      </c>
      <c r="K342" s="103">
        <v>1</v>
      </c>
      <c r="L342" s="103">
        <f t="shared" si="37"/>
        <v>-1</v>
      </c>
      <c r="M342" s="103"/>
      <c r="N342" s="103" t="s">
        <v>946</v>
      </c>
      <c r="O342" s="104">
        <f t="shared" si="41"/>
        <v>0</v>
      </c>
    </row>
    <row r="343" spans="1:15" s="92" customFormat="1" x14ac:dyDescent="0.3">
      <c r="A343" s="113" t="s">
        <v>988</v>
      </c>
      <c r="B343" s="102"/>
      <c r="C343" s="25" t="s">
        <v>970</v>
      </c>
      <c r="D343" s="38"/>
      <c r="E343" s="13"/>
      <c r="F343" s="50"/>
      <c r="G343" s="103"/>
      <c r="H343" s="103"/>
      <c r="I343" s="104"/>
      <c r="J343" s="108">
        <f t="shared" si="42"/>
        <v>0</v>
      </c>
      <c r="K343" s="103">
        <f>2+2</f>
        <v>4</v>
      </c>
      <c r="L343" s="103">
        <f t="shared" si="37"/>
        <v>-4</v>
      </c>
      <c r="M343" s="103"/>
      <c r="N343" s="103" t="s">
        <v>946</v>
      </c>
      <c r="O343" s="104">
        <f t="shared" si="41"/>
        <v>0</v>
      </c>
    </row>
    <row r="344" spans="1:15" s="92" customFormat="1" x14ac:dyDescent="0.3">
      <c r="A344" s="113" t="s">
        <v>989</v>
      </c>
      <c r="B344" s="102"/>
      <c r="C344" s="25" t="s">
        <v>971</v>
      </c>
      <c r="D344" s="38"/>
      <c r="E344" s="13"/>
      <c r="F344" s="50"/>
      <c r="G344" s="107">
        <v>44903</v>
      </c>
      <c r="H344" s="103">
        <f>2*12</f>
        <v>24</v>
      </c>
      <c r="I344" s="104">
        <v>118.15</v>
      </c>
      <c r="J344" s="108">
        <f t="shared" si="42"/>
        <v>2835.6000000000004</v>
      </c>
      <c r="K344" s="103">
        <f>3+3</f>
        <v>6</v>
      </c>
      <c r="L344" s="103">
        <f t="shared" si="37"/>
        <v>18</v>
      </c>
      <c r="M344" s="103"/>
      <c r="N344" s="103" t="s">
        <v>946</v>
      </c>
      <c r="O344" s="104">
        <f t="shared" si="41"/>
        <v>2126.7000000000003</v>
      </c>
    </row>
    <row r="345" spans="1:15" s="92" customFormat="1" ht="32.25" x14ac:dyDescent="0.3">
      <c r="A345" s="113" t="s">
        <v>990</v>
      </c>
      <c r="B345" s="102"/>
      <c r="C345" s="123" t="s">
        <v>996</v>
      </c>
      <c r="D345" s="38"/>
      <c r="E345" s="13"/>
      <c r="F345" s="50"/>
      <c r="G345" s="107">
        <v>44851</v>
      </c>
      <c r="H345" s="103">
        <v>30</v>
      </c>
      <c r="I345" s="104">
        <v>240.72</v>
      </c>
      <c r="J345" s="108">
        <f t="shared" si="42"/>
        <v>7221.6</v>
      </c>
      <c r="K345" s="103"/>
      <c r="L345" s="103">
        <f t="shared" si="37"/>
        <v>30</v>
      </c>
      <c r="M345" s="121" t="s">
        <v>1006</v>
      </c>
      <c r="N345" s="103" t="s">
        <v>946</v>
      </c>
      <c r="O345" s="104">
        <f>+L345*I345</f>
        <v>7221.6</v>
      </c>
    </row>
    <row r="346" spans="1:15" s="92" customFormat="1" ht="32.25" x14ac:dyDescent="0.3">
      <c r="A346" s="113" t="s">
        <v>991</v>
      </c>
      <c r="B346" s="102"/>
      <c r="C346" s="25" t="s">
        <v>997</v>
      </c>
      <c r="D346" s="38"/>
      <c r="E346" s="13"/>
      <c r="F346" s="50"/>
      <c r="G346" s="107">
        <v>44851</v>
      </c>
      <c r="H346" s="103">
        <v>10</v>
      </c>
      <c r="I346" s="104">
        <v>40.119999999999997</v>
      </c>
      <c r="J346" s="108">
        <f>+H346*I346</f>
        <v>401.2</v>
      </c>
      <c r="K346" s="103"/>
      <c r="L346" s="103">
        <f t="shared" si="37"/>
        <v>10</v>
      </c>
      <c r="M346" s="121" t="s">
        <v>1006</v>
      </c>
      <c r="N346" s="103" t="s">
        <v>946</v>
      </c>
      <c r="O346" s="104">
        <f t="shared" si="41"/>
        <v>401.2</v>
      </c>
    </row>
    <row r="347" spans="1:15" s="92" customFormat="1" ht="32.25" x14ac:dyDescent="0.3">
      <c r="A347" s="113" t="s">
        <v>992</v>
      </c>
      <c r="B347" s="102"/>
      <c r="C347" s="25" t="s">
        <v>998</v>
      </c>
      <c r="D347" s="38"/>
      <c r="E347" s="13"/>
      <c r="F347" s="50"/>
      <c r="G347" s="107">
        <v>44851</v>
      </c>
      <c r="H347" s="103">
        <v>25</v>
      </c>
      <c r="I347" s="104">
        <v>141.6</v>
      </c>
      <c r="J347" s="108">
        <f t="shared" ref="J347:J365" si="43">+H347*I347</f>
        <v>3540</v>
      </c>
      <c r="K347" s="103"/>
      <c r="L347" s="103">
        <f t="shared" si="37"/>
        <v>25</v>
      </c>
      <c r="M347" s="121" t="s">
        <v>1006</v>
      </c>
      <c r="N347" s="103" t="s">
        <v>946</v>
      </c>
      <c r="O347" s="104">
        <f t="shared" si="41"/>
        <v>3540</v>
      </c>
    </row>
    <row r="348" spans="1:15" s="92" customFormat="1" ht="32.25" x14ac:dyDescent="0.3">
      <c r="A348" s="113" t="s">
        <v>993</v>
      </c>
      <c r="B348" s="102"/>
      <c r="C348" s="25" t="s">
        <v>999</v>
      </c>
      <c r="D348" s="38"/>
      <c r="E348" s="13"/>
      <c r="F348" s="50"/>
      <c r="G348" s="107">
        <v>44851</v>
      </c>
      <c r="H348" s="103">
        <v>4</v>
      </c>
      <c r="I348" s="104">
        <v>1443.73</v>
      </c>
      <c r="J348" s="104">
        <f t="shared" si="43"/>
        <v>5774.92</v>
      </c>
      <c r="K348" s="103"/>
      <c r="L348" s="103">
        <f t="shared" si="37"/>
        <v>4</v>
      </c>
      <c r="M348" s="121" t="s">
        <v>1006</v>
      </c>
      <c r="N348" s="103" t="s">
        <v>946</v>
      </c>
      <c r="O348" s="104">
        <f t="shared" si="41"/>
        <v>5774.92</v>
      </c>
    </row>
    <row r="349" spans="1:15" s="92" customFormat="1" ht="32.25" x14ac:dyDescent="0.3">
      <c r="A349" s="113" t="s">
        <v>1015</v>
      </c>
      <c r="B349" s="102"/>
      <c r="C349" s="25" t="s">
        <v>1000</v>
      </c>
      <c r="D349" s="38"/>
      <c r="E349" s="13"/>
      <c r="F349" s="50"/>
      <c r="G349" s="107">
        <v>44851</v>
      </c>
      <c r="H349" s="103">
        <v>10</v>
      </c>
      <c r="I349" s="104">
        <v>1177.05</v>
      </c>
      <c r="J349" s="104">
        <f t="shared" si="43"/>
        <v>11770.5</v>
      </c>
      <c r="K349" s="103"/>
      <c r="L349" s="103">
        <f t="shared" si="37"/>
        <v>10</v>
      </c>
      <c r="M349" s="121" t="s">
        <v>1006</v>
      </c>
      <c r="N349" s="103" t="s">
        <v>946</v>
      </c>
      <c r="O349" s="104">
        <f t="shared" si="41"/>
        <v>11770.5</v>
      </c>
    </row>
    <row r="350" spans="1:15" s="92" customFormat="1" ht="32.25" x14ac:dyDescent="0.3">
      <c r="A350" s="113" t="s">
        <v>1016</v>
      </c>
      <c r="B350" s="102"/>
      <c r="C350" s="25" t="s">
        <v>1001</v>
      </c>
      <c r="D350" s="38"/>
      <c r="E350" s="13"/>
      <c r="F350" s="50"/>
      <c r="G350" s="107">
        <v>44851</v>
      </c>
      <c r="H350" s="103">
        <v>4</v>
      </c>
      <c r="I350" s="104">
        <v>1330.45</v>
      </c>
      <c r="J350" s="104">
        <f t="shared" si="43"/>
        <v>5321.8</v>
      </c>
      <c r="K350" s="103"/>
      <c r="L350" s="103">
        <f t="shared" si="37"/>
        <v>4</v>
      </c>
      <c r="M350" s="121" t="s">
        <v>1006</v>
      </c>
      <c r="N350" s="103" t="s">
        <v>946</v>
      </c>
      <c r="O350" s="104">
        <f t="shared" si="41"/>
        <v>5321.8</v>
      </c>
    </row>
    <row r="351" spans="1:15" s="92" customFormat="1" ht="32.25" x14ac:dyDescent="0.3">
      <c r="A351" s="113" t="s">
        <v>1017</v>
      </c>
      <c r="B351" s="102"/>
      <c r="C351" s="25" t="s">
        <v>1002</v>
      </c>
      <c r="D351" s="38"/>
      <c r="E351" s="13"/>
      <c r="F351" s="50"/>
      <c r="G351" s="107">
        <v>44851</v>
      </c>
      <c r="H351" s="103">
        <v>4</v>
      </c>
      <c r="I351" s="104">
        <v>676.14</v>
      </c>
      <c r="J351" s="104">
        <f t="shared" si="43"/>
        <v>2704.56</v>
      </c>
      <c r="K351" s="103"/>
      <c r="L351" s="103">
        <f t="shared" si="37"/>
        <v>4</v>
      </c>
      <c r="M351" s="121" t="s">
        <v>1006</v>
      </c>
      <c r="N351" s="103" t="s">
        <v>946</v>
      </c>
      <c r="O351" s="104">
        <f t="shared" si="41"/>
        <v>2704.56</v>
      </c>
    </row>
    <row r="352" spans="1:15" s="92" customFormat="1" ht="32.25" x14ac:dyDescent="0.3">
      <c r="A352" s="113" t="s">
        <v>1018</v>
      </c>
      <c r="B352" s="102"/>
      <c r="C352" s="25" t="s">
        <v>1003</v>
      </c>
      <c r="D352" s="38"/>
      <c r="E352" s="13"/>
      <c r="F352" s="50"/>
      <c r="G352" s="107">
        <v>44851</v>
      </c>
      <c r="H352" s="103">
        <v>4</v>
      </c>
      <c r="I352" s="104">
        <v>693.84</v>
      </c>
      <c r="J352" s="104">
        <f t="shared" si="43"/>
        <v>2775.36</v>
      </c>
      <c r="K352" s="103"/>
      <c r="L352" s="103">
        <f t="shared" si="37"/>
        <v>4</v>
      </c>
      <c r="M352" s="121" t="s">
        <v>1006</v>
      </c>
      <c r="N352" s="103" t="s">
        <v>946</v>
      </c>
      <c r="O352" s="104">
        <f t="shared" si="41"/>
        <v>2775.36</v>
      </c>
    </row>
    <row r="353" spans="1:15" customFormat="1" ht="31.5" x14ac:dyDescent="0.25">
      <c r="A353" s="113" t="s">
        <v>1019</v>
      </c>
      <c r="B353" s="102"/>
      <c r="C353" s="25" t="s">
        <v>1004</v>
      </c>
      <c r="D353" s="38"/>
      <c r="E353" s="13"/>
      <c r="F353" s="50"/>
      <c r="G353" s="107">
        <v>44851</v>
      </c>
      <c r="H353" s="103">
        <v>4</v>
      </c>
      <c r="I353" s="104">
        <v>1632.53</v>
      </c>
      <c r="J353" s="104">
        <f t="shared" si="43"/>
        <v>6530.12</v>
      </c>
      <c r="K353" s="117"/>
      <c r="L353" s="103">
        <f t="shared" si="37"/>
        <v>4</v>
      </c>
      <c r="M353" s="121" t="s">
        <v>1006</v>
      </c>
      <c r="N353" s="117" t="s">
        <v>946</v>
      </c>
      <c r="O353" s="104">
        <f t="shared" si="41"/>
        <v>6530.12</v>
      </c>
    </row>
    <row r="354" spans="1:15" s="2" customFormat="1" ht="31.5" x14ac:dyDescent="0.25">
      <c r="A354" s="113" t="s">
        <v>1020</v>
      </c>
      <c r="B354" s="102"/>
      <c r="C354" s="25" t="s">
        <v>1005</v>
      </c>
      <c r="D354" s="38"/>
      <c r="E354" s="13"/>
      <c r="F354" s="50"/>
      <c r="G354" s="107">
        <v>44851</v>
      </c>
      <c r="H354" s="103">
        <v>1</v>
      </c>
      <c r="I354" s="104">
        <v>3268.6</v>
      </c>
      <c r="J354" s="104">
        <f t="shared" si="43"/>
        <v>3268.6</v>
      </c>
      <c r="K354" s="117"/>
      <c r="L354" s="103">
        <f t="shared" si="37"/>
        <v>1</v>
      </c>
      <c r="M354" s="121" t="s">
        <v>1006</v>
      </c>
      <c r="N354" s="117" t="s">
        <v>946</v>
      </c>
      <c r="O354" s="104">
        <f t="shared" si="41"/>
        <v>3268.6</v>
      </c>
    </row>
    <row r="355" spans="1:15" ht="32.25" x14ac:dyDescent="0.3">
      <c r="A355" s="113" t="s">
        <v>1021</v>
      </c>
      <c r="B355" s="102"/>
      <c r="C355" s="25" t="s">
        <v>1007</v>
      </c>
      <c r="D355" s="38"/>
      <c r="E355" s="13"/>
      <c r="F355" s="50"/>
      <c r="G355" s="107">
        <v>44851</v>
      </c>
      <c r="H355" s="103">
        <v>15</v>
      </c>
      <c r="I355" s="104">
        <v>3908.16</v>
      </c>
      <c r="J355" s="104">
        <f t="shared" si="43"/>
        <v>58622.399999999994</v>
      </c>
      <c r="K355" s="117"/>
      <c r="L355" s="103">
        <f t="shared" si="37"/>
        <v>15</v>
      </c>
      <c r="M355" s="121" t="s">
        <v>1006</v>
      </c>
      <c r="N355" s="117" t="s">
        <v>946</v>
      </c>
      <c r="O355" s="118">
        <f t="shared" si="41"/>
        <v>58622.399999999994</v>
      </c>
    </row>
    <row r="356" spans="1:15" ht="23.25" customHeight="1" x14ac:dyDescent="0.3">
      <c r="A356" s="113" t="s">
        <v>1022</v>
      </c>
      <c r="B356" s="102"/>
      <c r="C356" s="25" t="s">
        <v>1008</v>
      </c>
      <c r="D356" s="38"/>
      <c r="E356" s="13"/>
      <c r="F356" s="50"/>
      <c r="G356" s="107">
        <v>44851</v>
      </c>
      <c r="H356" s="103">
        <v>20</v>
      </c>
      <c r="I356" s="104">
        <v>1711</v>
      </c>
      <c r="J356" s="104">
        <f t="shared" si="43"/>
        <v>34220</v>
      </c>
      <c r="K356" s="117"/>
      <c r="L356" s="103">
        <f t="shared" si="37"/>
        <v>20</v>
      </c>
      <c r="M356" s="121" t="s">
        <v>1006</v>
      </c>
      <c r="N356" s="117" t="s">
        <v>946</v>
      </c>
      <c r="O356" s="118">
        <f t="shared" si="41"/>
        <v>34220</v>
      </c>
    </row>
    <row r="357" spans="1:15" ht="32.25" x14ac:dyDescent="0.3">
      <c r="A357" s="113" t="s">
        <v>1023</v>
      </c>
      <c r="B357" s="102"/>
      <c r="C357" s="25" t="s">
        <v>1009</v>
      </c>
      <c r="D357" s="38"/>
      <c r="E357" s="13"/>
      <c r="F357" s="50"/>
      <c r="G357" s="107">
        <v>44851</v>
      </c>
      <c r="H357" s="103">
        <v>5</v>
      </c>
      <c r="I357" s="104">
        <v>1165.8399999999999</v>
      </c>
      <c r="J357" s="104">
        <f t="shared" si="43"/>
        <v>5829.2</v>
      </c>
      <c r="K357" s="117"/>
      <c r="L357" s="103">
        <f t="shared" si="37"/>
        <v>5</v>
      </c>
      <c r="M357" s="121" t="s">
        <v>1006</v>
      </c>
      <c r="N357" s="117" t="s">
        <v>946</v>
      </c>
      <c r="O357" s="118">
        <f t="shared" si="41"/>
        <v>5829.2</v>
      </c>
    </row>
    <row r="358" spans="1:15" ht="23.25" customHeight="1" x14ac:dyDescent="0.3">
      <c r="A358" s="113" t="s">
        <v>1024</v>
      </c>
      <c r="B358" s="102"/>
      <c r="C358" s="25" t="s">
        <v>1010</v>
      </c>
      <c r="D358" s="38"/>
      <c r="E358" s="13"/>
      <c r="F358" s="50"/>
      <c r="G358" s="107">
        <v>44851</v>
      </c>
      <c r="H358" s="103">
        <v>5</v>
      </c>
      <c r="I358" s="104">
        <v>4399.04</v>
      </c>
      <c r="J358" s="104">
        <f t="shared" si="43"/>
        <v>21995.200000000001</v>
      </c>
      <c r="K358" s="117"/>
      <c r="L358" s="103">
        <f t="shared" si="37"/>
        <v>5</v>
      </c>
      <c r="M358" s="121" t="s">
        <v>1006</v>
      </c>
      <c r="N358" s="117" t="s">
        <v>946</v>
      </c>
      <c r="O358" s="118">
        <f t="shared" si="41"/>
        <v>21995.200000000001</v>
      </c>
    </row>
    <row r="359" spans="1:15" ht="32.25" x14ac:dyDescent="0.3">
      <c r="A359" s="113" t="s">
        <v>1025</v>
      </c>
      <c r="B359" s="102"/>
      <c r="C359" s="25" t="s">
        <v>1011</v>
      </c>
      <c r="D359" s="38"/>
      <c r="E359" s="13"/>
      <c r="F359" s="50"/>
      <c r="G359" s="107">
        <v>44851</v>
      </c>
      <c r="H359" s="117">
        <v>5</v>
      </c>
      <c r="I359" s="118">
        <v>4399.04</v>
      </c>
      <c r="J359" s="118">
        <f t="shared" si="43"/>
        <v>21995.200000000001</v>
      </c>
      <c r="K359" s="117"/>
      <c r="L359" s="103">
        <f t="shared" si="37"/>
        <v>5</v>
      </c>
      <c r="M359" s="121" t="s">
        <v>1006</v>
      </c>
      <c r="N359" s="117" t="s">
        <v>946</v>
      </c>
      <c r="O359" s="118">
        <f t="shared" si="41"/>
        <v>21995.200000000001</v>
      </c>
    </row>
    <row r="360" spans="1:15" ht="32.25" x14ac:dyDescent="0.3">
      <c r="A360" s="113" t="s">
        <v>1026</v>
      </c>
      <c r="B360" s="102"/>
      <c r="C360" s="25" t="s">
        <v>1012</v>
      </c>
      <c r="D360" s="38"/>
      <c r="E360" s="13"/>
      <c r="F360" s="50"/>
      <c r="G360" s="107">
        <v>44851</v>
      </c>
      <c r="H360" s="117">
        <v>5</v>
      </c>
      <c r="I360" s="118">
        <v>4399.04</v>
      </c>
      <c r="J360" s="118">
        <f t="shared" si="43"/>
        <v>21995.200000000001</v>
      </c>
      <c r="K360" s="117"/>
      <c r="L360" s="103">
        <f t="shared" si="37"/>
        <v>5</v>
      </c>
      <c r="M360" s="121" t="s">
        <v>1006</v>
      </c>
      <c r="N360" s="117" t="s">
        <v>946</v>
      </c>
      <c r="O360" s="118">
        <f t="shared" si="41"/>
        <v>21995.200000000001</v>
      </c>
    </row>
    <row r="361" spans="1:15" ht="32.25" x14ac:dyDescent="0.3">
      <c r="A361" s="113" t="s">
        <v>1027</v>
      </c>
      <c r="B361" s="102"/>
      <c r="C361" s="25" t="s">
        <v>1013</v>
      </c>
      <c r="D361" s="38"/>
      <c r="E361" s="13"/>
      <c r="F361" s="50"/>
      <c r="G361" s="107">
        <v>44851</v>
      </c>
      <c r="H361" s="117">
        <v>12</v>
      </c>
      <c r="I361" s="118">
        <v>1869.12</v>
      </c>
      <c r="J361" s="118">
        <f t="shared" si="43"/>
        <v>22429.439999999999</v>
      </c>
      <c r="K361" s="117"/>
      <c r="L361" s="103">
        <f t="shared" si="37"/>
        <v>12</v>
      </c>
      <c r="M361" s="121" t="s">
        <v>1006</v>
      </c>
      <c r="N361" s="117" t="s">
        <v>946</v>
      </c>
      <c r="O361" s="118">
        <f t="shared" si="41"/>
        <v>22429.439999999999</v>
      </c>
    </row>
    <row r="362" spans="1:15" ht="32.25" x14ac:dyDescent="0.3">
      <c r="A362" s="113" t="s">
        <v>1028</v>
      </c>
      <c r="B362" s="102"/>
      <c r="C362" s="25" t="s">
        <v>1014</v>
      </c>
      <c r="D362" s="38"/>
      <c r="E362" s="13"/>
      <c r="F362" s="50"/>
      <c r="G362" s="107">
        <v>44851</v>
      </c>
      <c r="H362" s="117">
        <v>30</v>
      </c>
      <c r="I362" s="118">
        <v>41.3</v>
      </c>
      <c r="J362" s="118">
        <f t="shared" si="43"/>
        <v>1239</v>
      </c>
      <c r="K362" s="117"/>
      <c r="L362" s="103">
        <f t="shared" si="37"/>
        <v>30</v>
      </c>
      <c r="M362" s="121" t="s">
        <v>1006</v>
      </c>
      <c r="N362" s="117" t="s">
        <v>946</v>
      </c>
      <c r="O362" s="118">
        <f t="shared" si="41"/>
        <v>1239</v>
      </c>
    </row>
    <row r="363" spans="1:15" s="105" customFormat="1" ht="15.75" x14ac:dyDescent="0.25">
      <c r="A363" s="113" t="s">
        <v>1029</v>
      </c>
      <c r="B363" s="102"/>
      <c r="C363" s="25" t="s">
        <v>1038</v>
      </c>
      <c r="D363" s="38"/>
      <c r="E363" s="13"/>
      <c r="F363" s="50"/>
      <c r="G363" s="107">
        <v>44852</v>
      </c>
      <c r="H363" s="103">
        <v>10</v>
      </c>
      <c r="I363" s="104">
        <v>18.77</v>
      </c>
      <c r="J363" s="104">
        <f t="shared" si="43"/>
        <v>187.7</v>
      </c>
      <c r="K363" s="103"/>
      <c r="L363" s="103">
        <f t="shared" si="37"/>
        <v>10</v>
      </c>
      <c r="M363" s="121" t="s">
        <v>1037</v>
      </c>
      <c r="N363" s="103" t="s">
        <v>947</v>
      </c>
      <c r="O363" s="104">
        <f t="shared" si="41"/>
        <v>187.7</v>
      </c>
    </row>
    <row r="364" spans="1:15" s="105" customFormat="1" ht="15.75" x14ac:dyDescent="0.25">
      <c r="A364" s="113" t="s">
        <v>1030</v>
      </c>
      <c r="B364" s="102"/>
      <c r="C364" s="25" t="s">
        <v>1041</v>
      </c>
      <c r="D364" s="38"/>
      <c r="E364" s="13"/>
      <c r="F364" s="50"/>
      <c r="G364" s="107">
        <v>44852</v>
      </c>
      <c r="H364" s="103">
        <v>40</v>
      </c>
      <c r="I364" s="104">
        <v>44.55</v>
      </c>
      <c r="J364" s="104">
        <f t="shared" si="43"/>
        <v>1782</v>
      </c>
      <c r="K364" s="103"/>
      <c r="L364" s="103">
        <f t="shared" si="37"/>
        <v>40</v>
      </c>
      <c r="M364" s="121" t="s">
        <v>1037</v>
      </c>
      <c r="N364" s="103" t="s">
        <v>947</v>
      </c>
      <c r="O364" s="104">
        <f t="shared" si="41"/>
        <v>1782</v>
      </c>
    </row>
    <row r="365" spans="1:15" s="105" customFormat="1" ht="15.75" x14ac:dyDescent="0.25">
      <c r="A365" s="113" t="s">
        <v>1031</v>
      </c>
      <c r="B365" s="102"/>
      <c r="C365" s="25" t="s">
        <v>1042</v>
      </c>
      <c r="D365" s="38"/>
      <c r="E365" s="13"/>
      <c r="F365" s="50"/>
      <c r="G365" s="107">
        <v>44851</v>
      </c>
      <c r="H365" s="103">
        <v>2</v>
      </c>
      <c r="I365" s="104">
        <v>650</v>
      </c>
      <c r="J365" s="104">
        <f t="shared" si="43"/>
        <v>1300</v>
      </c>
      <c r="K365" s="103"/>
      <c r="L365" s="103">
        <f t="shared" si="37"/>
        <v>2</v>
      </c>
      <c r="M365" s="121" t="s">
        <v>1037</v>
      </c>
      <c r="N365" s="103" t="s">
        <v>947</v>
      </c>
      <c r="O365" s="104">
        <f t="shared" si="41"/>
        <v>1300</v>
      </c>
    </row>
    <row r="366" spans="1:15" s="105" customFormat="1" ht="15.75" x14ac:dyDescent="0.25">
      <c r="A366" s="113" t="s">
        <v>1032</v>
      </c>
      <c r="B366" s="102"/>
      <c r="C366" s="25" t="s">
        <v>1043</v>
      </c>
      <c r="D366" s="38"/>
      <c r="E366" s="13"/>
      <c r="F366" s="50"/>
      <c r="G366" s="107">
        <v>44852</v>
      </c>
      <c r="H366" s="103">
        <f>10*12</f>
        <v>120</v>
      </c>
      <c r="I366" s="104">
        <v>27</v>
      </c>
      <c r="J366" s="104">
        <f>+I366*H366</f>
        <v>3240</v>
      </c>
      <c r="K366" s="103"/>
      <c r="L366" s="103">
        <f t="shared" si="37"/>
        <v>120</v>
      </c>
      <c r="M366" s="121" t="s">
        <v>1037</v>
      </c>
      <c r="N366" s="103" t="s">
        <v>947</v>
      </c>
      <c r="O366" s="104">
        <f t="shared" si="41"/>
        <v>3240</v>
      </c>
    </row>
    <row r="367" spans="1:15" s="105" customFormat="1" ht="15.75" x14ac:dyDescent="0.25">
      <c r="A367" s="113" t="s">
        <v>1033</v>
      </c>
      <c r="B367" s="102"/>
      <c r="C367" s="25" t="s">
        <v>1044</v>
      </c>
      <c r="D367" s="38"/>
      <c r="E367" s="13"/>
      <c r="F367" s="50"/>
      <c r="G367" s="107">
        <v>44852</v>
      </c>
      <c r="H367" s="103">
        <v>120</v>
      </c>
      <c r="I367" s="104">
        <v>45.89</v>
      </c>
      <c r="J367" s="104">
        <f>+I367*H367</f>
        <v>5506.8</v>
      </c>
      <c r="K367" s="103"/>
      <c r="L367" s="103">
        <f t="shared" si="37"/>
        <v>120</v>
      </c>
      <c r="M367" s="121" t="s">
        <v>1037</v>
      </c>
      <c r="N367" s="103" t="s">
        <v>947</v>
      </c>
      <c r="O367" s="104">
        <f t="shared" si="41"/>
        <v>5506.8</v>
      </c>
    </row>
    <row r="368" spans="1:15" s="105" customFormat="1" ht="15.75" x14ac:dyDescent="0.25">
      <c r="A368" s="113" t="s">
        <v>1034</v>
      </c>
      <c r="B368" s="102"/>
      <c r="C368" s="25" t="s">
        <v>1045</v>
      </c>
      <c r="D368" s="38"/>
      <c r="E368" s="13"/>
      <c r="F368" s="50"/>
      <c r="G368" s="107">
        <v>44852</v>
      </c>
      <c r="H368" s="103">
        <v>120</v>
      </c>
      <c r="I368" s="104">
        <v>51.33</v>
      </c>
      <c r="J368" s="104">
        <f t="shared" ref="J368:J383" si="44">+I368*H368</f>
        <v>6159.5999999999995</v>
      </c>
      <c r="K368" s="103"/>
      <c r="L368" s="103">
        <f t="shared" ref="L368:L390" si="45">+D368+H368-K368</f>
        <v>120</v>
      </c>
      <c r="M368" s="121" t="s">
        <v>1037</v>
      </c>
      <c r="N368" s="103" t="s">
        <v>947</v>
      </c>
      <c r="O368" s="104">
        <f t="shared" si="41"/>
        <v>6159.5999999999995</v>
      </c>
    </row>
    <row r="369" spans="1:15" s="105" customFormat="1" ht="15.75" x14ac:dyDescent="0.25">
      <c r="A369" s="113" t="s">
        <v>1057</v>
      </c>
      <c r="B369" s="102"/>
      <c r="C369" s="25" t="s">
        <v>1046</v>
      </c>
      <c r="D369" s="38"/>
      <c r="E369" s="13"/>
      <c r="F369" s="50"/>
      <c r="G369" s="107">
        <v>44852</v>
      </c>
      <c r="H369" s="103">
        <v>120</v>
      </c>
      <c r="I369" s="104">
        <v>127.65</v>
      </c>
      <c r="J369" s="104">
        <f t="shared" si="44"/>
        <v>15318</v>
      </c>
      <c r="K369" s="103"/>
      <c r="L369" s="103">
        <f t="shared" si="45"/>
        <v>120</v>
      </c>
      <c r="M369" s="121" t="s">
        <v>1037</v>
      </c>
      <c r="N369" s="103" t="s">
        <v>947</v>
      </c>
      <c r="O369" s="104">
        <f t="shared" si="41"/>
        <v>15318</v>
      </c>
    </row>
    <row r="370" spans="1:15" s="105" customFormat="1" ht="15.75" x14ac:dyDescent="0.25">
      <c r="A370" s="113" t="s">
        <v>1058</v>
      </c>
      <c r="B370" s="102"/>
      <c r="C370" s="25" t="s">
        <v>1047</v>
      </c>
      <c r="D370" s="38"/>
      <c r="E370" s="13"/>
      <c r="F370" s="50"/>
      <c r="G370" s="107">
        <v>44852</v>
      </c>
      <c r="H370" s="103">
        <v>5</v>
      </c>
      <c r="I370" s="104">
        <v>5442.16</v>
      </c>
      <c r="J370" s="104">
        <f t="shared" si="44"/>
        <v>27210.799999999999</v>
      </c>
      <c r="K370" s="103"/>
      <c r="L370" s="103">
        <f t="shared" si="45"/>
        <v>5</v>
      </c>
      <c r="M370" s="121" t="s">
        <v>1037</v>
      </c>
      <c r="N370" s="103" t="s">
        <v>947</v>
      </c>
      <c r="O370" s="104">
        <f t="shared" si="41"/>
        <v>27210.799999999999</v>
      </c>
    </row>
    <row r="371" spans="1:15" s="105" customFormat="1" ht="15.75" x14ac:dyDescent="0.25">
      <c r="A371" s="113" t="s">
        <v>1059</v>
      </c>
      <c r="B371" s="102"/>
      <c r="C371" s="25" t="s">
        <v>1048</v>
      </c>
      <c r="D371" s="38"/>
      <c r="E371" s="13"/>
      <c r="F371" s="50"/>
      <c r="G371" s="107">
        <v>44852</v>
      </c>
      <c r="H371" s="103">
        <v>1</v>
      </c>
      <c r="I371" s="104">
        <v>5330</v>
      </c>
      <c r="J371" s="104">
        <f t="shared" si="44"/>
        <v>5330</v>
      </c>
      <c r="K371" s="103">
        <v>1</v>
      </c>
      <c r="L371" s="103">
        <f t="shared" si="45"/>
        <v>0</v>
      </c>
      <c r="M371" s="121" t="s">
        <v>1037</v>
      </c>
      <c r="N371" s="103" t="s">
        <v>947</v>
      </c>
      <c r="O371" s="104">
        <f t="shared" si="41"/>
        <v>0</v>
      </c>
    </row>
    <row r="372" spans="1:15" s="105" customFormat="1" ht="15.75" x14ac:dyDescent="0.25">
      <c r="A372" s="113" t="s">
        <v>1060</v>
      </c>
      <c r="B372" s="102"/>
      <c r="C372" s="25" t="s">
        <v>1049</v>
      </c>
      <c r="D372" s="38"/>
      <c r="E372" s="13"/>
      <c r="F372" s="50"/>
      <c r="G372" s="107">
        <v>44852</v>
      </c>
      <c r="H372" s="103">
        <v>5</v>
      </c>
      <c r="I372" s="104">
        <v>678.24</v>
      </c>
      <c r="J372" s="104">
        <f t="shared" si="44"/>
        <v>3391.2</v>
      </c>
      <c r="K372" s="103"/>
      <c r="L372" s="103">
        <f t="shared" si="45"/>
        <v>5</v>
      </c>
      <c r="M372" s="121" t="s">
        <v>1037</v>
      </c>
      <c r="N372" s="103" t="s">
        <v>947</v>
      </c>
      <c r="O372" s="104">
        <f t="shared" si="41"/>
        <v>3391.2</v>
      </c>
    </row>
    <row r="373" spans="1:15" s="105" customFormat="1" ht="15.75" x14ac:dyDescent="0.25">
      <c r="A373" s="113" t="s">
        <v>1061</v>
      </c>
      <c r="B373" s="102"/>
      <c r="C373" s="25" t="s">
        <v>1050</v>
      </c>
      <c r="D373" s="38"/>
      <c r="E373" s="13"/>
      <c r="F373" s="50"/>
      <c r="G373" s="107">
        <v>44852</v>
      </c>
      <c r="H373" s="103">
        <v>5</v>
      </c>
      <c r="I373" s="104">
        <v>678.24</v>
      </c>
      <c r="J373" s="104">
        <f t="shared" si="44"/>
        <v>3391.2</v>
      </c>
      <c r="K373" s="103"/>
      <c r="L373" s="103">
        <f t="shared" si="45"/>
        <v>5</v>
      </c>
      <c r="M373" s="121" t="s">
        <v>1037</v>
      </c>
      <c r="N373" s="103" t="s">
        <v>947</v>
      </c>
      <c r="O373" s="104">
        <f t="shared" si="41"/>
        <v>3391.2</v>
      </c>
    </row>
    <row r="374" spans="1:15" s="105" customFormat="1" ht="15.75" x14ac:dyDescent="0.25">
      <c r="A374" s="113" t="s">
        <v>1062</v>
      </c>
      <c r="B374" s="102"/>
      <c r="C374" s="25" t="s">
        <v>1051</v>
      </c>
      <c r="D374" s="38"/>
      <c r="E374" s="13"/>
      <c r="F374" s="50"/>
      <c r="G374" s="107">
        <v>44852</v>
      </c>
      <c r="H374" s="103">
        <v>3</v>
      </c>
      <c r="I374" s="104">
        <v>511</v>
      </c>
      <c r="J374" s="104">
        <f t="shared" si="44"/>
        <v>1533</v>
      </c>
      <c r="K374" s="103">
        <v>1</v>
      </c>
      <c r="L374" s="103">
        <f t="shared" si="45"/>
        <v>2</v>
      </c>
      <c r="M374" s="121" t="s">
        <v>1037</v>
      </c>
      <c r="N374" s="103" t="s">
        <v>947</v>
      </c>
      <c r="O374" s="104">
        <f t="shared" si="41"/>
        <v>1022</v>
      </c>
    </row>
    <row r="375" spans="1:15" s="105" customFormat="1" ht="15.75" x14ac:dyDescent="0.25">
      <c r="A375" s="113" t="s">
        <v>1063</v>
      </c>
      <c r="B375" s="102"/>
      <c r="C375" s="25" t="s">
        <v>1052</v>
      </c>
      <c r="D375" s="38"/>
      <c r="E375" s="13"/>
      <c r="F375" s="50"/>
      <c r="G375" s="107">
        <v>44852</v>
      </c>
      <c r="H375" s="103">
        <v>3</v>
      </c>
      <c r="I375" s="104">
        <v>511</v>
      </c>
      <c r="J375" s="104">
        <f t="shared" si="44"/>
        <v>1533</v>
      </c>
      <c r="K375" s="103"/>
      <c r="L375" s="103">
        <f t="shared" si="45"/>
        <v>3</v>
      </c>
      <c r="M375" s="121" t="s">
        <v>1037</v>
      </c>
      <c r="N375" s="103" t="s">
        <v>947</v>
      </c>
      <c r="O375" s="104">
        <f t="shared" si="41"/>
        <v>1533</v>
      </c>
    </row>
    <row r="376" spans="1:15" s="105" customFormat="1" ht="15.75" x14ac:dyDescent="0.25">
      <c r="A376" s="113" t="s">
        <v>1064</v>
      </c>
      <c r="B376" s="102"/>
      <c r="C376" s="25" t="s">
        <v>1053</v>
      </c>
      <c r="D376" s="38"/>
      <c r="E376" s="13"/>
      <c r="F376" s="50"/>
      <c r="G376" s="107">
        <v>44852</v>
      </c>
      <c r="H376" s="103">
        <v>3</v>
      </c>
      <c r="I376" s="104">
        <v>511</v>
      </c>
      <c r="J376" s="104">
        <f t="shared" si="44"/>
        <v>1533</v>
      </c>
      <c r="K376" s="103"/>
      <c r="L376" s="103">
        <f t="shared" si="45"/>
        <v>3</v>
      </c>
      <c r="M376" s="121" t="s">
        <v>1037</v>
      </c>
      <c r="N376" s="103" t="s">
        <v>947</v>
      </c>
      <c r="O376" s="104">
        <f t="shared" si="41"/>
        <v>1533</v>
      </c>
    </row>
    <row r="377" spans="1:15" s="105" customFormat="1" ht="15.75" x14ac:dyDescent="0.25">
      <c r="A377" s="113" t="s">
        <v>1065</v>
      </c>
      <c r="B377" s="102"/>
      <c r="C377" s="25" t="s">
        <v>1054</v>
      </c>
      <c r="D377" s="38"/>
      <c r="E377" s="13"/>
      <c r="F377" s="50"/>
      <c r="G377" s="107">
        <v>44852</v>
      </c>
      <c r="H377" s="103">
        <v>3</v>
      </c>
      <c r="I377" s="104">
        <v>511</v>
      </c>
      <c r="J377" s="104">
        <f t="shared" si="44"/>
        <v>1533</v>
      </c>
      <c r="K377" s="103"/>
      <c r="L377" s="103">
        <f t="shared" si="45"/>
        <v>3</v>
      </c>
      <c r="M377" s="121" t="s">
        <v>1037</v>
      </c>
      <c r="N377" s="103" t="s">
        <v>947</v>
      </c>
      <c r="O377" s="104">
        <f t="shared" si="41"/>
        <v>1533</v>
      </c>
    </row>
    <row r="378" spans="1:15" s="105" customFormat="1" ht="15.75" x14ac:dyDescent="0.25">
      <c r="A378" s="113" t="s">
        <v>1066</v>
      </c>
      <c r="B378" s="102"/>
      <c r="C378" s="25" t="s">
        <v>1055</v>
      </c>
      <c r="D378" s="38"/>
      <c r="E378" s="13"/>
      <c r="F378" s="50"/>
      <c r="G378" s="107">
        <v>44852</v>
      </c>
      <c r="H378" s="103">
        <v>20</v>
      </c>
      <c r="I378" s="104">
        <v>3.32</v>
      </c>
      <c r="J378" s="104">
        <f t="shared" si="44"/>
        <v>66.399999999999991</v>
      </c>
      <c r="K378" s="103"/>
      <c r="L378" s="103">
        <f t="shared" si="45"/>
        <v>20</v>
      </c>
      <c r="M378" s="121" t="s">
        <v>1037</v>
      </c>
      <c r="N378" s="103" t="s">
        <v>947</v>
      </c>
      <c r="O378" s="104">
        <f t="shared" si="41"/>
        <v>66.399999999999991</v>
      </c>
    </row>
    <row r="379" spans="1:15" s="105" customFormat="1" ht="15.75" x14ac:dyDescent="0.25">
      <c r="A379" s="113" t="s">
        <v>1067</v>
      </c>
      <c r="B379" s="102"/>
      <c r="C379" s="25" t="s">
        <v>1056</v>
      </c>
      <c r="D379" s="38"/>
      <c r="E379" s="13"/>
      <c r="F379" s="50"/>
      <c r="G379" s="107">
        <v>44852</v>
      </c>
      <c r="H379" s="103">
        <v>5</v>
      </c>
      <c r="I379" s="104">
        <v>64.900000000000006</v>
      </c>
      <c r="J379" s="104">
        <f t="shared" si="44"/>
        <v>324.5</v>
      </c>
      <c r="K379" s="103"/>
      <c r="L379" s="103">
        <f t="shared" si="45"/>
        <v>5</v>
      </c>
      <c r="M379" s="121" t="s">
        <v>1037</v>
      </c>
      <c r="N379" s="103" t="s">
        <v>947</v>
      </c>
      <c r="O379" s="104">
        <f t="shared" si="41"/>
        <v>324.5</v>
      </c>
    </row>
    <row r="380" spans="1:15" s="105" customFormat="1" ht="15.75" x14ac:dyDescent="0.25">
      <c r="A380" s="113" t="s">
        <v>1067</v>
      </c>
      <c r="B380" s="102"/>
      <c r="C380" s="25" t="s">
        <v>1056</v>
      </c>
      <c r="D380" s="38"/>
      <c r="E380" s="13"/>
      <c r="F380" s="50"/>
      <c r="G380" s="107">
        <v>44852</v>
      </c>
      <c r="H380" s="103">
        <v>5</v>
      </c>
      <c r="I380" s="104">
        <v>64.900000000000006</v>
      </c>
      <c r="J380" s="104">
        <f t="shared" si="44"/>
        <v>324.5</v>
      </c>
      <c r="K380" s="103"/>
      <c r="L380" s="103">
        <f t="shared" si="45"/>
        <v>5</v>
      </c>
      <c r="M380" s="121" t="s">
        <v>1037</v>
      </c>
      <c r="N380" s="103" t="s">
        <v>947</v>
      </c>
      <c r="O380" s="104">
        <f t="shared" si="41"/>
        <v>324.5</v>
      </c>
    </row>
    <row r="381" spans="1:15" s="105" customFormat="1" ht="15.75" x14ac:dyDescent="0.25">
      <c r="A381" s="113" t="s">
        <v>1068</v>
      </c>
      <c r="B381" s="102"/>
      <c r="C381" s="25" t="s">
        <v>1077</v>
      </c>
      <c r="D381" s="38"/>
      <c r="E381" s="13"/>
      <c r="F381" s="50"/>
      <c r="G381" s="107">
        <v>44865</v>
      </c>
      <c r="H381" s="103">
        <v>5</v>
      </c>
      <c r="I381" s="104">
        <v>8720.2000000000007</v>
      </c>
      <c r="J381" s="104">
        <f t="shared" si="44"/>
        <v>43601</v>
      </c>
      <c r="K381" s="103"/>
      <c r="L381" s="103">
        <f t="shared" si="45"/>
        <v>5</v>
      </c>
      <c r="M381" s="121" t="s">
        <v>1078</v>
      </c>
      <c r="N381" s="103" t="s">
        <v>947</v>
      </c>
      <c r="O381" s="104">
        <f t="shared" si="41"/>
        <v>43601</v>
      </c>
    </row>
    <row r="382" spans="1:15" s="105" customFormat="1" ht="15.75" x14ac:dyDescent="0.25">
      <c r="A382" s="113" t="s">
        <v>1073</v>
      </c>
      <c r="B382" s="102"/>
      <c r="C382" s="25" t="s">
        <v>1079</v>
      </c>
      <c r="D382" s="38"/>
      <c r="E382" s="13"/>
      <c r="F382" s="50"/>
      <c r="G382" s="107">
        <v>44865</v>
      </c>
      <c r="H382" s="103">
        <v>5</v>
      </c>
      <c r="I382" s="104">
        <v>7729</v>
      </c>
      <c r="J382" s="104">
        <f t="shared" si="44"/>
        <v>38645</v>
      </c>
      <c r="K382" s="103"/>
      <c r="L382" s="103">
        <f t="shared" si="45"/>
        <v>5</v>
      </c>
      <c r="M382" s="121" t="s">
        <v>1078</v>
      </c>
      <c r="N382" s="103" t="s">
        <v>947</v>
      </c>
      <c r="O382" s="104">
        <f t="shared" si="41"/>
        <v>38645</v>
      </c>
    </row>
    <row r="383" spans="1:15" s="105" customFormat="1" ht="15.75" x14ac:dyDescent="0.25">
      <c r="A383" s="113" t="s">
        <v>1074</v>
      </c>
      <c r="B383" s="102"/>
      <c r="C383" s="25" t="s">
        <v>1080</v>
      </c>
      <c r="D383" s="38"/>
      <c r="E383" s="13"/>
      <c r="F383" s="50"/>
      <c r="G383" s="107">
        <v>44865</v>
      </c>
      <c r="H383" s="103">
        <v>10</v>
      </c>
      <c r="I383" s="104">
        <v>4897</v>
      </c>
      <c r="J383" s="104">
        <f t="shared" si="44"/>
        <v>48970</v>
      </c>
      <c r="K383" s="103"/>
      <c r="L383" s="103">
        <f t="shared" si="45"/>
        <v>10</v>
      </c>
      <c r="M383" s="121" t="s">
        <v>1078</v>
      </c>
      <c r="N383" s="103" t="s">
        <v>947</v>
      </c>
      <c r="O383" s="104">
        <f t="shared" si="41"/>
        <v>48970</v>
      </c>
    </row>
    <row r="384" spans="1:15" s="105" customFormat="1" ht="15.75" x14ac:dyDescent="0.25">
      <c r="A384" s="113" t="s">
        <v>1075</v>
      </c>
      <c r="B384" s="102"/>
      <c r="C384" s="25" t="s">
        <v>1072</v>
      </c>
      <c r="D384" s="38"/>
      <c r="E384" s="13"/>
      <c r="F384" s="50"/>
      <c r="G384" s="107">
        <v>44879</v>
      </c>
      <c r="H384" s="103">
        <v>10</v>
      </c>
      <c r="I384" s="104">
        <v>3717</v>
      </c>
      <c r="J384" s="104">
        <f>+I384*H384</f>
        <v>37170</v>
      </c>
      <c r="K384" s="103"/>
      <c r="L384" s="103">
        <f t="shared" si="45"/>
        <v>10</v>
      </c>
      <c r="M384" s="121"/>
      <c r="N384" s="103" t="s">
        <v>946</v>
      </c>
      <c r="O384" s="104">
        <f t="shared" si="41"/>
        <v>37170</v>
      </c>
    </row>
    <row r="385" spans="1:15" s="105" customFormat="1" ht="15.75" x14ac:dyDescent="0.25">
      <c r="A385" s="113" t="s">
        <v>1076</v>
      </c>
      <c r="B385" s="102"/>
      <c r="C385" s="25" t="s">
        <v>1070</v>
      </c>
      <c r="D385" s="38"/>
      <c r="E385" s="13"/>
      <c r="F385" s="50"/>
      <c r="G385" s="107"/>
      <c r="H385" s="103"/>
      <c r="I385" s="104"/>
      <c r="J385" s="104"/>
      <c r="K385" s="103">
        <v>1</v>
      </c>
      <c r="L385" s="103">
        <f t="shared" si="45"/>
        <v>-1</v>
      </c>
      <c r="M385" s="121"/>
      <c r="N385" s="103" t="s">
        <v>947</v>
      </c>
      <c r="O385" s="104">
        <f t="shared" si="41"/>
        <v>0</v>
      </c>
    </row>
    <row r="386" spans="1:15" s="105" customFormat="1" ht="15.75" x14ac:dyDescent="0.25">
      <c r="A386" s="113" t="s">
        <v>1081</v>
      </c>
      <c r="B386" s="102"/>
      <c r="C386" s="25" t="s">
        <v>1071</v>
      </c>
      <c r="D386" s="38"/>
      <c r="E386" s="13"/>
      <c r="F386" s="50"/>
      <c r="G386" s="107"/>
      <c r="H386" s="103"/>
      <c r="I386" s="104"/>
      <c r="J386" s="104"/>
      <c r="K386" s="103">
        <v>1</v>
      </c>
      <c r="L386" s="103">
        <f t="shared" si="45"/>
        <v>-1</v>
      </c>
      <c r="M386" s="121"/>
      <c r="N386" s="103" t="s">
        <v>947</v>
      </c>
      <c r="O386" s="104">
        <f t="shared" si="41"/>
        <v>0</v>
      </c>
    </row>
    <row r="387" spans="1:15" s="105" customFormat="1" ht="15.75" x14ac:dyDescent="0.25">
      <c r="A387" s="113" t="s">
        <v>1082</v>
      </c>
      <c r="B387" s="102"/>
      <c r="C387" s="25" t="s">
        <v>1069</v>
      </c>
      <c r="D387" s="38"/>
      <c r="E387" s="13"/>
      <c r="F387" s="50"/>
      <c r="G387" s="107"/>
      <c r="H387" s="103"/>
      <c r="I387" s="104"/>
      <c r="J387" s="104"/>
      <c r="K387" s="103">
        <v>1</v>
      </c>
      <c r="L387" s="103">
        <f t="shared" si="45"/>
        <v>-1</v>
      </c>
      <c r="M387" s="121"/>
      <c r="N387" s="103" t="s">
        <v>946</v>
      </c>
      <c r="O387" s="104">
        <f t="shared" si="41"/>
        <v>0</v>
      </c>
    </row>
    <row r="388" spans="1:15" s="105" customFormat="1" ht="31.5" x14ac:dyDescent="0.25">
      <c r="A388" s="113" t="s">
        <v>1083</v>
      </c>
      <c r="B388" s="102"/>
      <c r="C388" s="25" t="s">
        <v>1084</v>
      </c>
      <c r="D388" s="38"/>
      <c r="E388" s="13"/>
      <c r="F388" s="50"/>
      <c r="G388" s="107">
        <v>44903</v>
      </c>
      <c r="H388" s="103">
        <f>25*12</f>
        <v>300</v>
      </c>
      <c r="I388" s="104">
        <v>81.13</v>
      </c>
      <c r="J388" s="104">
        <f>+I388*H388</f>
        <v>24339</v>
      </c>
      <c r="K388" s="103">
        <f>8+2</f>
        <v>10</v>
      </c>
      <c r="L388" s="103">
        <f t="shared" si="45"/>
        <v>290</v>
      </c>
      <c r="M388" s="121" t="s">
        <v>1006</v>
      </c>
      <c r="N388" s="103" t="s">
        <v>945</v>
      </c>
      <c r="O388" s="104">
        <f>+L388*I388</f>
        <v>23527.699999999997</v>
      </c>
    </row>
    <row r="389" spans="1:15" s="105" customFormat="1" ht="31.5" x14ac:dyDescent="0.25">
      <c r="A389" s="113" t="s">
        <v>1099</v>
      </c>
      <c r="B389" s="102"/>
      <c r="C389" s="25" t="s">
        <v>1085</v>
      </c>
      <c r="D389" s="38"/>
      <c r="E389" s="13"/>
      <c r="F389" s="50"/>
      <c r="G389" s="107">
        <v>44903</v>
      </c>
      <c r="H389" s="103">
        <f>40*6</f>
        <v>240</v>
      </c>
      <c r="I389" s="104">
        <v>81.13</v>
      </c>
      <c r="J389" s="104">
        <f t="shared" ref="J389:J390" si="46">+I389*H389</f>
        <v>19471.199999999997</v>
      </c>
      <c r="K389" s="103">
        <f>4+4</f>
        <v>8</v>
      </c>
      <c r="L389" s="103">
        <f t="shared" si="45"/>
        <v>232</v>
      </c>
      <c r="M389" s="121" t="s">
        <v>1006</v>
      </c>
      <c r="N389" s="103" t="s">
        <v>945</v>
      </c>
      <c r="O389" s="104">
        <f t="shared" ref="O389:O402" si="47">+L389*I389</f>
        <v>18822.16</v>
      </c>
    </row>
    <row r="390" spans="1:15" s="105" customFormat="1" ht="31.5" x14ac:dyDescent="0.25">
      <c r="A390" s="113" t="s">
        <v>1100</v>
      </c>
      <c r="B390" s="102"/>
      <c r="C390" s="25" t="s">
        <v>1086</v>
      </c>
      <c r="D390" s="38"/>
      <c r="E390" s="13"/>
      <c r="F390" s="50"/>
      <c r="G390" s="107">
        <v>44903</v>
      </c>
      <c r="H390" s="103">
        <f>20*4</f>
        <v>80</v>
      </c>
      <c r="I390" s="104">
        <v>408.28</v>
      </c>
      <c r="J390" s="104">
        <f t="shared" si="46"/>
        <v>32662.399999999998</v>
      </c>
      <c r="K390" s="103">
        <v>1</v>
      </c>
      <c r="L390" s="103">
        <f t="shared" si="45"/>
        <v>79</v>
      </c>
      <c r="M390" s="121" t="s">
        <v>1006</v>
      </c>
      <c r="N390" s="103" t="s">
        <v>945</v>
      </c>
      <c r="O390" s="104">
        <f t="shared" si="47"/>
        <v>32254.12</v>
      </c>
    </row>
    <row r="391" spans="1:15" s="105" customFormat="1" ht="31.5" x14ac:dyDescent="0.25">
      <c r="A391" s="113" t="s">
        <v>1101</v>
      </c>
      <c r="B391" s="102"/>
      <c r="C391" s="25" t="s">
        <v>1087</v>
      </c>
      <c r="D391" s="38"/>
      <c r="E391" s="13"/>
      <c r="F391" s="50"/>
      <c r="G391" s="107">
        <v>44903</v>
      </c>
      <c r="H391" s="103">
        <f>20*4</f>
        <v>80</v>
      </c>
      <c r="I391" s="104">
        <v>116.53</v>
      </c>
      <c r="J391" s="104">
        <f t="shared" ref="J391:J402" si="48">+I391*H391</f>
        <v>9322.4</v>
      </c>
      <c r="K391" s="103">
        <f>2+1+1</f>
        <v>4</v>
      </c>
      <c r="L391" s="103">
        <f t="shared" ref="L391:L404" si="49">+D391+H391-K391</f>
        <v>76</v>
      </c>
      <c r="M391" s="121" t="s">
        <v>1006</v>
      </c>
      <c r="N391" s="103" t="s">
        <v>945</v>
      </c>
      <c r="O391" s="104">
        <f t="shared" si="47"/>
        <v>8856.2800000000007</v>
      </c>
    </row>
    <row r="392" spans="1:15" s="105" customFormat="1" ht="31.5" x14ac:dyDescent="0.25">
      <c r="A392" s="113" t="s">
        <v>1102</v>
      </c>
      <c r="B392" s="102"/>
      <c r="C392" s="25" t="s">
        <v>1088</v>
      </c>
      <c r="D392" s="38"/>
      <c r="E392" s="13"/>
      <c r="F392" s="50"/>
      <c r="G392" s="107">
        <v>44903</v>
      </c>
      <c r="H392" s="103">
        <f>2*12</f>
        <v>24</v>
      </c>
      <c r="I392" s="104">
        <v>101.33</v>
      </c>
      <c r="J392" s="104">
        <f t="shared" si="48"/>
        <v>2431.92</v>
      </c>
      <c r="K392" s="103"/>
      <c r="L392" s="103">
        <f t="shared" si="49"/>
        <v>24</v>
      </c>
      <c r="M392" s="121" t="s">
        <v>1006</v>
      </c>
      <c r="N392" s="103" t="s">
        <v>945</v>
      </c>
      <c r="O392" s="104">
        <f t="shared" si="47"/>
        <v>2431.92</v>
      </c>
    </row>
    <row r="393" spans="1:15" s="105" customFormat="1" ht="31.5" x14ac:dyDescent="0.25">
      <c r="A393" s="113" t="s">
        <v>1103</v>
      </c>
      <c r="B393" s="102"/>
      <c r="C393" s="25" t="s">
        <v>1089</v>
      </c>
      <c r="D393" s="38"/>
      <c r="E393" s="13"/>
      <c r="F393" s="50"/>
      <c r="G393" s="107">
        <v>44903</v>
      </c>
      <c r="H393" s="103">
        <f>2*12</f>
        <v>24</v>
      </c>
      <c r="I393" s="104">
        <v>101.33</v>
      </c>
      <c r="J393" s="104">
        <f t="shared" si="48"/>
        <v>2431.92</v>
      </c>
      <c r="K393" s="103"/>
      <c r="L393" s="103">
        <f t="shared" si="49"/>
        <v>24</v>
      </c>
      <c r="M393" s="121" t="s">
        <v>1006</v>
      </c>
      <c r="N393" s="103" t="s">
        <v>945</v>
      </c>
      <c r="O393" s="104">
        <f t="shared" si="47"/>
        <v>2431.92</v>
      </c>
    </row>
    <row r="394" spans="1:15" s="105" customFormat="1" ht="31.5" x14ac:dyDescent="0.25">
      <c r="A394" s="113" t="s">
        <v>1104</v>
      </c>
      <c r="B394" s="102"/>
      <c r="C394" s="25" t="s">
        <v>1090</v>
      </c>
      <c r="D394" s="38"/>
      <c r="E394" s="13"/>
      <c r="F394" s="50"/>
      <c r="G394" s="107">
        <v>44903</v>
      </c>
      <c r="H394" s="103">
        <v>24</v>
      </c>
      <c r="I394" s="104">
        <v>79.010000000000005</v>
      </c>
      <c r="J394" s="104">
        <f t="shared" si="48"/>
        <v>1896.2400000000002</v>
      </c>
      <c r="K394" s="103"/>
      <c r="L394" s="103">
        <f t="shared" si="49"/>
        <v>24</v>
      </c>
      <c r="M394" s="121" t="s">
        <v>1006</v>
      </c>
      <c r="N394" s="103" t="s">
        <v>945</v>
      </c>
      <c r="O394" s="104">
        <f>+L394*I394</f>
        <v>1896.2400000000002</v>
      </c>
    </row>
    <row r="395" spans="1:15" s="105" customFormat="1" ht="31.5" x14ac:dyDescent="0.25">
      <c r="A395" s="113" t="s">
        <v>1105</v>
      </c>
      <c r="B395" s="102"/>
      <c r="C395" s="25" t="s">
        <v>1091</v>
      </c>
      <c r="D395" s="38"/>
      <c r="E395" s="13"/>
      <c r="F395" s="50"/>
      <c r="G395" s="107">
        <v>44903</v>
      </c>
      <c r="H395" s="103">
        <v>24</v>
      </c>
      <c r="I395" s="104">
        <v>67.7</v>
      </c>
      <c r="J395" s="104">
        <f t="shared" si="48"/>
        <v>1624.8000000000002</v>
      </c>
      <c r="K395" s="103"/>
      <c r="L395" s="103">
        <f t="shared" si="49"/>
        <v>24</v>
      </c>
      <c r="M395" s="121" t="s">
        <v>1006</v>
      </c>
      <c r="N395" s="103" t="s">
        <v>945</v>
      </c>
      <c r="O395" s="104">
        <f t="shared" si="47"/>
        <v>1624.8000000000002</v>
      </c>
    </row>
    <row r="396" spans="1:15" s="105" customFormat="1" ht="31.5" x14ac:dyDescent="0.25">
      <c r="A396" s="113" t="s">
        <v>1106</v>
      </c>
      <c r="B396" s="102"/>
      <c r="C396" s="25" t="s">
        <v>1092</v>
      </c>
      <c r="D396" s="38"/>
      <c r="E396" s="13"/>
      <c r="F396" s="50"/>
      <c r="G396" s="107">
        <v>44903</v>
      </c>
      <c r="H396" s="103">
        <v>24</v>
      </c>
      <c r="I396" s="104">
        <v>195.83</v>
      </c>
      <c r="J396" s="104">
        <f t="shared" si="48"/>
        <v>4699.92</v>
      </c>
      <c r="K396" s="103"/>
      <c r="L396" s="103">
        <f t="shared" si="49"/>
        <v>24</v>
      </c>
      <c r="M396" s="121" t="s">
        <v>1006</v>
      </c>
      <c r="N396" s="103" t="s">
        <v>945</v>
      </c>
      <c r="O396" s="104">
        <f t="shared" si="47"/>
        <v>4699.92</v>
      </c>
    </row>
    <row r="397" spans="1:15" s="105" customFormat="1" ht="31.5" x14ac:dyDescent="0.25">
      <c r="A397" s="113" t="s">
        <v>1107</v>
      </c>
      <c r="B397" s="102"/>
      <c r="C397" s="25" t="s">
        <v>1093</v>
      </c>
      <c r="D397" s="38"/>
      <c r="E397" s="13"/>
      <c r="F397" s="50"/>
      <c r="G397" s="107">
        <v>44903</v>
      </c>
      <c r="H397" s="103">
        <v>24</v>
      </c>
      <c r="I397" s="104">
        <v>126.8</v>
      </c>
      <c r="J397" s="104">
        <f t="shared" si="48"/>
        <v>3043.2</v>
      </c>
      <c r="K397" s="103"/>
      <c r="L397" s="103">
        <f t="shared" si="49"/>
        <v>24</v>
      </c>
      <c r="M397" s="121" t="s">
        <v>1006</v>
      </c>
      <c r="N397" s="103" t="s">
        <v>945</v>
      </c>
      <c r="O397" s="104">
        <f t="shared" si="47"/>
        <v>3043.2</v>
      </c>
    </row>
    <row r="398" spans="1:15" s="105" customFormat="1" ht="31.5" x14ac:dyDescent="0.25">
      <c r="A398" s="113" t="s">
        <v>1108</v>
      </c>
      <c r="B398" s="102"/>
      <c r="C398" s="25" t="s">
        <v>1094</v>
      </c>
      <c r="D398" s="38"/>
      <c r="E398" s="13"/>
      <c r="F398" s="50"/>
      <c r="G398" s="107">
        <v>44903</v>
      </c>
      <c r="H398" s="103">
        <v>24</v>
      </c>
      <c r="I398" s="104">
        <v>129.85</v>
      </c>
      <c r="J398" s="104">
        <f t="shared" si="48"/>
        <v>3116.3999999999996</v>
      </c>
      <c r="K398" s="103"/>
      <c r="L398" s="103">
        <f t="shared" si="49"/>
        <v>24</v>
      </c>
      <c r="M398" s="121" t="s">
        <v>1006</v>
      </c>
      <c r="N398" s="103" t="s">
        <v>945</v>
      </c>
      <c r="O398" s="104">
        <f t="shared" si="47"/>
        <v>3116.3999999999996</v>
      </c>
    </row>
    <row r="399" spans="1:15" s="105" customFormat="1" ht="31.5" x14ac:dyDescent="0.25">
      <c r="A399" s="113" t="s">
        <v>1109</v>
      </c>
      <c r="B399" s="102"/>
      <c r="C399" s="25" t="s">
        <v>1095</v>
      </c>
      <c r="D399" s="38"/>
      <c r="E399" s="13"/>
      <c r="F399" s="50"/>
      <c r="G399" s="107">
        <v>44903</v>
      </c>
      <c r="H399" s="103">
        <v>4</v>
      </c>
      <c r="I399" s="104">
        <v>1606.5</v>
      </c>
      <c r="J399" s="104">
        <f t="shared" si="48"/>
        <v>6426</v>
      </c>
      <c r="K399" s="103"/>
      <c r="L399" s="103">
        <f t="shared" si="49"/>
        <v>4</v>
      </c>
      <c r="M399" s="121" t="s">
        <v>1006</v>
      </c>
      <c r="N399" s="103" t="s">
        <v>945</v>
      </c>
      <c r="O399" s="104">
        <f>+L399*I399</f>
        <v>6426</v>
      </c>
    </row>
    <row r="400" spans="1:15" s="105" customFormat="1" ht="31.5" x14ac:dyDescent="0.25">
      <c r="A400" s="113" t="s">
        <v>1110</v>
      </c>
      <c r="B400" s="102"/>
      <c r="C400" s="25" t="s">
        <v>1096</v>
      </c>
      <c r="D400" s="38"/>
      <c r="E400" s="13"/>
      <c r="F400" s="50"/>
      <c r="G400" s="107">
        <v>44903</v>
      </c>
      <c r="H400" s="103">
        <v>24</v>
      </c>
      <c r="I400" s="104">
        <v>134.13</v>
      </c>
      <c r="J400" s="104">
        <f t="shared" si="48"/>
        <v>3219.12</v>
      </c>
      <c r="K400" s="103"/>
      <c r="L400" s="103">
        <f t="shared" si="49"/>
        <v>24</v>
      </c>
      <c r="M400" s="121" t="s">
        <v>1006</v>
      </c>
      <c r="N400" s="103" t="s">
        <v>945</v>
      </c>
      <c r="O400" s="104">
        <f t="shared" si="47"/>
        <v>3219.12</v>
      </c>
    </row>
    <row r="401" spans="1:15" s="105" customFormat="1" ht="31.5" x14ac:dyDescent="0.25">
      <c r="A401" s="113" t="s">
        <v>1111</v>
      </c>
      <c r="B401" s="102"/>
      <c r="C401" s="25" t="s">
        <v>1097</v>
      </c>
      <c r="D401" s="38"/>
      <c r="E401" s="13"/>
      <c r="F401" s="50"/>
      <c r="G401" s="107">
        <v>44903</v>
      </c>
      <c r="H401" s="103">
        <v>24</v>
      </c>
      <c r="I401" s="104">
        <v>147.35</v>
      </c>
      <c r="J401" s="104">
        <f t="shared" si="48"/>
        <v>3536.3999999999996</v>
      </c>
      <c r="K401" s="103"/>
      <c r="L401" s="103">
        <f t="shared" si="49"/>
        <v>24</v>
      </c>
      <c r="M401" s="121" t="s">
        <v>1006</v>
      </c>
      <c r="N401" s="103" t="s">
        <v>945</v>
      </c>
      <c r="O401" s="104">
        <f t="shared" si="47"/>
        <v>3536.3999999999996</v>
      </c>
    </row>
    <row r="402" spans="1:15" s="105" customFormat="1" ht="31.5" x14ac:dyDescent="0.25">
      <c r="A402" s="113" t="s">
        <v>1112</v>
      </c>
      <c r="B402" s="102"/>
      <c r="C402" s="25" t="s">
        <v>1098</v>
      </c>
      <c r="D402" s="38"/>
      <c r="E402" s="13"/>
      <c r="F402" s="50"/>
      <c r="G402" s="107">
        <v>44903</v>
      </c>
      <c r="H402" s="103">
        <v>2</v>
      </c>
      <c r="I402" s="104">
        <v>1100.5</v>
      </c>
      <c r="J402" s="104">
        <f t="shared" si="48"/>
        <v>2201</v>
      </c>
      <c r="K402" s="103"/>
      <c r="L402" s="103">
        <f t="shared" si="49"/>
        <v>2</v>
      </c>
      <c r="M402" s="121" t="s">
        <v>1006</v>
      </c>
      <c r="N402" s="103" t="s">
        <v>945</v>
      </c>
      <c r="O402" s="104">
        <f t="shared" si="47"/>
        <v>2201</v>
      </c>
    </row>
    <row r="403" spans="1:15" s="105" customFormat="1" ht="15.75" x14ac:dyDescent="0.25">
      <c r="A403" s="113"/>
      <c r="B403" s="102"/>
      <c r="C403" s="25" t="s">
        <v>1114</v>
      </c>
      <c r="D403" s="38"/>
      <c r="E403" s="13"/>
      <c r="F403" s="50"/>
      <c r="G403" s="107"/>
      <c r="H403" s="103"/>
      <c r="I403" s="104"/>
      <c r="J403" s="104"/>
      <c r="K403" s="103">
        <v>22</v>
      </c>
      <c r="L403" s="103">
        <f t="shared" si="49"/>
        <v>-22</v>
      </c>
      <c r="M403" s="121"/>
      <c r="N403" s="103"/>
      <c r="O403" s="104"/>
    </row>
    <row r="404" spans="1:15" s="105" customFormat="1" ht="15.75" x14ac:dyDescent="0.25">
      <c r="A404" s="113"/>
      <c r="B404" s="102"/>
      <c r="C404" s="25"/>
      <c r="D404" s="38"/>
      <c r="E404" s="13"/>
      <c r="F404" s="50"/>
      <c r="G404" s="107"/>
      <c r="H404" s="103"/>
      <c r="I404" s="104"/>
      <c r="J404" s="104"/>
      <c r="K404" s="103"/>
      <c r="L404" s="103">
        <f t="shared" si="49"/>
        <v>0</v>
      </c>
      <c r="M404" s="121"/>
      <c r="N404" s="103"/>
      <c r="O404" s="104">
        <f t="shared" si="41"/>
        <v>0</v>
      </c>
    </row>
    <row r="405" spans="1:15" x14ac:dyDescent="0.3">
      <c r="A405" s="69" t="s">
        <v>98</v>
      </c>
      <c r="B405" s="241"/>
      <c r="C405" s="242"/>
      <c r="D405" s="242"/>
      <c r="E405" s="243"/>
      <c r="F405" s="70">
        <f>SUM(F8:F378)</f>
        <v>1580249.4203600003</v>
      </c>
      <c r="G405" s="70"/>
      <c r="H405" s="70"/>
      <c r="I405" s="70">
        <f>SUM(I8:I378)</f>
        <v>98535.988666666672</v>
      </c>
      <c r="J405" s="70">
        <f>SUM(J8:J378)</f>
        <v>1514186.35</v>
      </c>
      <c r="K405" s="70"/>
      <c r="L405" s="70"/>
      <c r="M405" s="70">
        <f>SUM(M8:M378)</f>
        <v>0</v>
      </c>
      <c r="N405" s="70">
        <f>SUM(N8:N378)</f>
        <v>0</v>
      </c>
      <c r="O405" s="70">
        <f>SUM(O8:O404)</f>
        <v>3441258.0802266668</v>
      </c>
    </row>
    <row r="406" spans="1:15" x14ac:dyDescent="0.3">
      <c r="A406" s="2"/>
      <c r="B406" s="2"/>
      <c r="C406" s="43"/>
      <c r="D406" s="2"/>
      <c r="E406" s="2"/>
      <c r="F406" s="2"/>
      <c r="G406" s="2"/>
      <c r="H406" s="2"/>
      <c r="I406" s="65"/>
      <c r="J406" s="2"/>
      <c r="K406" s="2"/>
      <c r="L406" s="2"/>
      <c r="M406" s="2"/>
      <c r="N406" s="2"/>
      <c r="O406" s="2"/>
    </row>
    <row r="407" spans="1:15" x14ac:dyDescent="0.3">
      <c r="C407" s="96"/>
      <c r="F407" s="63"/>
      <c r="O407" s="50"/>
    </row>
    <row r="408" spans="1:15" x14ac:dyDescent="0.3">
      <c r="A408" s="85" t="s">
        <v>7</v>
      </c>
      <c r="C408" s="96"/>
    </row>
    <row r="409" spans="1:15" x14ac:dyDescent="0.3">
      <c r="C409" s="96"/>
    </row>
    <row r="410" spans="1:15" x14ac:dyDescent="0.3">
      <c r="B410" s="85" t="s">
        <v>531</v>
      </c>
      <c r="C410" s="96"/>
    </row>
    <row r="411" spans="1:15" x14ac:dyDescent="0.3">
      <c r="C411" s="96"/>
    </row>
    <row r="412" spans="1:15" x14ac:dyDescent="0.3">
      <c r="A412" s="97" t="s">
        <v>5</v>
      </c>
      <c r="C412" s="96"/>
    </row>
    <row r="413" spans="1:15" x14ac:dyDescent="0.3">
      <c r="C413" s="96"/>
    </row>
    <row r="414" spans="1:15" x14ac:dyDescent="0.3">
      <c r="A414" s="97"/>
      <c r="C414" s="96"/>
    </row>
    <row r="415" spans="1:15" x14ac:dyDescent="0.3">
      <c r="A415" s="98" t="s">
        <v>924</v>
      </c>
      <c r="C415" s="96"/>
    </row>
    <row r="416" spans="1:15" x14ac:dyDescent="0.3">
      <c r="A416" s="85" t="s">
        <v>925</v>
      </c>
      <c r="C416" s="96"/>
    </row>
    <row r="417" spans="3:3" x14ac:dyDescent="0.3">
      <c r="C417" s="96" t="s">
        <v>506</v>
      </c>
    </row>
    <row r="418" spans="3:3" x14ac:dyDescent="0.3">
      <c r="C418" s="96"/>
    </row>
    <row r="419" spans="3:3" x14ac:dyDescent="0.3">
      <c r="C419" s="96"/>
    </row>
    <row r="420" spans="3:3" x14ac:dyDescent="0.3">
      <c r="C420" s="96"/>
    </row>
    <row r="421" spans="3:3" x14ac:dyDescent="0.3">
      <c r="C421" s="96"/>
    </row>
    <row r="422" spans="3:3" x14ac:dyDescent="0.3">
      <c r="C422" s="96"/>
    </row>
    <row r="423" spans="3:3" x14ac:dyDescent="0.3">
      <c r="C423" s="96"/>
    </row>
    <row r="424" spans="3:3" x14ac:dyDescent="0.3">
      <c r="C424" s="96"/>
    </row>
  </sheetData>
  <mergeCells count="4">
    <mergeCell ref="A3:F3"/>
    <mergeCell ref="A4:F4"/>
    <mergeCell ref="A5:F5"/>
    <mergeCell ref="B405:E405"/>
  </mergeCells>
  <phoneticPr fontId="12" type="noConversion"/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24"/>
  <sheetViews>
    <sheetView topLeftCell="C1" zoomScale="140" zoomScaleNormal="140" workbookViewId="0">
      <pane ySplit="7" topLeftCell="A8" activePane="bottomLeft" state="frozen"/>
      <selection pane="bottomLeft" activeCell="D8" sqref="D8"/>
    </sheetView>
  </sheetViews>
  <sheetFormatPr baseColWidth="10" defaultColWidth="11.42578125" defaultRowHeight="18.75" x14ac:dyDescent="0.3"/>
  <cols>
    <col min="1" max="1" width="16" style="85" customWidth="1"/>
    <col min="2" max="2" width="19.28515625" style="85" customWidth="1"/>
    <col min="3" max="3" width="51.28515625" style="85" customWidth="1"/>
    <col min="4" max="4" width="14.140625" customWidth="1"/>
    <col min="5" max="5" width="17.140625" customWidth="1"/>
    <col min="6" max="6" width="22.42578125" customWidth="1"/>
    <col min="7" max="7" width="18.5703125" customWidth="1"/>
    <col min="8" max="8" width="11.140625" customWidth="1"/>
    <col min="9" max="9" width="16.85546875" style="63" customWidth="1"/>
    <col min="10" max="11" width="13.140625" customWidth="1"/>
    <col min="12" max="12" width="12.7109375" style="85" bestFit="1" customWidth="1"/>
    <col min="13" max="13" width="13.42578125" customWidth="1"/>
    <col min="14" max="14" width="17.7109375" style="85" bestFit="1" customWidth="1"/>
    <col min="15" max="15" width="14.42578125" style="85" bestFit="1" customWidth="1"/>
    <col min="16" max="16384" width="11.42578125" style="85"/>
  </cols>
  <sheetData>
    <row r="3" spans="1:15" ht="26.25" x14ac:dyDescent="0.4">
      <c r="A3" s="244" t="s">
        <v>0</v>
      </c>
      <c r="B3" s="244"/>
      <c r="C3" s="244"/>
      <c r="D3" s="234"/>
      <c r="E3" s="234"/>
      <c r="F3" s="234"/>
    </row>
    <row r="4" spans="1:15" x14ac:dyDescent="0.3">
      <c r="A4" s="245" t="s">
        <v>1</v>
      </c>
      <c r="B4" s="246"/>
      <c r="C4" s="246"/>
      <c r="D4" s="236"/>
      <c r="E4" s="236"/>
      <c r="F4" s="236"/>
    </row>
    <row r="5" spans="1:15" x14ac:dyDescent="0.3">
      <c r="A5" s="237" t="s">
        <v>1115</v>
      </c>
      <c r="B5" s="237"/>
      <c r="C5" s="237"/>
      <c r="D5" s="237"/>
      <c r="E5" s="237"/>
      <c r="F5" s="237"/>
    </row>
    <row r="7" spans="1:15" ht="56.25" x14ac:dyDescent="0.3">
      <c r="A7" s="86" t="s">
        <v>118</v>
      </c>
      <c r="B7" s="86" t="s">
        <v>9</v>
      </c>
      <c r="C7" s="87" t="s">
        <v>2</v>
      </c>
      <c r="D7" s="83" t="s">
        <v>3</v>
      </c>
      <c r="E7" s="83" t="s">
        <v>117</v>
      </c>
      <c r="F7" s="83" t="s">
        <v>4</v>
      </c>
      <c r="G7" s="82" t="s">
        <v>9</v>
      </c>
      <c r="H7" s="83" t="s">
        <v>915</v>
      </c>
      <c r="I7" s="84" t="s">
        <v>117</v>
      </c>
      <c r="J7" s="83" t="s">
        <v>4</v>
      </c>
      <c r="K7" s="83" t="s">
        <v>929</v>
      </c>
      <c r="L7" s="87" t="s">
        <v>914</v>
      </c>
      <c r="M7" s="83" t="s">
        <v>927</v>
      </c>
      <c r="N7" s="87" t="s">
        <v>944</v>
      </c>
      <c r="O7" s="83" t="s">
        <v>4</v>
      </c>
    </row>
    <row r="8" spans="1:15" s="92" customFormat="1" x14ac:dyDescent="0.3">
      <c r="A8" s="113" t="s">
        <v>11</v>
      </c>
      <c r="B8" s="102">
        <v>44652</v>
      </c>
      <c r="C8" s="25" t="s">
        <v>857</v>
      </c>
      <c r="D8" s="14">
        <f>18*30</f>
        <v>540</v>
      </c>
      <c r="E8" s="13">
        <v>850</v>
      </c>
      <c r="F8" s="50">
        <f>+E8*18</f>
        <v>15300</v>
      </c>
      <c r="G8" s="103"/>
      <c r="H8" s="103"/>
      <c r="I8" s="104"/>
      <c r="J8" s="103"/>
      <c r="K8" s="103">
        <f>4+2+2+2+5+4+2+4+2</f>
        <v>27</v>
      </c>
      <c r="L8" s="103">
        <f>+D8+H8-K8</f>
        <v>513</v>
      </c>
      <c r="M8" s="103"/>
      <c r="N8" s="103" t="s">
        <v>945</v>
      </c>
      <c r="O8" s="104">
        <f>+E8*L8</f>
        <v>436050</v>
      </c>
    </row>
    <row r="9" spans="1:15" s="8" customFormat="1" ht="15.75" x14ac:dyDescent="0.25">
      <c r="A9" s="113" t="s">
        <v>120</v>
      </c>
      <c r="B9" s="102">
        <v>44193</v>
      </c>
      <c r="C9" s="25" t="s">
        <v>533</v>
      </c>
      <c r="D9" s="14">
        <v>43</v>
      </c>
      <c r="E9" s="13">
        <v>215</v>
      </c>
      <c r="F9" s="50">
        <f>D9*E9</f>
        <v>9245</v>
      </c>
      <c r="G9" s="103"/>
      <c r="H9" s="103"/>
      <c r="I9" s="104"/>
      <c r="J9" s="103"/>
      <c r="K9" s="103">
        <f>1+1</f>
        <v>2</v>
      </c>
      <c r="L9" s="103">
        <f t="shared" ref="L9:L72" si="0">+D9+H9-K9</f>
        <v>41</v>
      </c>
      <c r="M9" s="103"/>
      <c r="N9" s="103" t="s">
        <v>946</v>
      </c>
      <c r="O9" s="104">
        <f t="shared" ref="O9:O33" si="1">+E9*L9</f>
        <v>8815</v>
      </c>
    </row>
    <row r="10" spans="1:15" s="8" customFormat="1" ht="14.25" customHeight="1" x14ac:dyDescent="0.25">
      <c r="A10" s="113" t="s">
        <v>12</v>
      </c>
      <c r="B10" s="102">
        <v>44453</v>
      </c>
      <c r="C10" s="25" t="s">
        <v>534</v>
      </c>
      <c r="D10" s="14">
        <f>2+9</f>
        <v>11</v>
      </c>
      <c r="E10" s="13">
        <v>1350</v>
      </c>
      <c r="F10" s="50">
        <f>D10*E10</f>
        <v>14850</v>
      </c>
      <c r="G10" s="103"/>
      <c r="H10" s="103"/>
      <c r="I10" s="104"/>
      <c r="J10" s="103"/>
      <c r="K10" s="103"/>
      <c r="L10" s="103">
        <f t="shared" si="0"/>
        <v>11</v>
      </c>
      <c r="M10" s="103"/>
      <c r="N10" s="103" t="s">
        <v>946</v>
      </c>
      <c r="O10" s="104">
        <f t="shared" si="1"/>
        <v>14850</v>
      </c>
    </row>
    <row r="11" spans="1:15" s="8" customFormat="1" ht="15.75" x14ac:dyDescent="0.25">
      <c r="A11" s="113" t="s">
        <v>121</v>
      </c>
      <c r="B11" s="102">
        <v>44193</v>
      </c>
      <c r="C11" s="25" t="s">
        <v>535</v>
      </c>
      <c r="D11" s="30">
        <v>0</v>
      </c>
      <c r="E11" s="13">
        <v>127.12</v>
      </c>
      <c r="F11" s="50">
        <f t="shared" ref="F11:F23" si="2">D11*E11</f>
        <v>0</v>
      </c>
      <c r="G11" s="103"/>
      <c r="H11" s="103"/>
      <c r="I11" s="104"/>
      <c r="J11" s="103"/>
      <c r="K11" s="103"/>
      <c r="L11" s="103">
        <f t="shared" si="0"/>
        <v>0</v>
      </c>
      <c r="M11" s="103"/>
      <c r="N11" s="103" t="s">
        <v>946</v>
      </c>
      <c r="O11" s="104">
        <f t="shared" si="1"/>
        <v>0</v>
      </c>
    </row>
    <row r="12" spans="1:15" s="8" customFormat="1" ht="15.75" x14ac:dyDescent="0.25">
      <c r="A12" s="113" t="s">
        <v>122</v>
      </c>
      <c r="B12" s="102">
        <v>44193</v>
      </c>
      <c r="C12" s="25" t="s">
        <v>838</v>
      </c>
      <c r="D12" s="38">
        <v>1</v>
      </c>
      <c r="E12" s="13">
        <v>30</v>
      </c>
      <c r="F12" s="50">
        <f t="shared" si="2"/>
        <v>30</v>
      </c>
      <c r="G12" s="103"/>
      <c r="H12" s="103"/>
      <c r="I12" s="104"/>
      <c r="J12" s="103"/>
      <c r="K12" s="103"/>
      <c r="L12" s="103">
        <f t="shared" si="0"/>
        <v>1</v>
      </c>
      <c r="M12" s="103"/>
      <c r="N12" s="103" t="s">
        <v>946</v>
      </c>
      <c r="O12" s="104">
        <f t="shared" si="1"/>
        <v>30</v>
      </c>
    </row>
    <row r="13" spans="1:15" s="8" customFormat="1" ht="15.75" x14ac:dyDescent="0.25">
      <c r="A13" s="113" t="s">
        <v>123</v>
      </c>
      <c r="B13" s="102">
        <v>44193</v>
      </c>
      <c r="C13" s="25" t="s">
        <v>840</v>
      </c>
      <c r="D13" s="14">
        <v>10</v>
      </c>
      <c r="E13" s="13">
        <v>11</v>
      </c>
      <c r="F13" s="50">
        <f t="shared" si="2"/>
        <v>110</v>
      </c>
      <c r="G13" s="103"/>
      <c r="H13" s="103"/>
      <c r="I13" s="104"/>
      <c r="J13" s="103"/>
      <c r="K13" s="103"/>
      <c r="L13" s="103">
        <f t="shared" si="0"/>
        <v>10</v>
      </c>
      <c r="M13" s="103"/>
      <c r="N13" s="103" t="s">
        <v>946</v>
      </c>
      <c r="O13" s="104">
        <f t="shared" si="1"/>
        <v>110</v>
      </c>
    </row>
    <row r="14" spans="1:15" s="8" customFormat="1" ht="15.75" x14ac:dyDescent="0.25">
      <c r="A14" s="113" t="s">
        <v>13</v>
      </c>
      <c r="B14" s="102">
        <v>44193</v>
      </c>
      <c r="C14" s="25" t="s">
        <v>536</v>
      </c>
      <c r="D14" s="14">
        <f>49+60+2</f>
        <v>111</v>
      </c>
      <c r="E14" s="13">
        <v>15.84</v>
      </c>
      <c r="F14" s="50">
        <f t="shared" si="2"/>
        <v>1758.24</v>
      </c>
      <c r="G14" s="103"/>
      <c r="H14" s="103"/>
      <c r="I14" s="104"/>
      <c r="J14" s="103"/>
      <c r="K14" s="103"/>
      <c r="L14" s="103">
        <f t="shared" si="0"/>
        <v>111</v>
      </c>
      <c r="M14" s="103"/>
      <c r="N14" s="103" t="s">
        <v>946</v>
      </c>
      <c r="O14" s="104">
        <f t="shared" si="1"/>
        <v>1758.24</v>
      </c>
    </row>
    <row r="15" spans="1:15" s="8" customFormat="1" ht="15.75" x14ac:dyDescent="0.25">
      <c r="A15" s="113" t="s">
        <v>14</v>
      </c>
      <c r="B15" s="102">
        <v>44193</v>
      </c>
      <c r="C15" s="25" t="s">
        <v>537</v>
      </c>
      <c r="D15" s="14">
        <v>52</v>
      </c>
      <c r="E15" s="13">
        <v>22.41</v>
      </c>
      <c r="F15" s="50">
        <f t="shared" si="2"/>
        <v>1165.32</v>
      </c>
      <c r="G15" s="103"/>
      <c r="H15" s="103"/>
      <c r="I15" s="104"/>
      <c r="J15" s="103"/>
      <c r="K15" s="103"/>
      <c r="L15" s="103">
        <f t="shared" si="0"/>
        <v>52</v>
      </c>
      <c r="M15" s="103"/>
      <c r="N15" s="103" t="s">
        <v>946</v>
      </c>
      <c r="O15" s="104">
        <f t="shared" si="1"/>
        <v>1165.32</v>
      </c>
    </row>
    <row r="16" spans="1:15" s="8" customFormat="1" ht="15.75" x14ac:dyDescent="0.25">
      <c r="A16" s="113" t="s">
        <v>15</v>
      </c>
      <c r="B16" s="102">
        <v>44193</v>
      </c>
      <c r="C16" s="25" t="s">
        <v>538</v>
      </c>
      <c r="D16" s="14">
        <v>42</v>
      </c>
      <c r="E16" s="13">
        <v>5.5</v>
      </c>
      <c r="F16" s="50">
        <f t="shared" si="2"/>
        <v>231</v>
      </c>
      <c r="G16" s="103"/>
      <c r="H16" s="103"/>
      <c r="I16" s="104"/>
      <c r="J16" s="103"/>
      <c r="K16" s="103"/>
      <c r="L16" s="103">
        <f t="shared" si="0"/>
        <v>42</v>
      </c>
      <c r="M16" s="103"/>
      <c r="N16" s="103" t="s">
        <v>946</v>
      </c>
      <c r="O16" s="104">
        <f t="shared" si="1"/>
        <v>231</v>
      </c>
    </row>
    <row r="17" spans="1:15" s="8" customFormat="1" ht="15.75" x14ac:dyDescent="0.25">
      <c r="A17" s="113" t="s">
        <v>124</v>
      </c>
      <c r="B17" s="102">
        <v>44193</v>
      </c>
      <c r="C17" s="25" t="s">
        <v>539</v>
      </c>
      <c r="D17" s="14">
        <v>32</v>
      </c>
      <c r="E17" s="13">
        <v>78.099999999999994</v>
      </c>
      <c r="F17" s="50">
        <f t="shared" si="2"/>
        <v>2499.1999999999998</v>
      </c>
      <c r="G17" s="103"/>
      <c r="H17" s="103"/>
      <c r="I17" s="104"/>
      <c r="J17" s="103"/>
      <c r="K17" s="103"/>
      <c r="L17" s="103">
        <f t="shared" si="0"/>
        <v>32</v>
      </c>
      <c r="M17" s="103"/>
      <c r="N17" s="103" t="s">
        <v>946</v>
      </c>
      <c r="O17" s="104">
        <f t="shared" si="1"/>
        <v>2499.1999999999998</v>
      </c>
    </row>
    <row r="18" spans="1:15" s="8" customFormat="1" ht="15.75" x14ac:dyDescent="0.25">
      <c r="A18" s="113" t="s">
        <v>16</v>
      </c>
      <c r="B18" s="102" t="s">
        <v>107</v>
      </c>
      <c r="C18" s="25" t="s">
        <v>540</v>
      </c>
      <c r="D18" s="14">
        <v>131</v>
      </c>
      <c r="E18" s="13">
        <v>5.17</v>
      </c>
      <c r="F18" s="50">
        <f t="shared" si="2"/>
        <v>677.27</v>
      </c>
      <c r="G18" s="103"/>
      <c r="H18" s="103"/>
      <c r="I18" s="104"/>
      <c r="J18" s="103"/>
      <c r="K18" s="103"/>
      <c r="L18" s="103">
        <f t="shared" si="0"/>
        <v>131</v>
      </c>
      <c r="M18" s="103"/>
      <c r="N18" s="103" t="s">
        <v>946</v>
      </c>
      <c r="O18" s="104">
        <f t="shared" si="1"/>
        <v>677.27</v>
      </c>
    </row>
    <row r="19" spans="1:15" s="8" customFormat="1" ht="15.75" x14ac:dyDescent="0.25">
      <c r="A19" s="113" t="s">
        <v>17</v>
      </c>
      <c r="B19" s="102" t="s">
        <v>107</v>
      </c>
      <c r="C19" s="25" t="s">
        <v>541</v>
      </c>
      <c r="D19" s="14">
        <v>10</v>
      </c>
      <c r="E19" s="51">
        <v>15</v>
      </c>
      <c r="F19" s="50">
        <f t="shared" si="2"/>
        <v>150</v>
      </c>
      <c r="G19" s="103"/>
      <c r="H19" s="103"/>
      <c r="I19" s="104"/>
      <c r="J19" s="103"/>
      <c r="K19" s="103"/>
      <c r="L19" s="103">
        <f t="shared" si="0"/>
        <v>10</v>
      </c>
      <c r="M19" s="103"/>
      <c r="N19" s="103" t="s">
        <v>946</v>
      </c>
      <c r="O19" s="104">
        <f t="shared" si="1"/>
        <v>150</v>
      </c>
    </row>
    <row r="20" spans="1:15" s="8" customFormat="1" ht="15.75" x14ac:dyDescent="0.25">
      <c r="A20" s="113" t="s">
        <v>18</v>
      </c>
      <c r="B20" s="102">
        <v>44193</v>
      </c>
      <c r="C20" s="25" t="s">
        <v>542</v>
      </c>
      <c r="D20" s="30">
        <f>4+7+1</f>
        <v>12</v>
      </c>
      <c r="E20" s="13">
        <v>15</v>
      </c>
      <c r="F20" s="50">
        <f t="shared" si="2"/>
        <v>180</v>
      </c>
      <c r="G20" s="103"/>
      <c r="H20" s="103"/>
      <c r="I20" s="104"/>
      <c r="J20" s="103"/>
      <c r="K20" s="103"/>
      <c r="L20" s="103">
        <f t="shared" si="0"/>
        <v>12</v>
      </c>
      <c r="M20" s="103"/>
      <c r="N20" s="103" t="s">
        <v>946</v>
      </c>
      <c r="O20" s="104">
        <f t="shared" si="1"/>
        <v>180</v>
      </c>
    </row>
    <row r="21" spans="1:15" s="8" customFormat="1" ht="15.75" x14ac:dyDescent="0.25">
      <c r="A21" s="113" t="s">
        <v>19</v>
      </c>
      <c r="B21" s="102">
        <v>44193</v>
      </c>
      <c r="C21" s="25" t="s">
        <v>543</v>
      </c>
      <c r="D21" s="30">
        <v>8</v>
      </c>
      <c r="E21" s="22">
        <v>15</v>
      </c>
      <c r="F21" s="50">
        <f t="shared" si="2"/>
        <v>120</v>
      </c>
      <c r="G21" s="103"/>
      <c r="H21" s="103"/>
      <c r="I21" s="104"/>
      <c r="J21" s="103"/>
      <c r="K21" s="103"/>
      <c r="L21" s="103">
        <f t="shared" si="0"/>
        <v>8</v>
      </c>
      <c r="M21" s="103"/>
      <c r="N21" s="103" t="s">
        <v>946</v>
      </c>
      <c r="O21" s="104">
        <f t="shared" si="1"/>
        <v>120</v>
      </c>
    </row>
    <row r="22" spans="1:15" s="8" customFormat="1" ht="15.75" x14ac:dyDescent="0.25">
      <c r="A22" s="113" t="s">
        <v>20</v>
      </c>
      <c r="B22" s="102">
        <v>44193</v>
      </c>
      <c r="C22" s="25" t="s">
        <v>835</v>
      </c>
      <c r="D22" s="30">
        <v>1</v>
      </c>
      <c r="E22" s="22">
        <v>15</v>
      </c>
      <c r="F22" s="50">
        <f t="shared" si="2"/>
        <v>15</v>
      </c>
      <c r="G22" s="103"/>
      <c r="H22" s="103"/>
      <c r="I22" s="104"/>
      <c r="J22" s="103"/>
      <c r="K22" s="103"/>
      <c r="L22" s="103">
        <f t="shared" si="0"/>
        <v>1</v>
      </c>
      <c r="M22" s="103"/>
      <c r="N22" s="103" t="s">
        <v>946</v>
      </c>
      <c r="O22" s="104">
        <f t="shared" si="1"/>
        <v>15</v>
      </c>
    </row>
    <row r="23" spans="1:15" s="8" customFormat="1" ht="15.75" x14ac:dyDescent="0.25">
      <c r="A23" s="113" t="s">
        <v>21</v>
      </c>
      <c r="B23" s="102" t="s">
        <v>107</v>
      </c>
      <c r="C23" s="25" t="s">
        <v>544</v>
      </c>
      <c r="D23" s="30">
        <v>32</v>
      </c>
      <c r="E23" s="51">
        <v>15</v>
      </c>
      <c r="F23" s="50">
        <f t="shared" si="2"/>
        <v>480</v>
      </c>
      <c r="G23" s="103"/>
      <c r="H23" s="103"/>
      <c r="I23" s="104"/>
      <c r="J23" s="103"/>
      <c r="K23" s="103"/>
      <c r="L23" s="103">
        <f t="shared" si="0"/>
        <v>32</v>
      </c>
      <c r="M23" s="103"/>
      <c r="N23" s="103" t="s">
        <v>946</v>
      </c>
      <c r="O23" s="104">
        <f t="shared" si="1"/>
        <v>480</v>
      </c>
    </row>
    <row r="24" spans="1:15" s="8" customFormat="1" ht="15.75" x14ac:dyDescent="0.25">
      <c r="A24" s="113" t="s">
        <v>23</v>
      </c>
      <c r="B24" s="102">
        <v>44193</v>
      </c>
      <c r="C24" s="25" t="s">
        <v>811</v>
      </c>
      <c r="D24" s="30">
        <v>24</v>
      </c>
      <c r="E24" s="51"/>
      <c r="F24" s="50"/>
      <c r="G24" s="103"/>
      <c r="H24" s="103"/>
      <c r="I24" s="104"/>
      <c r="J24" s="103"/>
      <c r="K24" s="103">
        <f>1+3+3+3</f>
        <v>10</v>
      </c>
      <c r="L24" s="103">
        <f t="shared" si="0"/>
        <v>14</v>
      </c>
      <c r="M24" s="103"/>
      <c r="N24" s="103" t="s">
        <v>946</v>
      </c>
      <c r="O24" s="104">
        <f t="shared" si="1"/>
        <v>0</v>
      </c>
    </row>
    <row r="25" spans="1:15" s="8" customFormat="1" ht="15.75" x14ac:dyDescent="0.25">
      <c r="A25" s="113" t="s">
        <v>24</v>
      </c>
      <c r="B25" s="102">
        <v>44193</v>
      </c>
      <c r="C25" s="25" t="s">
        <v>809</v>
      </c>
      <c r="D25" s="30">
        <v>12</v>
      </c>
      <c r="E25" s="51"/>
      <c r="F25" s="50"/>
      <c r="G25" s="103"/>
      <c r="H25" s="103"/>
      <c r="I25" s="104"/>
      <c r="J25" s="103"/>
      <c r="K25" s="103"/>
      <c r="L25" s="103">
        <f t="shared" si="0"/>
        <v>12</v>
      </c>
      <c r="M25" s="103"/>
      <c r="N25" s="103" t="s">
        <v>946</v>
      </c>
      <c r="O25" s="104">
        <f t="shared" si="1"/>
        <v>0</v>
      </c>
    </row>
    <row r="26" spans="1:15" s="92" customFormat="1" x14ac:dyDescent="0.3">
      <c r="A26" s="113" t="s">
        <v>110</v>
      </c>
      <c r="B26" s="102">
        <v>44193</v>
      </c>
      <c r="C26" s="9" t="s">
        <v>545</v>
      </c>
      <c r="D26" s="31">
        <v>10</v>
      </c>
      <c r="E26" s="13">
        <v>225</v>
      </c>
      <c r="F26" s="50">
        <f>D26*E26</f>
        <v>2250</v>
      </c>
      <c r="G26" s="103"/>
      <c r="H26" s="103"/>
      <c r="I26" s="104"/>
      <c r="J26" s="103"/>
      <c r="K26" s="103"/>
      <c r="L26" s="103">
        <f t="shared" si="0"/>
        <v>10</v>
      </c>
      <c r="M26" s="103"/>
      <c r="N26" s="103" t="s">
        <v>945</v>
      </c>
      <c r="O26" s="104">
        <f t="shared" si="1"/>
        <v>2250</v>
      </c>
    </row>
    <row r="27" spans="1:15" s="8" customFormat="1" ht="15.75" x14ac:dyDescent="0.25">
      <c r="A27" s="113" t="s">
        <v>125</v>
      </c>
      <c r="B27" s="102">
        <v>44193</v>
      </c>
      <c r="C27" s="25" t="s">
        <v>546</v>
      </c>
      <c r="D27" s="30">
        <v>0</v>
      </c>
      <c r="E27" s="13">
        <v>68</v>
      </c>
      <c r="F27" s="50">
        <f>D27*E27</f>
        <v>0</v>
      </c>
      <c r="G27" s="103"/>
      <c r="H27" s="103"/>
      <c r="I27" s="104"/>
      <c r="J27" s="103"/>
      <c r="K27" s="103"/>
      <c r="L27" s="103">
        <f t="shared" si="0"/>
        <v>0</v>
      </c>
      <c r="M27" s="103"/>
      <c r="N27" s="103" t="s">
        <v>946</v>
      </c>
      <c r="O27" s="104">
        <f>+E27*L27</f>
        <v>0</v>
      </c>
    </row>
    <row r="28" spans="1:15" s="92" customFormat="1" x14ac:dyDescent="0.3">
      <c r="A28" s="113" t="s">
        <v>25</v>
      </c>
      <c r="B28" s="102">
        <v>44193</v>
      </c>
      <c r="C28" s="25" t="s">
        <v>547</v>
      </c>
      <c r="D28" s="30">
        <v>4</v>
      </c>
      <c r="E28" s="13">
        <v>470</v>
      </c>
      <c r="F28" s="50">
        <f>D28*E28</f>
        <v>1880</v>
      </c>
      <c r="G28" s="103"/>
      <c r="H28" s="103"/>
      <c r="I28" s="104"/>
      <c r="J28" s="103"/>
      <c r="K28" s="103"/>
      <c r="L28" s="103">
        <f t="shared" si="0"/>
        <v>4</v>
      </c>
      <c r="M28" s="103"/>
      <c r="N28" s="103" t="s">
        <v>945</v>
      </c>
      <c r="O28" s="104">
        <f t="shared" si="1"/>
        <v>1880</v>
      </c>
    </row>
    <row r="29" spans="1:15" s="8" customFormat="1" ht="15.75" x14ac:dyDescent="0.25">
      <c r="A29" s="113" t="s">
        <v>126</v>
      </c>
      <c r="B29" s="102" t="s">
        <v>107</v>
      </c>
      <c r="C29" s="26" t="s">
        <v>807</v>
      </c>
      <c r="D29" s="30">
        <v>70</v>
      </c>
      <c r="E29" s="13">
        <v>16.46</v>
      </c>
      <c r="F29" s="50">
        <f>+D29*E29</f>
        <v>1152.2</v>
      </c>
      <c r="G29" s="103"/>
      <c r="H29" s="103"/>
      <c r="I29" s="104"/>
      <c r="J29" s="103"/>
      <c r="K29" s="103"/>
      <c r="L29" s="103">
        <f t="shared" si="0"/>
        <v>70</v>
      </c>
      <c r="M29" s="103"/>
      <c r="N29" s="103" t="s">
        <v>946</v>
      </c>
      <c r="O29" s="104">
        <f t="shared" si="1"/>
        <v>1152.2</v>
      </c>
    </row>
    <row r="30" spans="1:15" s="8" customFormat="1" ht="15.75" x14ac:dyDescent="0.25">
      <c r="A30" s="113" t="s">
        <v>26</v>
      </c>
      <c r="B30" s="102" t="s">
        <v>107</v>
      </c>
      <c r="C30" s="26" t="s">
        <v>549</v>
      </c>
      <c r="D30" s="30">
        <v>0</v>
      </c>
      <c r="E30" s="51">
        <v>6.4</v>
      </c>
      <c r="F30" s="50">
        <f>D30*E30</f>
        <v>0</v>
      </c>
      <c r="G30" s="103"/>
      <c r="H30" s="103"/>
      <c r="I30" s="104"/>
      <c r="J30" s="103"/>
      <c r="K30" s="103"/>
      <c r="L30" s="103">
        <f t="shared" si="0"/>
        <v>0</v>
      </c>
      <c r="M30" s="103"/>
      <c r="N30" s="103" t="s">
        <v>946</v>
      </c>
      <c r="O30" s="104">
        <f t="shared" si="1"/>
        <v>0</v>
      </c>
    </row>
    <row r="31" spans="1:15" s="8" customFormat="1" ht="15.75" x14ac:dyDescent="0.25">
      <c r="A31" s="113" t="s">
        <v>27</v>
      </c>
      <c r="B31" s="102">
        <v>44193</v>
      </c>
      <c r="C31" s="26" t="s">
        <v>550</v>
      </c>
      <c r="D31" s="30">
        <v>0</v>
      </c>
      <c r="E31" s="13">
        <v>105.93</v>
      </c>
      <c r="F31" s="50">
        <f>D31*E31</f>
        <v>0</v>
      </c>
      <c r="G31" s="103"/>
      <c r="H31" s="103"/>
      <c r="I31" s="104"/>
      <c r="J31" s="103"/>
      <c r="K31" s="103"/>
      <c r="L31" s="103">
        <f t="shared" si="0"/>
        <v>0</v>
      </c>
      <c r="M31" s="103"/>
      <c r="N31" s="103" t="s">
        <v>946</v>
      </c>
      <c r="O31" s="104">
        <f t="shared" si="1"/>
        <v>0</v>
      </c>
    </row>
    <row r="32" spans="1:15" s="8" customFormat="1" ht="15.75" x14ac:dyDescent="0.25">
      <c r="A32" s="113" t="s">
        <v>28</v>
      </c>
      <c r="B32" s="102">
        <v>44193</v>
      </c>
      <c r="C32" s="25" t="s">
        <v>806</v>
      </c>
      <c r="D32" s="38">
        <v>2</v>
      </c>
      <c r="E32" s="13">
        <v>160</v>
      </c>
      <c r="F32" s="50">
        <f>D32*E32</f>
        <v>320</v>
      </c>
      <c r="G32" s="103"/>
      <c r="H32" s="103"/>
      <c r="I32" s="104"/>
      <c r="J32" s="103"/>
      <c r="K32" s="103">
        <v>1</v>
      </c>
      <c r="L32" s="103">
        <f t="shared" si="0"/>
        <v>1</v>
      </c>
      <c r="M32" s="103"/>
      <c r="N32" s="103" t="s">
        <v>946</v>
      </c>
      <c r="O32" s="104">
        <f t="shared" si="1"/>
        <v>160</v>
      </c>
    </row>
    <row r="33" spans="1:15" s="92" customFormat="1" x14ac:dyDescent="0.3">
      <c r="A33" s="113" t="s">
        <v>127</v>
      </c>
      <c r="B33" s="102">
        <v>44449</v>
      </c>
      <c r="C33" s="25" t="s">
        <v>551</v>
      </c>
      <c r="D33" s="30">
        <v>9</v>
      </c>
      <c r="E33" s="13">
        <v>600</v>
      </c>
      <c r="F33" s="50">
        <f t="shared" ref="F33:F61" si="3">D33*E33</f>
        <v>5400</v>
      </c>
      <c r="G33" s="103"/>
      <c r="H33" s="103"/>
      <c r="I33" s="104"/>
      <c r="J33" s="103"/>
      <c r="K33" s="103">
        <v>1</v>
      </c>
      <c r="L33" s="103">
        <f t="shared" si="0"/>
        <v>8</v>
      </c>
      <c r="M33" s="103"/>
      <c r="N33" s="103" t="s">
        <v>945</v>
      </c>
      <c r="O33" s="104">
        <f t="shared" si="1"/>
        <v>4800</v>
      </c>
    </row>
    <row r="34" spans="1:15" s="8" customFormat="1" ht="15.75" x14ac:dyDescent="0.25">
      <c r="A34" s="113" t="s">
        <v>29</v>
      </c>
      <c r="B34" s="102">
        <v>44193</v>
      </c>
      <c r="C34" s="9" t="s">
        <v>552</v>
      </c>
      <c r="D34" s="30">
        <f>20+23</f>
        <v>43</v>
      </c>
      <c r="E34" s="13">
        <v>200</v>
      </c>
      <c r="F34" s="50">
        <f t="shared" si="3"/>
        <v>8600</v>
      </c>
      <c r="G34" s="103"/>
      <c r="H34" s="103"/>
      <c r="I34" s="104"/>
      <c r="J34" s="103"/>
      <c r="K34" s="103"/>
      <c r="L34" s="103">
        <f t="shared" si="0"/>
        <v>43</v>
      </c>
      <c r="M34" s="103"/>
      <c r="N34" s="103" t="s">
        <v>947</v>
      </c>
      <c r="O34" s="104">
        <f>+L34*E34</f>
        <v>8600</v>
      </c>
    </row>
    <row r="35" spans="1:15" s="8" customFormat="1" ht="15.75" x14ac:dyDescent="0.25">
      <c r="A35" s="113" t="s">
        <v>30</v>
      </c>
      <c r="B35" s="102">
        <v>44193</v>
      </c>
      <c r="C35" s="9" t="s">
        <v>553</v>
      </c>
      <c r="D35" s="30">
        <v>9</v>
      </c>
      <c r="E35" s="13">
        <v>200</v>
      </c>
      <c r="F35" s="50">
        <f t="shared" si="3"/>
        <v>1800</v>
      </c>
      <c r="G35" s="103"/>
      <c r="H35" s="103"/>
      <c r="I35" s="104"/>
      <c r="J35" s="103"/>
      <c r="K35" s="103"/>
      <c r="L35" s="103">
        <f t="shared" si="0"/>
        <v>9</v>
      </c>
      <c r="M35" s="103"/>
      <c r="N35" s="103" t="s">
        <v>947</v>
      </c>
      <c r="O35" s="104">
        <f>+L35*E35</f>
        <v>1800</v>
      </c>
    </row>
    <row r="36" spans="1:15" s="92" customFormat="1" x14ac:dyDescent="0.3">
      <c r="A36" s="113" t="s">
        <v>99</v>
      </c>
      <c r="B36" s="102">
        <v>44193</v>
      </c>
      <c r="C36" s="25" t="s">
        <v>548</v>
      </c>
      <c r="D36" s="30">
        <v>36</v>
      </c>
      <c r="E36" s="13">
        <v>75</v>
      </c>
      <c r="F36" s="50">
        <f t="shared" si="3"/>
        <v>2700</v>
      </c>
      <c r="G36" s="103"/>
      <c r="H36" s="103"/>
      <c r="I36" s="104"/>
      <c r="J36" s="103"/>
      <c r="K36" s="103"/>
      <c r="L36" s="103">
        <f t="shared" si="0"/>
        <v>36</v>
      </c>
      <c r="M36" s="103"/>
      <c r="N36" s="103" t="s">
        <v>945</v>
      </c>
      <c r="O36" s="104">
        <f t="shared" ref="O36:O40" si="4">+L36*E36</f>
        <v>2700</v>
      </c>
    </row>
    <row r="37" spans="1:15" s="8" customFormat="1" ht="15.75" x14ac:dyDescent="0.25">
      <c r="A37" s="113" t="s">
        <v>31</v>
      </c>
      <c r="B37" s="102">
        <v>44193</v>
      </c>
      <c r="C37" s="25" t="s">
        <v>554</v>
      </c>
      <c r="D37" s="30">
        <v>0</v>
      </c>
      <c r="E37" s="13">
        <v>4.24</v>
      </c>
      <c r="F37" s="50">
        <f t="shared" si="3"/>
        <v>0</v>
      </c>
      <c r="G37" s="103"/>
      <c r="H37" s="103"/>
      <c r="I37" s="104"/>
      <c r="J37" s="103"/>
      <c r="K37" s="103"/>
      <c r="L37" s="103">
        <f t="shared" si="0"/>
        <v>0</v>
      </c>
      <c r="M37" s="103"/>
      <c r="N37" s="103" t="s">
        <v>946</v>
      </c>
      <c r="O37" s="104">
        <f t="shared" si="4"/>
        <v>0</v>
      </c>
    </row>
    <row r="38" spans="1:15" s="8" customFormat="1" ht="15.75" x14ac:dyDescent="0.25">
      <c r="A38" s="113" t="s">
        <v>32</v>
      </c>
      <c r="B38" s="102">
        <v>44193</v>
      </c>
      <c r="C38" s="25" t="s">
        <v>555</v>
      </c>
      <c r="D38" s="30">
        <v>0</v>
      </c>
      <c r="E38" s="13">
        <v>3.39</v>
      </c>
      <c r="F38" s="50">
        <f t="shared" si="3"/>
        <v>0</v>
      </c>
      <c r="G38" s="103"/>
      <c r="H38" s="103"/>
      <c r="I38" s="104"/>
      <c r="J38" s="103"/>
      <c r="K38" s="103"/>
      <c r="L38" s="103">
        <f t="shared" si="0"/>
        <v>0</v>
      </c>
      <c r="M38" s="103"/>
      <c r="N38" s="103" t="s">
        <v>946</v>
      </c>
      <c r="O38" s="104">
        <f t="shared" si="4"/>
        <v>0</v>
      </c>
    </row>
    <row r="39" spans="1:15" s="8" customFormat="1" ht="15.75" x14ac:dyDescent="0.25">
      <c r="A39" s="113" t="s">
        <v>33</v>
      </c>
      <c r="B39" s="102">
        <v>44193</v>
      </c>
      <c r="C39" s="9" t="s">
        <v>556</v>
      </c>
      <c r="D39" s="30">
        <v>23</v>
      </c>
      <c r="E39" s="13">
        <v>1625</v>
      </c>
      <c r="F39" s="50">
        <f t="shared" si="3"/>
        <v>37375</v>
      </c>
      <c r="G39" s="103"/>
      <c r="H39" s="103"/>
      <c r="I39" s="104"/>
      <c r="J39" s="103"/>
      <c r="K39" s="103"/>
      <c r="L39" s="103">
        <f t="shared" si="0"/>
        <v>23</v>
      </c>
      <c r="M39" s="103"/>
      <c r="N39" s="103" t="s">
        <v>946</v>
      </c>
      <c r="O39" s="104">
        <f t="shared" si="4"/>
        <v>37375</v>
      </c>
    </row>
    <row r="40" spans="1:15" s="8" customFormat="1" ht="15.75" x14ac:dyDescent="0.25">
      <c r="A40" s="113" t="s">
        <v>34</v>
      </c>
      <c r="B40" s="102">
        <v>44193</v>
      </c>
      <c r="C40" s="9" t="s">
        <v>557</v>
      </c>
      <c r="D40" s="30">
        <v>0</v>
      </c>
      <c r="E40" s="13">
        <v>1625</v>
      </c>
      <c r="F40" s="50">
        <f t="shared" si="3"/>
        <v>0</v>
      </c>
      <c r="G40" s="103"/>
      <c r="H40" s="103"/>
      <c r="I40" s="104"/>
      <c r="J40" s="103"/>
      <c r="K40" s="103"/>
      <c r="L40" s="103">
        <f t="shared" si="0"/>
        <v>0</v>
      </c>
      <c r="M40" s="103"/>
      <c r="N40" s="103" t="s">
        <v>946</v>
      </c>
      <c r="O40" s="104">
        <f t="shared" si="4"/>
        <v>0</v>
      </c>
    </row>
    <row r="41" spans="1:15" s="105" customFormat="1" ht="15.75" x14ac:dyDescent="0.25">
      <c r="A41" s="113" t="s">
        <v>111</v>
      </c>
      <c r="B41" s="102">
        <v>44193</v>
      </c>
      <c r="C41" s="9" t="s">
        <v>558</v>
      </c>
      <c r="D41" s="30">
        <v>10</v>
      </c>
      <c r="E41" s="13">
        <v>66.3</v>
      </c>
      <c r="F41" s="50">
        <f t="shared" si="3"/>
        <v>663</v>
      </c>
      <c r="G41" s="107">
        <v>44852</v>
      </c>
      <c r="H41" s="103">
        <v>10</v>
      </c>
      <c r="I41" s="104">
        <v>26</v>
      </c>
      <c r="J41" s="108">
        <f>+H41*I41</f>
        <v>260</v>
      </c>
      <c r="K41" s="103">
        <v>1</v>
      </c>
      <c r="L41" s="103">
        <f t="shared" si="0"/>
        <v>19</v>
      </c>
      <c r="M41" s="103"/>
      <c r="N41" s="103" t="s">
        <v>947</v>
      </c>
      <c r="O41" s="104">
        <f>+L41*I41</f>
        <v>494</v>
      </c>
    </row>
    <row r="42" spans="1:15" s="8" customFormat="1" ht="15.75" x14ac:dyDescent="0.25">
      <c r="A42" s="113" t="s">
        <v>128</v>
      </c>
      <c r="B42" s="102">
        <v>44488</v>
      </c>
      <c r="C42" s="26" t="s">
        <v>560</v>
      </c>
      <c r="D42" s="55">
        <v>13</v>
      </c>
      <c r="E42" s="13">
        <v>40</v>
      </c>
      <c r="F42" s="50">
        <f t="shared" si="3"/>
        <v>520</v>
      </c>
      <c r="G42" s="103"/>
      <c r="H42" s="103"/>
      <c r="I42" s="104"/>
      <c r="J42" s="103"/>
      <c r="K42" s="103"/>
      <c r="L42" s="103">
        <f t="shared" si="0"/>
        <v>13</v>
      </c>
      <c r="M42" s="103"/>
      <c r="N42" s="103" t="s">
        <v>946</v>
      </c>
      <c r="O42" s="104">
        <f t="shared" ref="O42:O49" si="5">+L42*E42</f>
        <v>520</v>
      </c>
    </row>
    <row r="43" spans="1:15" s="8" customFormat="1" ht="15.75" x14ac:dyDescent="0.25">
      <c r="A43" s="113" t="s">
        <v>129</v>
      </c>
      <c r="B43" s="102">
        <v>44193</v>
      </c>
      <c r="C43" s="9" t="s">
        <v>772</v>
      </c>
      <c r="D43" s="30">
        <v>23</v>
      </c>
      <c r="E43" s="13">
        <v>2.4</v>
      </c>
      <c r="F43" s="50">
        <f t="shared" si="3"/>
        <v>55.199999999999996</v>
      </c>
      <c r="G43" s="103"/>
      <c r="H43" s="103"/>
      <c r="I43" s="104"/>
      <c r="J43" s="103"/>
      <c r="K43" s="103">
        <f>12+2</f>
        <v>14</v>
      </c>
      <c r="L43" s="103">
        <f t="shared" si="0"/>
        <v>9</v>
      </c>
      <c r="M43" s="103"/>
      <c r="N43" s="103" t="s">
        <v>947</v>
      </c>
      <c r="O43" s="104">
        <f t="shared" si="5"/>
        <v>21.599999999999998</v>
      </c>
    </row>
    <row r="44" spans="1:15" s="8" customFormat="1" ht="15.75" x14ac:dyDescent="0.25">
      <c r="A44" s="113" t="s">
        <v>130</v>
      </c>
      <c r="B44" s="102">
        <v>44193</v>
      </c>
      <c r="C44" s="26" t="s">
        <v>562</v>
      </c>
      <c r="D44" s="32">
        <v>0</v>
      </c>
      <c r="E44" s="13">
        <v>700</v>
      </c>
      <c r="F44" s="50">
        <f t="shared" si="3"/>
        <v>0</v>
      </c>
      <c r="G44" s="103"/>
      <c r="H44" s="103"/>
      <c r="I44" s="104"/>
      <c r="J44" s="103"/>
      <c r="K44" s="103"/>
      <c r="L44" s="103">
        <f t="shared" si="0"/>
        <v>0</v>
      </c>
      <c r="M44" s="103"/>
      <c r="N44" s="103" t="s">
        <v>946</v>
      </c>
      <c r="O44" s="104">
        <f t="shared" si="5"/>
        <v>0</v>
      </c>
    </row>
    <row r="45" spans="1:15" s="8" customFormat="1" ht="15.75" x14ac:dyDescent="0.25">
      <c r="A45" s="113" t="s">
        <v>35</v>
      </c>
      <c r="B45" s="102">
        <v>44193</v>
      </c>
      <c r="C45" s="9" t="s">
        <v>563</v>
      </c>
      <c r="D45" s="30">
        <v>1</v>
      </c>
      <c r="E45" s="13">
        <v>35</v>
      </c>
      <c r="F45" s="50">
        <f t="shared" si="3"/>
        <v>35</v>
      </c>
      <c r="G45" s="103"/>
      <c r="H45" s="103"/>
      <c r="I45" s="104"/>
      <c r="J45" s="103"/>
      <c r="K45" s="103"/>
      <c r="L45" s="103">
        <f t="shared" si="0"/>
        <v>1</v>
      </c>
      <c r="M45" s="103"/>
      <c r="N45" s="103" t="s">
        <v>947</v>
      </c>
      <c r="O45" s="104">
        <f t="shared" si="5"/>
        <v>35</v>
      </c>
    </row>
    <row r="46" spans="1:15" s="92" customFormat="1" x14ac:dyDescent="0.3">
      <c r="A46" s="113" t="s">
        <v>36</v>
      </c>
      <c r="B46" s="102">
        <v>44193</v>
      </c>
      <c r="C46" s="9" t="s">
        <v>564</v>
      </c>
      <c r="D46" s="30">
        <v>0</v>
      </c>
      <c r="E46" s="13">
        <v>2719</v>
      </c>
      <c r="F46" s="50">
        <f t="shared" si="3"/>
        <v>0</v>
      </c>
      <c r="G46" s="103"/>
      <c r="H46" s="103"/>
      <c r="I46" s="104"/>
      <c r="J46" s="103"/>
      <c r="K46" s="103"/>
      <c r="L46" s="103">
        <f t="shared" si="0"/>
        <v>0</v>
      </c>
      <c r="M46" s="103"/>
      <c r="N46" s="103" t="s">
        <v>945</v>
      </c>
      <c r="O46" s="104">
        <f t="shared" si="5"/>
        <v>0</v>
      </c>
    </row>
    <row r="47" spans="1:15" s="8" customFormat="1" ht="15.75" x14ac:dyDescent="0.25">
      <c r="A47" s="113" t="s">
        <v>37</v>
      </c>
      <c r="B47" s="102">
        <v>44193</v>
      </c>
      <c r="C47" s="26" t="s">
        <v>797</v>
      </c>
      <c r="D47" s="30">
        <v>2</v>
      </c>
      <c r="E47" s="13">
        <v>600</v>
      </c>
      <c r="F47" s="50">
        <f t="shared" si="3"/>
        <v>1200</v>
      </c>
      <c r="G47" s="103"/>
      <c r="H47" s="103"/>
      <c r="I47" s="104"/>
      <c r="J47" s="103"/>
      <c r="K47" s="103"/>
      <c r="L47" s="103">
        <f t="shared" si="0"/>
        <v>2</v>
      </c>
      <c r="M47" s="103"/>
      <c r="N47" s="103" t="s">
        <v>946</v>
      </c>
      <c r="O47" s="104">
        <f t="shared" si="5"/>
        <v>1200</v>
      </c>
    </row>
    <row r="48" spans="1:15" s="8" customFormat="1" ht="15.75" x14ac:dyDescent="0.25">
      <c r="A48" s="113" t="s">
        <v>38</v>
      </c>
      <c r="B48" s="102">
        <v>44678</v>
      </c>
      <c r="C48" s="26" t="s">
        <v>565</v>
      </c>
      <c r="D48" s="32">
        <v>5</v>
      </c>
      <c r="E48" s="13">
        <v>1400</v>
      </c>
      <c r="F48" s="50">
        <f t="shared" si="3"/>
        <v>7000</v>
      </c>
      <c r="G48" s="103"/>
      <c r="H48" s="103"/>
      <c r="I48" s="104"/>
      <c r="J48" s="103"/>
      <c r="K48" s="103"/>
      <c r="L48" s="103">
        <f t="shared" si="0"/>
        <v>5</v>
      </c>
      <c r="M48" s="103"/>
      <c r="N48" s="103" t="s">
        <v>946</v>
      </c>
      <c r="O48" s="104">
        <f t="shared" si="5"/>
        <v>7000</v>
      </c>
    </row>
    <row r="49" spans="1:15" s="8" customFormat="1" ht="15.75" x14ac:dyDescent="0.25">
      <c r="A49" s="113" t="s">
        <v>131</v>
      </c>
      <c r="B49" s="102">
        <v>44678</v>
      </c>
      <c r="C49" s="26" t="s">
        <v>567</v>
      </c>
      <c r="D49" s="32">
        <v>10</v>
      </c>
      <c r="E49" s="13">
        <v>500</v>
      </c>
      <c r="F49" s="50">
        <f t="shared" si="3"/>
        <v>5000</v>
      </c>
      <c r="G49" s="103"/>
      <c r="H49" s="103"/>
      <c r="I49" s="104"/>
      <c r="J49" s="103"/>
      <c r="K49" s="103"/>
      <c r="L49" s="103">
        <f t="shared" si="0"/>
        <v>10</v>
      </c>
      <c r="M49" s="103"/>
      <c r="N49" s="103" t="s">
        <v>946</v>
      </c>
      <c r="O49" s="104">
        <f t="shared" si="5"/>
        <v>5000</v>
      </c>
    </row>
    <row r="50" spans="1:15" s="8" customFormat="1" ht="15.75" x14ac:dyDescent="0.25">
      <c r="A50" s="113" t="s">
        <v>39</v>
      </c>
      <c r="B50" s="102">
        <v>44678</v>
      </c>
      <c r="C50" s="26" t="s">
        <v>568</v>
      </c>
      <c r="D50" s="32">
        <v>6</v>
      </c>
      <c r="E50" s="13">
        <v>5000</v>
      </c>
      <c r="F50" s="50">
        <f t="shared" si="3"/>
        <v>30000</v>
      </c>
      <c r="G50" s="103"/>
      <c r="H50" s="103"/>
      <c r="I50" s="104"/>
      <c r="J50" s="103"/>
      <c r="K50" s="103"/>
      <c r="L50" s="103">
        <f t="shared" si="0"/>
        <v>6</v>
      </c>
      <c r="M50" s="103"/>
      <c r="N50" s="103" t="s">
        <v>946</v>
      </c>
      <c r="O50" s="104">
        <f>+L50*E50</f>
        <v>30000</v>
      </c>
    </row>
    <row r="51" spans="1:15" s="8" customFormat="1" ht="15.75" x14ac:dyDescent="0.25">
      <c r="A51" s="113" t="s">
        <v>40</v>
      </c>
      <c r="B51" s="102">
        <v>44193</v>
      </c>
      <c r="C51" s="26" t="s">
        <v>803</v>
      </c>
      <c r="D51" s="32">
        <v>6</v>
      </c>
      <c r="E51" s="13">
        <v>2600</v>
      </c>
      <c r="F51" s="50">
        <f t="shared" si="3"/>
        <v>15600</v>
      </c>
      <c r="G51" s="103"/>
      <c r="H51" s="103"/>
      <c r="I51" s="104"/>
      <c r="J51" s="103"/>
      <c r="K51" s="103"/>
      <c r="L51" s="103">
        <f t="shared" si="0"/>
        <v>6</v>
      </c>
      <c r="M51" s="103"/>
      <c r="N51" s="103" t="s">
        <v>946</v>
      </c>
      <c r="O51" s="104">
        <f t="shared" ref="O51:O54" si="6">+L51*E51</f>
        <v>15600</v>
      </c>
    </row>
    <row r="52" spans="1:15" s="92" customFormat="1" x14ac:dyDescent="0.3">
      <c r="A52" s="113" t="s">
        <v>132</v>
      </c>
      <c r="B52" s="102">
        <v>44193</v>
      </c>
      <c r="C52" s="25" t="s">
        <v>773</v>
      </c>
      <c r="D52" s="14">
        <v>2</v>
      </c>
      <c r="E52" s="13">
        <v>325</v>
      </c>
      <c r="F52" s="50">
        <f t="shared" si="3"/>
        <v>650</v>
      </c>
      <c r="G52" s="103"/>
      <c r="H52" s="103"/>
      <c r="I52" s="104"/>
      <c r="J52" s="103"/>
      <c r="K52" s="103">
        <v>2</v>
      </c>
      <c r="L52" s="103">
        <f t="shared" si="0"/>
        <v>0</v>
      </c>
      <c r="M52" s="103"/>
      <c r="N52" s="103" t="s">
        <v>945</v>
      </c>
      <c r="O52" s="104">
        <f t="shared" si="6"/>
        <v>0</v>
      </c>
    </row>
    <row r="53" spans="1:15" s="92" customFormat="1" x14ac:dyDescent="0.3">
      <c r="A53" s="113" t="s">
        <v>41</v>
      </c>
      <c r="B53" s="102">
        <v>44193</v>
      </c>
      <c r="C53" s="25" t="s">
        <v>570</v>
      </c>
      <c r="D53" s="14">
        <f>(43*3)+1</f>
        <v>130</v>
      </c>
      <c r="E53" s="13">
        <v>25</v>
      </c>
      <c r="F53" s="50">
        <f t="shared" si="3"/>
        <v>3250</v>
      </c>
      <c r="G53" s="103"/>
      <c r="H53" s="103"/>
      <c r="I53" s="104"/>
      <c r="J53" s="103"/>
      <c r="K53" s="103">
        <f>1+3+1</f>
        <v>5</v>
      </c>
      <c r="L53" s="103">
        <f t="shared" si="0"/>
        <v>125</v>
      </c>
      <c r="M53" s="103"/>
      <c r="N53" s="103" t="s">
        <v>945</v>
      </c>
      <c r="O53" s="104">
        <f t="shared" si="6"/>
        <v>3125</v>
      </c>
    </row>
    <row r="54" spans="1:15" s="92" customFormat="1" x14ac:dyDescent="0.3">
      <c r="A54" s="113" t="s">
        <v>133</v>
      </c>
      <c r="B54" s="102">
        <v>44677</v>
      </c>
      <c r="C54" s="25" t="s">
        <v>571</v>
      </c>
      <c r="D54" s="14">
        <v>352</v>
      </c>
      <c r="E54" s="13">
        <v>14</v>
      </c>
      <c r="F54" s="50">
        <f t="shared" si="3"/>
        <v>4928</v>
      </c>
      <c r="G54" s="103"/>
      <c r="H54" s="103"/>
      <c r="I54" s="104"/>
      <c r="J54" s="103"/>
      <c r="K54" s="103">
        <f>2+2+1+1+2+2+2+2+10+2+2+6+3+4+1+2+3+5+4+2+2+2+2</f>
        <v>64</v>
      </c>
      <c r="L54" s="103">
        <f t="shared" si="0"/>
        <v>288</v>
      </c>
      <c r="M54" s="103"/>
      <c r="N54" s="103" t="s">
        <v>945</v>
      </c>
      <c r="O54" s="104">
        <f t="shared" si="6"/>
        <v>4032</v>
      </c>
    </row>
    <row r="55" spans="1:15" s="8" customFormat="1" ht="15.75" x14ac:dyDescent="0.25">
      <c r="A55" s="113" t="s">
        <v>134</v>
      </c>
      <c r="B55" s="106" t="s">
        <v>106</v>
      </c>
      <c r="C55" s="26" t="s">
        <v>572</v>
      </c>
      <c r="D55" s="32"/>
      <c r="E55" s="51">
        <v>84.75</v>
      </c>
      <c r="F55" s="50">
        <f t="shared" si="3"/>
        <v>0</v>
      </c>
      <c r="G55" s="107">
        <v>44851</v>
      </c>
      <c r="H55" s="103">
        <v>30</v>
      </c>
      <c r="I55" s="104">
        <v>107.97</v>
      </c>
      <c r="J55" s="104">
        <f>+H55*I55</f>
        <v>3239.1</v>
      </c>
      <c r="K55" s="103">
        <f>2+1+1</f>
        <v>4</v>
      </c>
      <c r="L55" s="103">
        <f t="shared" si="0"/>
        <v>26</v>
      </c>
      <c r="M55" s="103"/>
      <c r="N55" s="103" t="s">
        <v>946</v>
      </c>
      <c r="O55" s="104">
        <f>+L55*I55</f>
        <v>2807.22</v>
      </c>
    </row>
    <row r="56" spans="1:15" s="8" customFormat="1" ht="15.75" x14ac:dyDescent="0.25">
      <c r="A56" s="113" t="s">
        <v>42</v>
      </c>
      <c r="B56" s="102">
        <v>44193</v>
      </c>
      <c r="C56" s="26" t="s">
        <v>573</v>
      </c>
      <c r="D56" s="32"/>
      <c r="E56" s="13">
        <v>169.49</v>
      </c>
      <c r="F56" s="50">
        <f t="shared" si="3"/>
        <v>0</v>
      </c>
      <c r="G56" s="103"/>
      <c r="H56" s="103"/>
      <c r="I56" s="104"/>
      <c r="J56" s="103">
        <f t="shared" ref="J56:J65" si="7">+H56*I56</f>
        <v>0</v>
      </c>
      <c r="K56" s="103"/>
      <c r="L56" s="103">
        <f t="shared" si="0"/>
        <v>0</v>
      </c>
      <c r="M56" s="103"/>
      <c r="N56" s="103" t="s">
        <v>946</v>
      </c>
      <c r="O56" s="104">
        <f t="shared" ref="O56:O64" si="8">+L56*I56</f>
        <v>0</v>
      </c>
    </row>
    <row r="57" spans="1:15" s="8" customFormat="1" ht="15.75" x14ac:dyDescent="0.25">
      <c r="A57" s="113" t="s">
        <v>109</v>
      </c>
      <c r="B57" s="102">
        <v>44193</v>
      </c>
      <c r="C57" s="25" t="s">
        <v>574</v>
      </c>
      <c r="D57" s="14"/>
      <c r="E57" s="13">
        <v>76.27</v>
      </c>
      <c r="F57" s="50">
        <f t="shared" si="3"/>
        <v>0</v>
      </c>
      <c r="G57" s="103"/>
      <c r="H57" s="103"/>
      <c r="I57" s="104"/>
      <c r="J57" s="103">
        <f t="shared" si="7"/>
        <v>0</v>
      </c>
      <c r="K57" s="103"/>
      <c r="L57" s="103">
        <f t="shared" si="0"/>
        <v>0</v>
      </c>
      <c r="M57" s="103"/>
      <c r="N57" s="103" t="s">
        <v>946</v>
      </c>
      <c r="O57" s="104">
        <f t="shared" si="8"/>
        <v>0</v>
      </c>
    </row>
    <row r="58" spans="1:15" s="8" customFormat="1" ht="15.75" x14ac:dyDescent="0.25">
      <c r="A58" s="113" t="s">
        <v>135</v>
      </c>
      <c r="B58" s="102">
        <v>44193</v>
      </c>
      <c r="C58" s="25" t="s">
        <v>575</v>
      </c>
      <c r="D58" s="14"/>
      <c r="E58" s="13">
        <v>93.22</v>
      </c>
      <c r="F58" s="50">
        <f t="shared" si="3"/>
        <v>0</v>
      </c>
      <c r="G58" s="103"/>
      <c r="H58" s="103"/>
      <c r="I58" s="104"/>
      <c r="J58" s="103">
        <f t="shared" si="7"/>
        <v>0</v>
      </c>
      <c r="K58" s="103"/>
      <c r="L58" s="103">
        <f t="shared" si="0"/>
        <v>0</v>
      </c>
      <c r="M58" s="103"/>
      <c r="N58" s="103" t="s">
        <v>946</v>
      </c>
      <c r="O58" s="104">
        <f t="shared" si="8"/>
        <v>0</v>
      </c>
    </row>
    <row r="59" spans="1:15" s="8" customFormat="1" ht="15.75" x14ac:dyDescent="0.25">
      <c r="A59" s="113" t="s">
        <v>43</v>
      </c>
      <c r="B59" s="102">
        <v>44193</v>
      </c>
      <c r="C59" s="26" t="s">
        <v>576</v>
      </c>
      <c r="D59" s="32"/>
      <c r="E59" s="13">
        <v>122.8</v>
      </c>
      <c r="F59" s="50">
        <f t="shared" si="3"/>
        <v>0</v>
      </c>
      <c r="G59" s="107">
        <v>44851</v>
      </c>
      <c r="H59" s="103">
        <v>30</v>
      </c>
      <c r="I59" s="104">
        <v>171.69</v>
      </c>
      <c r="J59" s="104">
        <f t="shared" si="7"/>
        <v>5150.7</v>
      </c>
      <c r="K59" s="103"/>
      <c r="L59" s="103">
        <f t="shared" si="0"/>
        <v>30</v>
      </c>
      <c r="M59" s="103"/>
      <c r="N59" s="103" t="s">
        <v>946</v>
      </c>
      <c r="O59" s="104">
        <f t="shared" si="8"/>
        <v>5150.7</v>
      </c>
    </row>
    <row r="60" spans="1:15" s="8" customFormat="1" ht="15.75" x14ac:dyDescent="0.25">
      <c r="A60" s="113" t="s">
        <v>45</v>
      </c>
      <c r="B60" s="102">
        <v>44453</v>
      </c>
      <c r="C60" s="9" t="s">
        <v>577</v>
      </c>
      <c r="D60" s="48">
        <v>0</v>
      </c>
      <c r="E60" s="13">
        <v>3000</v>
      </c>
      <c r="F60" s="50">
        <f t="shared" si="3"/>
        <v>0</v>
      </c>
      <c r="G60" s="103"/>
      <c r="H60" s="103"/>
      <c r="I60" s="104"/>
      <c r="J60" s="103">
        <f t="shared" si="7"/>
        <v>0</v>
      </c>
      <c r="K60" s="103"/>
      <c r="L60" s="103">
        <f t="shared" si="0"/>
        <v>0</v>
      </c>
      <c r="M60" s="103"/>
      <c r="N60" s="103" t="s">
        <v>946</v>
      </c>
      <c r="O60" s="104">
        <f t="shared" si="8"/>
        <v>0</v>
      </c>
    </row>
    <row r="61" spans="1:15" s="8" customFormat="1" ht="15.75" x14ac:dyDescent="0.25">
      <c r="A61" s="113" t="s">
        <v>46</v>
      </c>
      <c r="B61" s="102">
        <v>44193</v>
      </c>
      <c r="C61" s="26" t="s">
        <v>578</v>
      </c>
      <c r="D61" s="32">
        <v>0</v>
      </c>
      <c r="E61" s="13">
        <v>63.56</v>
      </c>
      <c r="F61" s="50">
        <f t="shared" si="3"/>
        <v>0</v>
      </c>
      <c r="G61" s="103"/>
      <c r="H61" s="103"/>
      <c r="I61" s="104"/>
      <c r="J61" s="103">
        <f t="shared" si="7"/>
        <v>0</v>
      </c>
      <c r="K61" s="103"/>
      <c r="L61" s="103">
        <f t="shared" si="0"/>
        <v>0</v>
      </c>
      <c r="M61" s="103"/>
      <c r="N61" s="103" t="s">
        <v>946</v>
      </c>
      <c r="O61" s="104">
        <f t="shared" si="8"/>
        <v>0</v>
      </c>
    </row>
    <row r="62" spans="1:15" s="8" customFormat="1" ht="15.75" x14ac:dyDescent="0.25">
      <c r="A62" s="113" t="s">
        <v>47</v>
      </c>
      <c r="B62" s="102">
        <v>44193</v>
      </c>
      <c r="C62" s="26" t="s">
        <v>819</v>
      </c>
      <c r="D62" s="32">
        <v>2</v>
      </c>
      <c r="E62" s="13"/>
      <c r="F62" s="50"/>
      <c r="G62" s="103"/>
      <c r="H62" s="103"/>
      <c r="I62" s="104"/>
      <c r="J62" s="103">
        <f t="shared" si="7"/>
        <v>0</v>
      </c>
      <c r="K62" s="103"/>
      <c r="L62" s="103">
        <f t="shared" si="0"/>
        <v>2</v>
      </c>
      <c r="M62" s="103"/>
      <c r="N62" s="103" t="s">
        <v>946</v>
      </c>
      <c r="O62" s="104">
        <f>+E62*L62</f>
        <v>0</v>
      </c>
    </row>
    <row r="63" spans="1:15" s="8" customFormat="1" ht="15.75" x14ac:dyDescent="0.25">
      <c r="A63" s="113" t="s">
        <v>48</v>
      </c>
      <c r="B63" s="102">
        <v>44193</v>
      </c>
      <c r="C63" s="26" t="s">
        <v>817</v>
      </c>
      <c r="D63" s="32">
        <v>7</v>
      </c>
      <c r="E63" s="13"/>
      <c r="F63" s="50"/>
      <c r="G63" s="103"/>
      <c r="H63" s="103"/>
      <c r="I63" s="104"/>
      <c r="J63" s="103">
        <f t="shared" si="7"/>
        <v>0</v>
      </c>
      <c r="K63" s="103"/>
      <c r="L63" s="103">
        <f t="shared" si="0"/>
        <v>7</v>
      </c>
      <c r="M63" s="103"/>
      <c r="N63" s="103" t="s">
        <v>946</v>
      </c>
      <c r="O63" s="104">
        <f t="shared" si="8"/>
        <v>0</v>
      </c>
    </row>
    <row r="64" spans="1:15" s="8" customFormat="1" ht="15.75" x14ac:dyDescent="0.25">
      <c r="A64" s="113" t="s">
        <v>49</v>
      </c>
      <c r="B64" s="102">
        <v>44193</v>
      </c>
      <c r="C64" s="26" t="s">
        <v>818</v>
      </c>
      <c r="D64" s="32">
        <v>8</v>
      </c>
      <c r="E64" s="13"/>
      <c r="F64" s="50"/>
      <c r="G64" s="103"/>
      <c r="H64" s="103"/>
      <c r="I64" s="104"/>
      <c r="J64" s="103">
        <f t="shared" si="7"/>
        <v>0</v>
      </c>
      <c r="K64" s="103"/>
      <c r="L64" s="103">
        <f t="shared" si="0"/>
        <v>8</v>
      </c>
      <c r="M64" s="103"/>
      <c r="N64" s="103" t="s">
        <v>946</v>
      </c>
      <c r="O64" s="104">
        <f t="shared" si="8"/>
        <v>0</v>
      </c>
    </row>
    <row r="65" spans="1:15" s="8" customFormat="1" ht="15.75" x14ac:dyDescent="0.25">
      <c r="A65" s="113" t="s">
        <v>50</v>
      </c>
      <c r="B65" s="106" t="s">
        <v>116</v>
      </c>
      <c r="C65" s="25" t="s">
        <v>720</v>
      </c>
      <c r="D65" s="32">
        <v>1</v>
      </c>
      <c r="E65" s="51">
        <v>3000</v>
      </c>
      <c r="F65" s="50">
        <f>D65*E65</f>
        <v>3000</v>
      </c>
      <c r="G65" s="103"/>
      <c r="H65" s="103"/>
      <c r="I65" s="104"/>
      <c r="J65" s="103">
        <f t="shared" si="7"/>
        <v>0</v>
      </c>
      <c r="K65" s="103">
        <v>2</v>
      </c>
      <c r="L65" s="103">
        <f t="shared" si="0"/>
        <v>-1</v>
      </c>
      <c r="M65" s="103"/>
      <c r="N65" s="103" t="s">
        <v>947</v>
      </c>
      <c r="O65" s="104">
        <f>+L65*E65</f>
        <v>-3000</v>
      </c>
    </row>
    <row r="66" spans="1:15" s="8" customFormat="1" ht="15.75" x14ac:dyDescent="0.25">
      <c r="A66" s="113" t="s">
        <v>51</v>
      </c>
      <c r="B66" s="102">
        <v>44193</v>
      </c>
      <c r="C66" s="26" t="s">
        <v>579</v>
      </c>
      <c r="D66" s="32">
        <v>0</v>
      </c>
      <c r="E66" s="13">
        <v>35</v>
      </c>
      <c r="F66" s="50">
        <f t="shared" ref="F66:F87" si="9">D66*E66</f>
        <v>0</v>
      </c>
      <c r="G66" s="103"/>
      <c r="H66" s="103"/>
      <c r="I66" s="104"/>
      <c r="J66" s="103"/>
      <c r="K66" s="103"/>
      <c r="L66" s="103">
        <f t="shared" si="0"/>
        <v>0</v>
      </c>
      <c r="M66" s="103"/>
      <c r="N66" s="103" t="s">
        <v>946</v>
      </c>
      <c r="O66" s="104">
        <f>+E66*L66</f>
        <v>0</v>
      </c>
    </row>
    <row r="67" spans="1:15" s="8" customFormat="1" ht="15.75" x14ac:dyDescent="0.25">
      <c r="A67" s="113" t="s">
        <v>52</v>
      </c>
      <c r="B67" s="102">
        <v>44193</v>
      </c>
      <c r="C67" s="25" t="s">
        <v>794</v>
      </c>
      <c r="D67" s="38">
        <v>1</v>
      </c>
      <c r="E67" s="13">
        <v>97.96</v>
      </c>
      <c r="F67" s="50">
        <f t="shared" si="9"/>
        <v>97.96</v>
      </c>
      <c r="G67" s="103"/>
      <c r="H67" s="103"/>
      <c r="I67" s="104"/>
      <c r="J67" s="103"/>
      <c r="K67" s="103"/>
      <c r="L67" s="103">
        <f t="shared" si="0"/>
        <v>1</v>
      </c>
      <c r="M67" s="103"/>
      <c r="N67" s="103" t="s">
        <v>946</v>
      </c>
      <c r="O67" s="104">
        <f t="shared" ref="O67:O101" si="10">+E67*L67</f>
        <v>97.96</v>
      </c>
    </row>
    <row r="68" spans="1:15" s="8" customFormat="1" ht="15.75" x14ac:dyDescent="0.25">
      <c r="A68" s="113" t="s">
        <v>53</v>
      </c>
      <c r="B68" s="102">
        <v>44193</v>
      </c>
      <c r="C68" s="9" t="s">
        <v>580</v>
      </c>
      <c r="D68" s="58">
        <v>22</v>
      </c>
      <c r="E68" s="13">
        <v>18</v>
      </c>
      <c r="F68" s="50">
        <f t="shared" si="9"/>
        <v>396</v>
      </c>
      <c r="G68" s="103"/>
      <c r="H68" s="103"/>
      <c r="I68" s="104"/>
      <c r="J68" s="103"/>
      <c r="K68" s="103"/>
      <c r="L68" s="103">
        <f t="shared" si="0"/>
        <v>22</v>
      </c>
      <c r="M68" s="103"/>
      <c r="N68" s="103" t="s">
        <v>947</v>
      </c>
      <c r="O68" s="104">
        <f t="shared" si="10"/>
        <v>396</v>
      </c>
    </row>
    <row r="69" spans="1:15" s="8" customFormat="1" ht="15.75" x14ac:dyDescent="0.25">
      <c r="A69" s="113" t="s">
        <v>44</v>
      </c>
      <c r="B69" s="102">
        <v>44193</v>
      </c>
      <c r="C69" s="9" t="s">
        <v>581</v>
      </c>
      <c r="D69" s="48">
        <v>0</v>
      </c>
      <c r="E69" s="13">
        <v>114</v>
      </c>
      <c r="F69" s="50">
        <f t="shared" si="9"/>
        <v>0</v>
      </c>
      <c r="G69" s="103"/>
      <c r="H69" s="103"/>
      <c r="I69" s="104"/>
      <c r="J69" s="103"/>
      <c r="K69" s="103"/>
      <c r="L69" s="103">
        <f t="shared" si="0"/>
        <v>0</v>
      </c>
      <c r="M69" s="103"/>
      <c r="N69" s="103" t="s">
        <v>947</v>
      </c>
      <c r="O69" s="104">
        <f t="shared" si="10"/>
        <v>0</v>
      </c>
    </row>
    <row r="70" spans="1:15" s="8" customFormat="1" ht="15.75" x14ac:dyDescent="0.25">
      <c r="A70" s="113" t="s">
        <v>113</v>
      </c>
      <c r="B70" s="102">
        <v>44193</v>
      </c>
      <c r="C70" s="9" t="s">
        <v>582</v>
      </c>
      <c r="D70" s="48">
        <v>50</v>
      </c>
      <c r="E70" s="13">
        <v>150</v>
      </c>
      <c r="F70" s="50">
        <f t="shared" si="9"/>
        <v>7500</v>
      </c>
      <c r="G70" s="103"/>
      <c r="H70" s="103"/>
      <c r="I70" s="104"/>
      <c r="J70" s="103"/>
      <c r="K70" s="103"/>
      <c r="L70" s="103">
        <f t="shared" si="0"/>
        <v>50</v>
      </c>
      <c r="M70" s="103"/>
      <c r="N70" s="103" t="s">
        <v>947</v>
      </c>
      <c r="O70" s="104">
        <f t="shared" si="10"/>
        <v>7500</v>
      </c>
    </row>
    <row r="71" spans="1:15" s="8" customFormat="1" ht="15.75" x14ac:dyDescent="0.25">
      <c r="A71" s="113" t="s">
        <v>136</v>
      </c>
      <c r="B71" s="102">
        <v>44193</v>
      </c>
      <c r="C71" s="26" t="s">
        <v>583</v>
      </c>
      <c r="D71" s="14">
        <v>0</v>
      </c>
      <c r="E71" s="13">
        <v>105.93</v>
      </c>
      <c r="F71" s="50">
        <f t="shared" si="9"/>
        <v>0</v>
      </c>
      <c r="G71" s="103"/>
      <c r="H71" s="103"/>
      <c r="I71" s="104"/>
      <c r="J71" s="103"/>
      <c r="K71" s="103"/>
      <c r="L71" s="103">
        <f t="shared" si="0"/>
        <v>0</v>
      </c>
      <c r="M71" s="103"/>
      <c r="N71" s="103" t="s">
        <v>946</v>
      </c>
      <c r="O71" s="104">
        <f t="shared" si="10"/>
        <v>0</v>
      </c>
    </row>
    <row r="72" spans="1:15" s="8" customFormat="1" ht="15.75" x14ac:dyDescent="0.25">
      <c r="A72" s="113" t="s">
        <v>137</v>
      </c>
      <c r="B72" s="102">
        <v>44193</v>
      </c>
      <c r="C72" s="26" t="s">
        <v>584</v>
      </c>
      <c r="D72" s="14">
        <v>1</v>
      </c>
      <c r="E72" s="13">
        <v>762.71</v>
      </c>
      <c r="F72" s="50">
        <f t="shared" si="9"/>
        <v>762.71</v>
      </c>
      <c r="G72" s="103"/>
      <c r="H72" s="103"/>
      <c r="I72" s="104"/>
      <c r="J72" s="103"/>
      <c r="K72" s="103"/>
      <c r="L72" s="103">
        <f t="shared" si="0"/>
        <v>1</v>
      </c>
      <c r="M72" s="103"/>
      <c r="N72" s="103" t="s">
        <v>946</v>
      </c>
      <c r="O72" s="104">
        <f t="shared" si="10"/>
        <v>762.71</v>
      </c>
    </row>
    <row r="73" spans="1:15" s="8" customFormat="1" ht="15.75" x14ac:dyDescent="0.25">
      <c r="A73" s="113" t="s">
        <v>138</v>
      </c>
      <c r="B73" s="102">
        <v>44193</v>
      </c>
      <c r="C73" s="26" t="s">
        <v>585</v>
      </c>
      <c r="D73" s="14">
        <v>0</v>
      </c>
      <c r="E73" s="13">
        <v>338.98</v>
      </c>
      <c r="F73" s="50">
        <f t="shared" si="9"/>
        <v>0</v>
      </c>
      <c r="G73" s="103"/>
      <c r="H73" s="103"/>
      <c r="I73" s="104"/>
      <c r="J73" s="103"/>
      <c r="K73" s="103"/>
      <c r="L73" s="103">
        <f t="shared" ref="L73:L74" si="11">+D73+H73-K73</f>
        <v>0</v>
      </c>
      <c r="M73" s="103"/>
      <c r="N73" s="103" t="s">
        <v>946</v>
      </c>
      <c r="O73" s="104">
        <f t="shared" si="10"/>
        <v>0</v>
      </c>
    </row>
    <row r="74" spans="1:15" s="8" customFormat="1" ht="15.75" x14ac:dyDescent="0.25">
      <c r="A74" s="113" t="s">
        <v>54</v>
      </c>
      <c r="B74" s="102">
        <v>44193</v>
      </c>
      <c r="C74" s="9" t="s">
        <v>586</v>
      </c>
      <c r="D74" s="30">
        <v>8</v>
      </c>
      <c r="E74" s="13">
        <v>17.07</v>
      </c>
      <c r="F74" s="50">
        <f t="shared" si="9"/>
        <v>136.56</v>
      </c>
      <c r="G74" s="103"/>
      <c r="H74" s="103"/>
      <c r="I74" s="104"/>
      <c r="J74" s="103"/>
      <c r="K74" s="103"/>
      <c r="L74" s="103">
        <f t="shared" si="11"/>
        <v>8</v>
      </c>
      <c r="M74" s="103"/>
      <c r="N74" s="103" t="s">
        <v>947</v>
      </c>
      <c r="O74" s="104">
        <f t="shared" si="10"/>
        <v>136.56</v>
      </c>
    </row>
    <row r="75" spans="1:15" s="92" customFormat="1" x14ac:dyDescent="0.3">
      <c r="A75" s="113" t="s">
        <v>55</v>
      </c>
      <c r="B75" s="102">
        <v>44193</v>
      </c>
      <c r="C75" s="26" t="s">
        <v>587</v>
      </c>
      <c r="D75" s="30">
        <v>129</v>
      </c>
      <c r="E75" s="13">
        <v>134</v>
      </c>
      <c r="F75" s="50">
        <f t="shared" si="9"/>
        <v>17286</v>
      </c>
      <c r="G75" s="103"/>
      <c r="H75" s="103"/>
      <c r="I75" s="104"/>
      <c r="J75" s="103"/>
      <c r="K75" s="103">
        <f>1+2+2+12+1+1+2</f>
        <v>21</v>
      </c>
      <c r="L75" s="103">
        <f>+D75+H75-K75</f>
        <v>108</v>
      </c>
      <c r="M75" s="103"/>
      <c r="N75" s="103" t="s">
        <v>945</v>
      </c>
      <c r="O75" s="104">
        <f t="shared" si="10"/>
        <v>14472</v>
      </c>
    </row>
    <row r="76" spans="1:15" s="92" customFormat="1" x14ac:dyDescent="0.3">
      <c r="A76" s="113" t="s">
        <v>56</v>
      </c>
      <c r="B76" s="106" t="s">
        <v>106</v>
      </c>
      <c r="C76" s="26" t="s">
        <v>774</v>
      </c>
      <c r="D76" s="30">
        <v>67</v>
      </c>
      <c r="E76" s="51">
        <v>50</v>
      </c>
      <c r="F76" s="50">
        <f t="shared" si="9"/>
        <v>3350</v>
      </c>
      <c r="G76" s="103"/>
      <c r="H76" s="103"/>
      <c r="I76" s="104"/>
      <c r="J76" s="103"/>
      <c r="K76" s="103">
        <f>2+4+1+2+1+2+1</f>
        <v>13</v>
      </c>
      <c r="L76" s="103">
        <f t="shared" ref="L76:L82" si="12">+D76+H76-K76</f>
        <v>54</v>
      </c>
      <c r="M76" s="103"/>
      <c r="N76" s="103" t="s">
        <v>945</v>
      </c>
      <c r="O76" s="104">
        <f t="shared" si="10"/>
        <v>2700</v>
      </c>
    </row>
    <row r="77" spans="1:15" s="92" customFormat="1" x14ac:dyDescent="0.3">
      <c r="A77" s="113" t="s">
        <v>100</v>
      </c>
      <c r="B77" s="102">
        <v>44488</v>
      </c>
      <c r="C77" s="26" t="s">
        <v>589</v>
      </c>
      <c r="D77" s="30">
        <v>3</v>
      </c>
      <c r="E77" s="13">
        <v>2200</v>
      </c>
      <c r="F77" s="50">
        <f t="shared" si="9"/>
        <v>6600</v>
      </c>
      <c r="G77" s="103"/>
      <c r="H77" s="103"/>
      <c r="I77" s="104"/>
      <c r="J77" s="103"/>
      <c r="K77" s="103"/>
      <c r="L77" s="103">
        <f t="shared" si="12"/>
        <v>3</v>
      </c>
      <c r="M77" s="103"/>
      <c r="N77" s="103" t="s">
        <v>945</v>
      </c>
      <c r="O77" s="104">
        <f>+E77*L77</f>
        <v>6600</v>
      </c>
    </row>
    <row r="78" spans="1:15" s="8" customFormat="1" ht="15.75" x14ac:dyDescent="0.25">
      <c r="A78" s="113" t="s">
        <v>57</v>
      </c>
      <c r="B78" s="102">
        <v>44193</v>
      </c>
      <c r="C78" s="9" t="s">
        <v>590</v>
      </c>
      <c r="D78" s="30">
        <v>0</v>
      </c>
      <c r="E78" s="13">
        <v>402.54</v>
      </c>
      <c r="F78" s="50">
        <f t="shared" si="9"/>
        <v>0</v>
      </c>
      <c r="G78" s="103"/>
      <c r="H78" s="103"/>
      <c r="I78" s="104"/>
      <c r="J78" s="103"/>
      <c r="K78" s="103"/>
      <c r="L78" s="103">
        <f t="shared" si="12"/>
        <v>0</v>
      </c>
      <c r="M78" s="103"/>
      <c r="N78" s="103" t="s">
        <v>946</v>
      </c>
      <c r="O78" s="104">
        <f t="shared" si="10"/>
        <v>0</v>
      </c>
    </row>
    <row r="79" spans="1:15" s="8" customFormat="1" ht="15.75" x14ac:dyDescent="0.25">
      <c r="A79" s="113" t="s">
        <v>139</v>
      </c>
      <c r="B79" s="102">
        <v>44193</v>
      </c>
      <c r="C79" s="9" t="s">
        <v>591</v>
      </c>
      <c r="D79" s="30">
        <v>11</v>
      </c>
      <c r="E79" s="13">
        <v>37.74</v>
      </c>
      <c r="F79" s="50">
        <f t="shared" si="9"/>
        <v>415.14000000000004</v>
      </c>
      <c r="G79" s="103"/>
      <c r="H79" s="103"/>
      <c r="I79" s="104"/>
      <c r="J79" s="103"/>
      <c r="K79" s="103"/>
      <c r="L79" s="103">
        <f t="shared" si="12"/>
        <v>11</v>
      </c>
      <c r="M79" s="103"/>
      <c r="N79" s="103" t="s">
        <v>946</v>
      </c>
      <c r="O79" s="104">
        <f t="shared" si="10"/>
        <v>415.14000000000004</v>
      </c>
    </row>
    <row r="80" spans="1:15" s="105" customFormat="1" ht="15.75" x14ac:dyDescent="0.25">
      <c r="A80" s="113" t="s">
        <v>140</v>
      </c>
      <c r="B80" s="102">
        <v>44193</v>
      </c>
      <c r="C80" s="9" t="s">
        <v>592</v>
      </c>
      <c r="D80" s="30">
        <v>0</v>
      </c>
      <c r="E80" s="13">
        <v>55</v>
      </c>
      <c r="F80" s="50">
        <f t="shared" si="9"/>
        <v>0</v>
      </c>
      <c r="G80" s="107">
        <v>44883</v>
      </c>
      <c r="H80" s="103">
        <v>25</v>
      </c>
      <c r="I80" s="104">
        <v>68.06</v>
      </c>
      <c r="J80" s="103">
        <f>+I80*H80</f>
        <v>1701.5</v>
      </c>
      <c r="K80" s="103">
        <v>1</v>
      </c>
      <c r="L80" s="103">
        <f t="shared" si="12"/>
        <v>24</v>
      </c>
      <c r="M80" s="103" t="s">
        <v>1037</v>
      </c>
      <c r="N80" s="103" t="s">
        <v>947</v>
      </c>
      <c r="O80" s="104">
        <f t="shared" si="10"/>
        <v>1320</v>
      </c>
    </row>
    <row r="81" spans="1:15" s="8" customFormat="1" ht="15.75" x14ac:dyDescent="0.25">
      <c r="A81" s="113" t="s">
        <v>141</v>
      </c>
      <c r="B81" s="102">
        <v>44193</v>
      </c>
      <c r="C81" s="9" t="s">
        <v>593</v>
      </c>
      <c r="D81" s="30">
        <v>6</v>
      </c>
      <c r="E81" s="13">
        <v>4740</v>
      </c>
      <c r="F81" s="50">
        <f t="shared" si="9"/>
        <v>28440</v>
      </c>
      <c r="G81" s="103"/>
      <c r="H81" s="103"/>
      <c r="I81" s="104"/>
      <c r="J81" s="103"/>
      <c r="K81" s="103"/>
      <c r="L81" s="103">
        <f t="shared" si="12"/>
        <v>6</v>
      </c>
      <c r="M81" s="103"/>
      <c r="N81" s="103" t="s">
        <v>947</v>
      </c>
      <c r="O81" s="104">
        <f>+E81*L81</f>
        <v>28440</v>
      </c>
    </row>
    <row r="82" spans="1:15" s="8" customFormat="1" ht="15.75" x14ac:dyDescent="0.25">
      <c r="A82" s="113" t="s">
        <v>58</v>
      </c>
      <c r="B82" s="102">
        <v>44193</v>
      </c>
      <c r="C82" s="9" t="s">
        <v>594</v>
      </c>
      <c r="D82" s="30">
        <v>1</v>
      </c>
      <c r="E82" s="13">
        <v>2535</v>
      </c>
      <c r="F82" s="50">
        <f t="shared" si="9"/>
        <v>2535</v>
      </c>
      <c r="G82" s="103"/>
      <c r="H82" s="103"/>
      <c r="I82" s="104"/>
      <c r="J82" s="103"/>
      <c r="K82" s="103"/>
      <c r="L82" s="103">
        <f t="shared" si="12"/>
        <v>1</v>
      </c>
      <c r="M82" s="103"/>
      <c r="N82" s="103" t="s">
        <v>947</v>
      </c>
      <c r="O82" s="104">
        <f t="shared" si="10"/>
        <v>2535</v>
      </c>
    </row>
    <row r="83" spans="1:15" s="8" customFormat="1" ht="15.75" x14ac:dyDescent="0.25">
      <c r="A83" s="113" t="s">
        <v>59</v>
      </c>
      <c r="B83" s="102">
        <v>44193</v>
      </c>
      <c r="C83" s="9" t="s">
        <v>595</v>
      </c>
      <c r="D83" s="30">
        <v>0</v>
      </c>
      <c r="E83" s="13">
        <v>211.86</v>
      </c>
      <c r="F83" s="50">
        <f t="shared" si="9"/>
        <v>0</v>
      </c>
      <c r="G83" s="103"/>
      <c r="H83" s="103"/>
      <c r="I83" s="104"/>
      <c r="J83" s="103"/>
      <c r="K83" s="103"/>
      <c r="L83" s="103">
        <f>+D83+H83-K83</f>
        <v>0</v>
      </c>
      <c r="M83" s="103"/>
      <c r="N83" s="103" t="s">
        <v>947</v>
      </c>
      <c r="O83" s="104">
        <f t="shared" si="10"/>
        <v>0</v>
      </c>
    </row>
    <row r="84" spans="1:15" s="8" customFormat="1" ht="15.75" x14ac:dyDescent="0.25">
      <c r="A84" s="113" t="s">
        <v>60</v>
      </c>
      <c r="B84" s="102">
        <v>44193</v>
      </c>
      <c r="C84" s="9" t="s">
        <v>596</v>
      </c>
      <c r="D84" s="30">
        <v>0</v>
      </c>
      <c r="E84" s="13">
        <v>70</v>
      </c>
      <c r="F84" s="50">
        <f t="shared" si="9"/>
        <v>0</v>
      </c>
      <c r="G84" s="103"/>
      <c r="H84" s="103"/>
      <c r="I84" s="104"/>
      <c r="J84" s="103"/>
      <c r="K84" s="103"/>
      <c r="L84" s="103">
        <f t="shared" ref="L84:L96" si="13">+D84+H84-K84</f>
        <v>0</v>
      </c>
      <c r="M84" s="103"/>
      <c r="N84" s="103" t="s">
        <v>947</v>
      </c>
      <c r="O84" s="104">
        <f t="shared" si="10"/>
        <v>0</v>
      </c>
    </row>
    <row r="85" spans="1:15" s="8" customFormat="1" ht="15.75" x14ac:dyDescent="0.25">
      <c r="A85" s="113" t="s">
        <v>61</v>
      </c>
      <c r="B85" s="102">
        <v>44193</v>
      </c>
      <c r="C85" s="26" t="s">
        <v>597</v>
      </c>
      <c r="D85" s="30">
        <v>2</v>
      </c>
      <c r="E85" s="13">
        <v>148.31</v>
      </c>
      <c r="F85" s="50">
        <f t="shared" si="9"/>
        <v>296.62</v>
      </c>
      <c r="G85" s="103"/>
      <c r="H85" s="103"/>
      <c r="I85" s="104"/>
      <c r="J85" s="103"/>
      <c r="K85" s="103"/>
      <c r="L85" s="103">
        <f t="shared" si="13"/>
        <v>2</v>
      </c>
      <c r="M85" s="103"/>
      <c r="N85" s="103" t="s">
        <v>947</v>
      </c>
      <c r="O85" s="104">
        <f t="shared" si="10"/>
        <v>296.62</v>
      </c>
    </row>
    <row r="86" spans="1:15" s="8" customFormat="1" ht="15.75" x14ac:dyDescent="0.25">
      <c r="A86" s="113" t="s">
        <v>62</v>
      </c>
      <c r="B86" s="102">
        <v>44547</v>
      </c>
      <c r="C86" s="9" t="s">
        <v>598</v>
      </c>
      <c r="D86" s="30">
        <v>24</v>
      </c>
      <c r="E86" s="13">
        <v>200</v>
      </c>
      <c r="F86" s="50">
        <f t="shared" si="9"/>
        <v>4800</v>
      </c>
      <c r="G86" s="103"/>
      <c r="H86" s="103"/>
      <c r="I86" s="104"/>
      <c r="J86" s="103"/>
      <c r="K86" s="103"/>
      <c r="L86" s="103">
        <f t="shared" si="13"/>
        <v>24</v>
      </c>
      <c r="M86" s="103"/>
      <c r="N86" s="103" t="s">
        <v>947</v>
      </c>
      <c r="O86" s="104">
        <f t="shared" si="10"/>
        <v>4800</v>
      </c>
    </row>
    <row r="87" spans="1:15" s="105" customFormat="1" ht="15.75" x14ac:dyDescent="0.25">
      <c r="A87" s="113" t="s">
        <v>63</v>
      </c>
      <c r="B87" s="102">
        <v>44193</v>
      </c>
      <c r="C87" s="9" t="s">
        <v>599</v>
      </c>
      <c r="D87" s="30">
        <v>0</v>
      </c>
      <c r="E87" s="13">
        <v>65</v>
      </c>
      <c r="F87" s="50">
        <f t="shared" si="9"/>
        <v>0</v>
      </c>
      <c r="G87" s="107">
        <v>44852</v>
      </c>
      <c r="H87" s="103">
        <v>10</v>
      </c>
      <c r="I87" s="104">
        <v>46</v>
      </c>
      <c r="J87" s="108">
        <f>+I87*H87</f>
        <v>460</v>
      </c>
      <c r="K87" s="103"/>
      <c r="L87" s="103">
        <f t="shared" si="13"/>
        <v>10</v>
      </c>
      <c r="M87" s="103" t="s">
        <v>1037</v>
      </c>
      <c r="N87" s="103" t="s">
        <v>947</v>
      </c>
      <c r="O87" s="104">
        <f t="shared" si="10"/>
        <v>650</v>
      </c>
    </row>
    <row r="88" spans="1:15" s="92" customFormat="1" x14ac:dyDescent="0.3">
      <c r="A88" s="113" t="s">
        <v>64</v>
      </c>
      <c r="B88" s="102">
        <v>44193</v>
      </c>
      <c r="C88" s="25" t="s">
        <v>850</v>
      </c>
      <c r="D88" s="38">
        <v>1</v>
      </c>
      <c r="E88" s="13"/>
      <c r="F88" s="50"/>
      <c r="G88" s="103"/>
      <c r="H88" s="103"/>
      <c r="I88" s="104"/>
      <c r="J88" s="103"/>
      <c r="K88" s="103"/>
      <c r="L88" s="103">
        <f t="shared" si="13"/>
        <v>1</v>
      </c>
      <c r="M88" s="103"/>
      <c r="N88" s="103" t="s">
        <v>945</v>
      </c>
      <c r="O88" s="104">
        <f t="shared" si="10"/>
        <v>0</v>
      </c>
    </row>
    <row r="89" spans="1:15" s="105" customFormat="1" ht="15.75" x14ac:dyDescent="0.25">
      <c r="A89" s="113" t="s">
        <v>65</v>
      </c>
      <c r="B89" s="102">
        <v>44193</v>
      </c>
      <c r="C89" s="9" t="s">
        <v>851</v>
      </c>
      <c r="D89" s="30">
        <v>6</v>
      </c>
      <c r="E89" s="13">
        <v>9.5833333333333339</v>
      </c>
      <c r="F89" s="50">
        <f>D89*E89</f>
        <v>57.5</v>
      </c>
      <c r="G89" s="107">
        <v>44852</v>
      </c>
      <c r="H89" s="103">
        <f>10*12</f>
        <v>120</v>
      </c>
      <c r="I89" s="104">
        <v>7.09</v>
      </c>
      <c r="J89" s="103">
        <f>+I89*H89</f>
        <v>850.8</v>
      </c>
      <c r="K89" s="103"/>
      <c r="L89" s="103">
        <f t="shared" si="13"/>
        <v>126</v>
      </c>
      <c r="M89" s="103" t="s">
        <v>1037</v>
      </c>
      <c r="N89" s="108" t="s">
        <v>947</v>
      </c>
      <c r="O89" s="104">
        <f>+L89*I89</f>
        <v>893.34</v>
      </c>
    </row>
    <row r="90" spans="1:15" s="8" customFormat="1" ht="15.75" x14ac:dyDescent="0.25">
      <c r="A90" s="113" t="s">
        <v>66</v>
      </c>
      <c r="B90" s="102">
        <v>44547</v>
      </c>
      <c r="C90" s="9" t="s">
        <v>775</v>
      </c>
      <c r="D90" s="30">
        <v>10</v>
      </c>
      <c r="E90" s="13">
        <v>155</v>
      </c>
      <c r="F90" s="50">
        <f>D90*E90</f>
        <v>1550</v>
      </c>
      <c r="G90" s="103"/>
      <c r="H90" s="103"/>
      <c r="I90" s="104"/>
      <c r="J90" s="103"/>
      <c r="K90" s="103"/>
      <c r="L90" s="103">
        <f t="shared" si="13"/>
        <v>10</v>
      </c>
      <c r="M90" s="103"/>
      <c r="N90" s="103" t="s">
        <v>947</v>
      </c>
      <c r="O90" s="104">
        <f t="shared" si="10"/>
        <v>1550</v>
      </c>
    </row>
    <row r="91" spans="1:15" s="92" customFormat="1" x14ac:dyDescent="0.3">
      <c r="A91" s="113" t="s">
        <v>68</v>
      </c>
      <c r="B91" s="102">
        <v>44453</v>
      </c>
      <c r="C91" s="25" t="s">
        <v>603</v>
      </c>
      <c r="D91" s="14">
        <v>4</v>
      </c>
      <c r="E91" s="13">
        <v>7500</v>
      </c>
      <c r="F91" s="50">
        <f>D91*E91</f>
        <v>30000</v>
      </c>
      <c r="G91" s="103"/>
      <c r="H91" s="103"/>
      <c r="I91" s="104"/>
      <c r="J91" s="103"/>
      <c r="K91" s="103">
        <v>1</v>
      </c>
      <c r="L91" s="103">
        <f t="shared" si="13"/>
        <v>3</v>
      </c>
      <c r="M91" s="103"/>
      <c r="N91" s="103" t="s">
        <v>945</v>
      </c>
      <c r="O91" s="104">
        <f>+E91*L91</f>
        <v>22500</v>
      </c>
    </row>
    <row r="92" spans="1:15" s="92" customFormat="1" x14ac:dyDescent="0.3">
      <c r="A92" s="113" t="s">
        <v>67</v>
      </c>
      <c r="B92" s="102">
        <v>44659</v>
      </c>
      <c r="C92" s="25" t="s">
        <v>776</v>
      </c>
      <c r="D92" s="14">
        <v>108</v>
      </c>
      <c r="E92" s="13">
        <v>156.66667000000001</v>
      </c>
      <c r="F92" s="50">
        <f>D92*E92</f>
        <v>16920.000360000002</v>
      </c>
      <c r="G92" s="103"/>
      <c r="H92" s="103"/>
      <c r="I92" s="104"/>
      <c r="J92" s="103"/>
      <c r="K92" s="103">
        <f>1+1+1+2+1+1+1+1+1+1+1+1+1+1+1+1+1+1+1+1+1+1+1+1+1+1+1+1+1+1+1+1+1+1+1+1+1+1+1+1+1</f>
        <v>42</v>
      </c>
      <c r="L92" s="103">
        <f t="shared" si="13"/>
        <v>66</v>
      </c>
      <c r="M92" s="103"/>
      <c r="N92" s="103" t="s">
        <v>945</v>
      </c>
      <c r="O92" s="104">
        <f t="shared" si="10"/>
        <v>10340.00022</v>
      </c>
    </row>
    <row r="93" spans="1:15" s="8" customFormat="1" ht="15.75" x14ac:dyDescent="0.25">
      <c r="A93" s="113" t="s">
        <v>69</v>
      </c>
      <c r="B93" s="102">
        <v>44193</v>
      </c>
      <c r="C93" s="25" t="s">
        <v>844</v>
      </c>
      <c r="D93" s="14">
        <v>20</v>
      </c>
      <c r="E93" s="13">
        <v>30.5</v>
      </c>
      <c r="F93" s="50">
        <f>D93*E93</f>
        <v>610</v>
      </c>
      <c r="G93" s="103"/>
      <c r="H93" s="103"/>
      <c r="I93" s="104"/>
      <c r="J93" s="103"/>
      <c r="K93" s="103"/>
      <c r="L93" s="103">
        <f t="shared" si="13"/>
        <v>20</v>
      </c>
      <c r="M93" s="103"/>
      <c r="N93" s="103" t="s">
        <v>946</v>
      </c>
      <c r="O93" s="104">
        <f t="shared" si="10"/>
        <v>610</v>
      </c>
    </row>
    <row r="94" spans="1:15" s="8" customFormat="1" ht="15.75" x14ac:dyDescent="0.25">
      <c r="A94" s="113" t="s">
        <v>103</v>
      </c>
      <c r="B94" s="102">
        <v>44193</v>
      </c>
      <c r="C94" s="25" t="s">
        <v>789</v>
      </c>
      <c r="D94" s="14">
        <f>21+8+14</f>
        <v>43</v>
      </c>
      <c r="E94" s="13">
        <v>11.24</v>
      </c>
      <c r="F94" s="50">
        <f t="shared" ref="F94:F132" si="14">D94*E94</f>
        <v>483.32</v>
      </c>
      <c r="G94" s="103"/>
      <c r="H94" s="103"/>
      <c r="I94" s="104"/>
      <c r="J94" s="103"/>
      <c r="K94" s="103">
        <v>1</v>
      </c>
      <c r="L94" s="103">
        <f t="shared" si="13"/>
        <v>42</v>
      </c>
      <c r="M94" s="103"/>
      <c r="N94" s="103" t="s">
        <v>946</v>
      </c>
      <c r="O94" s="104">
        <f t="shared" si="10"/>
        <v>472.08</v>
      </c>
    </row>
    <row r="95" spans="1:15" s="8" customFormat="1" ht="15.75" x14ac:dyDescent="0.25">
      <c r="A95" s="113" t="s">
        <v>104</v>
      </c>
      <c r="B95" s="102">
        <v>44193</v>
      </c>
      <c r="C95" s="25" t="s">
        <v>788</v>
      </c>
      <c r="D95" s="14">
        <f>16+6+7+2</f>
        <v>31</v>
      </c>
      <c r="E95" s="13">
        <v>11.24</v>
      </c>
      <c r="F95" s="50">
        <f t="shared" si="14"/>
        <v>348.44</v>
      </c>
      <c r="G95" s="103"/>
      <c r="H95" s="103"/>
      <c r="I95" s="104"/>
      <c r="J95" s="103"/>
      <c r="K95" s="103"/>
      <c r="L95" s="103">
        <f t="shared" si="13"/>
        <v>31</v>
      </c>
      <c r="M95" s="103"/>
      <c r="N95" s="103" t="s">
        <v>946</v>
      </c>
      <c r="O95" s="104">
        <f t="shared" si="10"/>
        <v>348.44</v>
      </c>
    </row>
    <row r="96" spans="1:15" s="8" customFormat="1" ht="15.75" x14ac:dyDescent="0.25">
      <c r="A96" s="113" t="s">
        <v>142</v>
      </c>
      <c r="B96" s="102">
        <v>44193</v>
      </c>
      <c r="C96" s="25" t="s">
        <v>604</v>
      </c>
      <c r="D96" s="14">
        <v>28</v>
      </c>
      <c r="E96" s="13">
        <v>45</v>
      </c>
      <c r="F96" s="50">
        <f t="shared" si="14"/>
        <v>1260</v>
      </c>
      <c r="G96" s="103"/>
      <c r="H96" s="103"/>
      <c r="I96" s="104"/>
      <c r="J96" s="103"/>
      <c r="K96" s="103"/>
      <c r="L96" s="103">
        <f t="shared" si="13"/>
        <v>28</v>
      </c>
      <c r="M96" s="103"/>
      <c r="N96" s="103" t="s">
        <v>946</v>
      </c>
      <c r="O96" s="104">
        <f t="shared" si="10"/>
        <v>1260</v>
      </c>
    </row>
    <row r="97" spans="1:15" s="8" customFormat="1" ht="15.75" x14ac:dyDescent="0.25">
      <c r="A97" s="113" t="s">
        <v>70</v>
      </c>
      <c r="B97" s="102">
        <v>44193</v>
      </c>
      <c r="C97" s="25" t="s">
        <v>605</v>
      </c>
      <c r="D97" s="14">
        <v>4</v>
      </c>
      <c r="E97" s="13">
        <v>40</v>
      </c>
      <c r="F97" s="50">
        <f t="shared" si="14"/>
        <v>160</v>
      </c>
      <c r="G97" s="103"/>
      <c r="H97" s="103"/>
      <c r="I97" s="104"/>
      <c r="J97" s="103"/>
      <c r="K97" s="103"/>
      <c r="L97" s="103">
        <f>+D97+H97-K97</f>
        <v>4</v>
      </c>
      <c r="M97" s="103"/>
      <c r="N97" s="103" t="s">
        <v>946</v>
      </c>
      <c r="O97" s="104">
        <f t="shared" si="10"/>
        <v>160</v>
      </c>
    </row>
    <row r="98" spans="1:15" s="8" customFormat="1" ht="15.75" x14ac:dyDescent="0.25">
      <c r="A98" s="113" t="s">
        <v>71</v>
      </c>
      <c r="B98" s="102">
        <v>44193</v>
      </c>
      <c r="C98" s="25" t="s">
        <v>606</v>
      </c>
      <c r="D98" s="14">
        <v>39</v>
      </c>
      <c r="E98" s="13">
        <v>45</v>
      </c>
      <c r="F98" s="50">
        <f t="shared" si="14"/>
        <v>1755</v>
      </c>
      <c r="G98" s="103"/>
      <c r="H98" s="103"/>
      <c r="I98" s="104"/>
      <c r="J98" s="103"/>
      <c r="K98" s="103"/>
      <c r="L98" s="103">
        <f t="shared" ref="L98:L109" si="15">+D98+H98-K98</f>
        <v>39</v>
      </c>
      <c r="M98" s="103"/>
      <c r="N98" s="103" t="s">
        <v>946</v>
      </c>
      <c r="O98" s="104">
        <f t="shared" si="10"/>
        <v>1755</v>
      </c>
    </row>
    <row r="99" spans="1:15" s="8" customFormat="1" ht="15.75" x14ac:dyDescent="0.25">
      <c r="A99" s="113" t="s">
        <v>72</v>
      </c>
      <c r="B99" s="102">
        <v>44193</v>
      </c>
      <c r="C99" s="25" t="s">
        <v>846</v>
      </c>
      <c r="D99" s="14">
        <v>1</v>
      </c>
      <c r="E99" s="13">
        <v>47</v>
      </c>
      <c r="F99" s="50">
        <f t="shared" si="14"/>
        <v>47</v>
      </c>
      <c r="G99" s="103"/>
      <c r="H99" s="103"/>
      <c r="I99" s="104"/>
      <c r="J99" s="103"/>
      <c r="K99" s="103"/>
      <c r="L99" s="103">
        <f t="shared" si="15"/>
        <v>1</v>
      </c>
      <c r="M99" s="103"/>
      <c r="N99" s="103" t="s">
        <v>946</v>
      </c>
      <c r="O99" s="104">
        <f t="shared" si="10"/>
        <v>47</v>
      </c>
    </row>
    <row r="100" spans="1:15" s="8" customFormat="1" ht="15.75" x14ac:dyDescent="0.25">
      <c r="A100" s="113" t="s">
        <v>73</v>
      </c>
      <c r="B100" s="102">
        <v>44193</v>
      </c>
      <c r="C100" s="25" t="s">
        <v>607</v>
      </c>
      <c r="D100" s="14">
        <v>1</v>
      </c>
      <c r="E100" s="13">
        <v>40</v>
      </c>
      <c r="F100" s="50">
        <f t="shared" si="14"/>
        <v>40</v>
      </c>
      <c r="G100" s="103"/>
      <c r="H100" s="103"/>
      <c r="I100" s="104"/>
      <c r="J100" s="103"/>
      <c r="K100" s="103"/>
      <c r="L100" s="103">
        <f t="shared" si="15"/>
        <v>1</v>
      </c>
      <c r="M100" s="103"/>
      <c r="N100" s="103" t="s">
        <v>946</v>
      </c>
      <c r="O100" s="104">
        <f t="shared" si="10"/>
        <v>40</v>
      </c>
    </row>
    <row r="101" spans="1:15" s="8" customFormat="1" ht="15.75" x14ac:dyDescent="0.25">
      <c r="A101" s="113" t="s">
        <v>74</v>
      </c>
      <c r="B101" s="102">
        <v>44193</v>
      </c>
      <c r="C101" s="25" t="s">
        <v>608</v>
      </c>
      <c r="D101" s="32">
        <v>2</v>
      </c>
      <c r="E101" s="13">
        <v>12.21</v>
      </c>
      <c r="F101" s="50">
        <f t="shared" si="14"/>
        <v>24.42</v>
      </c>
      <c r="G101" s="103"/>
      <c r="H101" s="103"/>
      <c r="I101" s="104"/>
      <c r="J101" s="103"/>
      <c r="K101" s="103"/>
      <c r="L101" s="103">
        <f t="shared" si="15"/>
        <v>2</v>
      </c>
      <c r="M101" s="103"/>
      <c r="N101" s="103" t="s">
        <v>946</v>
      </c>
      <c r="O101" s="104">
        <f t="shared" si="10"/>
        <v>24.42</v>
      </c>
    </row>
    <row r="102" spans="1:15" s="8" customFormat="1" ht="15.75" x14ac:dyDescent="0.25">
      <c r="A102" s="113" t="s">
        <v>101</v>
      </c>
      <c r="B102" s="102">
        <v>44193</v>
      </c>
      <c r="C102" s="25" t="s">
        <v>609</v>
      </c>
      <c r="D102" s="32">
        <v>0</v>
      </c>
      <c r="E102" s="13">
        <v>4</v>
      </c>
      <c r="F102" s="50">
        <f t="shared" si="14"/>
        <v>0</v>
      </c>
      <c r="G102" s="103"/>
      <c r="H102" s="103"/>
      <c r="I102" s="104"/>
      <c r="J102" s="103"/>
      <c r="K102" s="103"/>
      <c r="L102" s="103">
        <f t="shared" si="15"/>
        <v>0</v>
      </c>
      <c r="M102" s="103"/>
      <c r="N102" s="103" t="s">
        <v>946</v>
      </c>
      <c r="O102" s="104">
        <f>+E102*L102</f>
        <v>0</v>
      </c>
    </row>
    <row r="103" spans="1:15" s="8" customFormat="1" ht="15.75" x14ac:dyDescent="0.25">
      <c r="A103" s="113" t="s">
        <v>75</v>
      </c>
      <c r="B103" s="102">
        <v>44193</v>
      </c>
      <c r="C103" s="25" t="s">
        <v>610</v>
      </c>
      <c r="D103" s="32">
        <f>13+7+29</f>
        <v>49</v>
      </c>
      <c r="E103" s="13">
        <v>5.05</v>
      </c>
      <c r="F103" s="50">
        <f t="shared" si="14"/>
        <v>247.45</v>
      </c>
      <c r="G103" s="103"/>
      <c r="H103" s="103"/>
      <c r="I103" s="104"/>
      <c r="J103" s="103"/>
      <c r="K103" s="103"/>
      <c r="L103" s="103">
        <f t="shared" si="15"/>
        <v>49</v>
      </c>
      <c r="M103" s="103"/>
      <c r="N103" s="103" t="s">
        <v>946</v>
      </c>
      <c r="O103" s="104">
        <f>+E103*L103</f>
        <v>247.45</v>
      </c>
    </row>
    <row r="104" spans="1:15" s="8" customFormat="1" ht="15.75" x14ac:dyDescent="0.25">
      <c r="A104" s="113" t="s">
        <v>102</v>
      </c>
      <c r="B104" s="102">
        <v>44193</v>
      </c>
      <c r="C104" s="25" t="s">
        <v>611</v>
      </c>
      <c r="D104" s="32">
        <v>0</v>
      </c>
      <c r="E104" s="13">
        <v>42.95</v>
      </c>
      <c r="F104" s="50">
        <f t="shared" si="14"/>
        <v>0</v>
      </c>
      <c r="G104" s="103"/>
      <c r="H104" s="103"/>
      <c r="I104" s="104"/>
      <c r="J104" s="103"/>
      <c r="K104" s="103"/>
      <c r="L104" s="103">
        <f t="shared" si="15"/>
        <v>0</v>
      </c>
      <c r="M104" s="103"/>
      <c r="N104" s="103" t="s">
        <v>946</v>
      </c>
      <c r="O104" s="104">
        <f t="shared" ref="O104:O110" si="16">+E104*L104</f>
        <v>0</v>
      </c>
    </row>
    <row r="105" spans="1:15" s="8" customFormat="1" ht="15.75" x14ac:dyDescent="0.25">
      <c r="A105" s="113" t="s">
        <v>143</v>
      </c>
      <c r="B105" s="102">
        <v>44193</v>
      </c>
      <c r="C105" s="25" t="s">
        <v>612</v>
      </c>
      <c r="D105" s="30">
        <v>11</v>
      </c>
      <c r="E105" s="13">
        <v>19.95</v>
      </c>
      <c r="F105" s="50">
        <f t="shared" si="14"/>
        <v>219.45</v>
      </c>
      <c r="G105" s="103"/>
      <c r="H105" s="103"/>
      <c r="I105" s="104"/>
      <c r="J105" s="103"/>
      <c r="K105" s="103"/>
      <c r="L105" s="103">
        <f t="shared" si="15"/>
        <v>11</v>
      </c>
      <c r="M105" s="103"/>
      <c r="N105" s="103" t="s">
        <v>946</v>
      </c>
      <c r="O105" s="104">
        <f t="shared" si="16"/>
        <v>219.45</v>
      </c>
    </row>
    <row r="106" spans="1:15" s="8" customFormat="1" ht="15.75" x14ac:dyDescent="0.25">
      <c r="A106" s="113" t="s">
        <v>334</v>
      </c>
      <c r="B106" s="102">
        <v>44193</v>
      </c>
      <c r="C106" s="25" t="s">
        <v>613</v>
      </c>
      <c r="D106" s="30">
        <f>6+7</f>
        <v>13</v>
      </c>
      <c r="E106" s="13">
        <v>5.78</v>
      </c>
      <c r="F106" s="50">
        <f t="shared" si="14"/>
        <v>75.14</v>
      </c>
      <c r="G106" s="103"/>
      <c r="H106" s="103"/>
      <c r="I106" s="104"/>
      <c r="J106" s="103"/>
      <c r="K106" s="103"/>
      <c r="L106" s="103">
        <f t="shared" si="15"/>
        <v>13</v>
      </c>
      <c r="M106" s="103"/>
      <c r="N106" s="103" t="s">
        <v>946</v>
      </c>
      <c r="O106" s="104">
        <f t="shared" si="16"/>
        <v>75.14</v>
      </c>
    </row>
    <row r="107" spans="1:15" s="8" customFormat="1" ht="15.75" x14ac:dyDescent="0.25">
      <c r="A107" s="113" t="s">
        <v>335</v>
      </c>
      <c r="B107" s="102">
        <v>44193</v>
      </c>
      <c r="C107" s="25" t="s">
        <v>849</v>
      </c>
      <c r="D107" s="30">
        <v>1</v>
      </c>
      <c r="E107" s="13"/>
      <c r="F107" s="50">
        <f t="shared" si="14"/>
        <v>0</v>
      </c>
      <c r="G107" s="103"/>
      <c r="H107" s="103"/>
      <c r="I107" s="104"/>
      <c r="J107" s="103"/>
      <c r="K107" s="103"/>
      <c r="L107" s="103">
        <f t="shared" si="15"/>
        <v>1</v>
      </c>
      <c r="M107" s="103"/>
      <c r="N107" s="103" t="s">
        <v>946</v>
      </c>
      <c r="O107" s="104">
        <f t="shared" si="16"/>
        <v>0</v>
      </c>
    </row>
    <row r="108" spans="1:15" s="8" customFormat="1" ht="15.75" x14ac:dyDescent="0.25">
      <c r="A108" s="113" t="s">
        <v>336</v>
      </c>
      <c r="B108" s="102">
        <v>44193</v>
      </c>
      <c r="C108" s="26" t="s">
        <v>821</v>
      </c>
      <c r="D108" s="30">
        <v>9</v>
      </c>
      <c r="E108" s="13">
        <v>77.540000000000006</v>
      </c>
      <c r="F108" s="50">
        <f t="shared" si="14"/>
        <v>697.86</v>
      </c>
      <c r="G108" s="103"/>
      <c r="H108" s="103"/>
      <c r="I108" s="104"/>
      <c r="J108" s="103"/>
      <c r="K108" s="103"/>
      <c r="L108" s="103">
        <f t="shared" si="15"/>
        <v>9</v>
      </c>
      <c r="M108" s="103"/>
      <c r="N108" s="103" t="s">
        <v>946</v>
      </c>
      <c r="O108" s="104">
        <f t="shared" si="16"/>
        <v>697.86</v>
      </c>
    </row>
    <row r="109" spans="1:15" s="8" customFormat="1" ht="15.75" x14ac:dyDescent="0.25">
      <c r="A109" s="113" t="s">
        <v>337</v>
      </c>
      <c r="B109" s="102">
        <v>44193</v>
      </c>
      <c r="C109" s="26" t="s">
        <v>820</v>
      </c>
      <c r="D109" s="30">
        <v>21</v>
      </c>
      <c r="E109" s="13">
        <v>719.2</v>
      </c>
      <c r="F109" s="50">
        <f t="shared" si="14"/>
        <v>15103.2</v>
      </c>
      <c r="G109" s="103"/>
      <c r="H109" s="103"/>
      <c r="I109" s="104"/>
      <c r="J109" s="103"/>
      <c r="K109" s="103"/>
      <c r="L109" s="103">
        <f t="shared" si="15"/>
        <v>21</v>
      </c>
      <c r="M109" s="103"/>
      <c r="N109" s="103" t="s">
        <v>946</v>
      </c>
      <c r="O109" s="104">
        <f t="shared" si="16"/>
        <v>15103.2</v>
      </c>
    </row>
    <row r="110" spans="1:15" s="8" customFormat="1" ht="15.75" x14ac:dyDescent="0.25">
      <c r="A110" s="113" t="s">
        <v>338</v>
      </c>
      <c r="B110" s="102">
        <v>44193</v>
      </c>
      <c r="C110" s="26" t="s">
        <v>823</v>
      </c>
      <c r="D110" s="30">
        <v>3</v>
      </c>
      <c r="E110" s="13">
        <v>51</v>
      </c>
      <c r="F110" s="50">
        <f t="shared" si="14"/>
        <v>153</v>
      </c>
      <c r="G110" s="103"/>
      <c r="H110" s="103"/>
      <c r="I110" s="104"/>
      <c r="J110" s="103"/>
      <c r="K110" s="103"/>
      <c r="L110" s="103">
        <f>+D110+H110-K110</f>
        <v>3</v>
      </c>
      <c r="M110" s="103"/>
      <c r="N110" s="103" t="s">
        <v>946</v>
      </c>
      <c r="O110" s="104">
        <f t="shared" si="16"/>
        <v>153</v>
      </c>
    </row>
    <row r="111" spans="1:15" s="8" customFormat="1" ht="15.75" x14ac:dyDescent="0.25">
      <c r="A111" s="113" t="s">
        <v>339</v>
      </c>
      <c r="B111" s="102">
        <v>44193</v>
      </c>
      <c r="C111" s="26" t="s">
        <v>822</v>
      </c>
      <c r="D111" s="30">
        <v>12</v>
      </c>
      <c r="E111" s="13">
        <v>66.11</v>
      </c>
      <c r="F111" s="50">
        <f t="shared" si="14"/>
        <v>793.31999999999994</v>
      </c>
      <c r="G111" s="103"/>
      <c r="H111" s="103"/>
      <c r="I111" s="104"/>
      <c r="J111" s="103"/>
      <c r="K111" s="103"/>
      <c r="L111" s="103">
        <f t="shared" ref="L111:L175" si="17">+D111+H111-K111</f>
        <v>12</v>
      </c>
      <c r="M111" s="103"/>
      <c r="N111" s="103" t="s">
        <v>946</v>
      </c>
      <c r="O111" s="104">
        <f>+E111*L111</f>
        <v>793.31999999999994</v>
      </c>
    </row>
    <row r="112" spans="1:15" s="8" customFormat="1" ht="15.75" x14ac:dyDescent="0.25">
      <c r="A112" s="113" t="s">
        <v>340</v>
      </c>
      <c r="B112" s="102">
        <v>44193</v>
      </c>
      <c r="C112" s="26" t="s">
        <v>802</v>
      </c>
      <c r="D112" s="30">
        <v>2</v>
      </c>
      <c r="E112" s="13">
        <v>70</v>
      </c>
      <c r="F112" s="50">
        <f t="shared" si="14"/>
        <v>140</v>
      </c>
      <c r="G112" s="103"/>
      <c r="H112" s="103"/>
      <c r="I112" s="104"/>
      <c r="J112" s="103"/>
      <c r="K112" s="103"/>
      <c r="L112" s="103">
        <f t="shared" si="17"/>
        <v>2</v>
      </c>
      <c r="M112" s="103"/>
      <c r="N112" s="103" t="s">
        <v>946</v>
      </c>
      <c r="O112" s="104">
        <f t="shared" ref="O112:O120" si="18">+E112*L112</f>
        <v>140</v>
      </c>
    </row>
    <row r="113" spans="1:15" s="8" customFormat="1" ht="15.75" x14ac:dyDescent="0.25">
      <c r="A113" s="113" t="s">
        <v>341</v>
      </c>
      <c r="B113" s="102">
        <v>44193</v>
      </c>
      <c r="C113" s="26" t="s">
        <v>804</v>
      </c>
      <c r="D113" s="30">
        <v>6</v>
      </c>
      <c r="E113" s="13">
        <v>450</v>
      </c>
      <c r="F113" s="50">
        <f t="shared" si="14"/>
        <v>2700</v>
      </c>
      <c r="G113" s="103"/>
      <c r="H113" s="103"/>
      <c r="I113" s="104"/>
      <c r="J113" s="103"/>
      <c r="K113" s="103">
        <v>1</v>
      </c>
      <c r="L113" s="103">
        <f t="shared" si="17"/>
        <v>5</v>
      </c>
      <c r="M113" s="103"/>
      <c r="N113" s="103" t="s">
        <v>946</v>
      </c>
      <c r="O113" s="104">
        <f>+E113*L113</f>
        <v>2250</v>
      </c>
    </row>
    <row r="114" spans="1:15" s="8" customFormat="1" ht="15.75" x14ac:dyDescent="0.25">
      <c r="A114" s="113" t="s">
        <v>342</v>
      </c>
      <c r="B114" s="102">
        <v>44193</v>
      </c>
      <c r="C114" s="26" t="s">
        <v>801</v>
      </c>
      <c r="D114" s="30">
        <v>2</v>
      </c>
      <c r="E114" s="13">
        <v>719.2</v>
      </c>
      <c r="F114" s="50">
        <f t="shared" si="14"/>
        <v>1438.4</v>
      </c>
      <c r="G114" s="103"/>
      <c r="H114" s="103"/>
      <c r="I114" s="104"/>
      <c r="J114" s="103"/>
      <c r="K114" s="103">
        <v>2</v>
      </c>
      <c r="L114" s="103">
        <f t="shared" si="17"/>
        <v>0</v>
      </c>
      <c r="M114" s="103"/>
      <c r="N114" s="103" t="s">
        <v>946</v>
      </c>
      <c r="O114" s="104">
        <f t="shared" si="18"/>
        <v>0</v>
      </c>
    </row>
    <row r="115" spans="1:15" s="8" customFormat="1" ht="15.75" x14ac:dyDescent="0.25">
      <c r="A115" s="113" t="s">
        <v>343</v>
      </c>
      <c r="B115" s="102">
        <v>44193</v>
      </c>
      <c r="C115" s="25" t="s">
        <v>616</v>
      </c>
      <c r="D115" s="32">
        <v>0</v>
      </c>
      <c r="E115" s="13">
        <v>2950</v>
      </c>
      <c r="F115" s="50">
        <f t="shared" si="14"/>
        <v>0</v>
      </c>
      <c r="G115" s="103"/>
      <c r="H115" s="103"/>
      <c r="I115" s="104"/>
      <c r="J115" s="103"/>
      <c r="K115" s="103"/>
      <c r="L115" s="103">
        <f t="shared" si="17"/>
        <v>0</v>
      </c>
      <c r="M115" s="103"/>
      <c r="N115" s="103" t="s">
        <v>946</v>
      </c>
      <c r="O115" s="104">
        <f t="shared" si="18"/>
        <v>0</v>
      </c>
    </row>
    <row r="116" spans="1:15" s="8" customFormat="1" ht="15.75" x14ac:dyDescent="0.25">
      <c r="A116" s="113" t="s">
        <v>344</v>
      </c>
      <c r="B116" s="102">
        <v>44193</v>
      </c>
      <c r="C116" s="25" t="s">
        <v>617</v>
      </c>
      <c r="D116" s="32">
        <v>5</v>
      </c>
      <c r="E116" s="13">
        <v>29</v>
      </c>
      <c r="F116" s="50">
        <f t="shared" si="14"/>
        <v>145</v>
      </c>
      <c r="G116" s="103"/>
      <c r="H116" s="103"/>
      <c r="I116" s="104"/>
      <c r="J116" s="103"/>
      <c r="K116" s="103">
        <v>4</v>
      </c>
      <c r="L116" s="103">
        <f t="shared" si="17"/>
        <v>1</v>
      </c>
      <c r="M116" s="103"/>
      <c r="N116" s="103" t="s">
        <v>946</v>
      </c>
      <c r="O116" s="104">
        <f t="shared" si="18"/>
        <v>29</v>
      </c>
    </row>
    <row r="117" spans="1:15" s="8" customFormat="1" ht="15.75" x14ac:dyDescent="0.25">
      <c r="A117" s="113" t="s">
        <v>345</v>
      </c>
      <c r="B117" s="106" t="s">
        <v>106</v>
      </c>
      <c r="C117" s="9" t="s">
        <v>618</v>
      </c>
      <c r="D117" s="30">
        <v>12</v>
      </c>
      <c r="E117" s="51">
        <v>35</v>
      </c>
      <c r="F117" s="50">
        <f t="shared" si="14"/>
        <v>420</v>
      </c>
      <c r="G117" s="103"/>
      <c r="H117" s="103"/>
      <c r="I117" s="104"/>
      <c r="J117" s="103"/>
      <c r="K117" s="103"/>
      <c r="L117" s="103">
        <f t="shared" si="17"/>
        <v>12</v>
      </c>
      <c r="M117" s="103"/>
      <c r="N117" s="103" t="s">
        <v>947</v>
      </c>
      <c r="O117" s="104">
        <f t="shared" si="18"/>
        <v>420</v>
      </c>
    </row>
    <row r="118" spans="1:15" s="92" customFormat="1" x14ac:dyDescent="0.3">
      <c r="A118" s="113" t="s">
        <v>346</v>
      </c>
      <c r="B118" s="102">
        <v>44193</v>
      </c>
      <c r="C118" s="26" t="s">
        <v>619</v>
      </c>
      <c r="D118" s="32">
        <v>0</v>
      </c>
      <c r="E118" s="13">
        <v>155</v>
      </c>
      <c r="F118" s="50">
        <f t="shared" si="14"/>
        <v>0</v>
      </c>
      <c r="G118" s="103"/>
      <c r="H118" s="103"/>
      <c r="I118" s="104"/>
      <c r="J118" s="103"/>
      <c r="K118" s="103">
        <f>2+1+1+1+1+1+1+1</f>
        <v>9</v>
      </c>
      <c r="L118" s="103">
        <f t="shared" si="17"/>
        <v>-9</v>
      </c>
      <c r="M118" s="103"/>
      <c r="N118" s="103" t="s">
        <v>945</v>
      </c>
      <c r="O118" s="104">
        <f t="shared" si="18"/>
        <v>-1395</v>
      </c>
    </row>
    <row r="119" spans="1:15" s="92" customFormat="1" x14ac:dyDescent="0.3">
      <c r="A119" s="113" t="s">
        <v>347</v>
      </c>
      <c r="B119" s="102">
        <v>44777</v>
      </c>
      <c r="C119" s="26" t="s">
        <v>620</v>
      </c>
      <c r="D119" s="32">
        <v>90</v>
      </c>
      <c r="E119" s="13">
        <v>71.95</v>
      </c>
      <c r="F119" s="50">
        <f t="shared" si="14"/>
        <v>6475.5</v>
      </c>
      <c r="G119" s="103"/>
      <c r="H119" s="103"/>
      <c r="I119" s="104"/>
      <c r="J119" s="103"/>
      <c r="K119" s="103">
        <f>1+1+1+1+1+1+1+1+1+1+1+1+1+1+1+1+2+1+1+1+1+1+1+1+1+1+1+1+1+1+1+1+1+1+1+2+1+1</f>
        <v>40</v>
      </c>
      <c r="L119" s="103">
        <f t="shared" si="17"/>
        <v>50</v>
      </c>
      <c r="M119" s="103"/>
      <c r="N119" s="103" t="s">
        <v>945</v>
      </c>
      <c r="O119" s="104">
        <f t="shared" si="18"/>
        <v>3597.5</v>
      </c>
    </row>
    <row r="120" spans="1:15" s="8" customFormat="1" ht="15.75" x14ac:dyDescent="0.25">
      <c r="A120" s="113" t="s">
        <v>348</v>
      </c>
      <c r="B120" s="102">
        <v>44193</v>
      </c>
      <c r="C120" s="26" t="s">
        <v>626</v>
      </c>
      <c r="D120" s="32">
        <v>0</v>
      </c>
      <c r="E120" s="13">
        <v>190.68</v>
      </c>
      <c r="F120" s="50">
        <f t="shared" si="14"/>
        <v>0</v>
      </c>
      <c r="G120" s="103"/>
      <c r="H120" s="103"/>
      <c r="I120" s="104"/>
      <c r="J120" s="103"/>
      <c r="K120" s="103"/>
      <c r="L120" s="103">
        <f t="shared" si="17"/>
        <v>0</v>
      </c>
      <c r="M120" s="103"/>
      <c r="N120" s="103" t="s">
        <v>946</v>
      </c>
      <c r="O120" s="104">
        <f t="shared" si="18"/>
        <v>0</v>
      </c>
    </row>
    <row r="121" spans="1:15" s="92" customFormat="1" x14ac:dyDescent="0.3">
      <c r="A121" s="113" t="s">
        <v>349</v>
      </c>
      <c r="B121" s="102">
        <v>44678</v>
      </c>
      <c r="C121" s="26" t="s">
        <v>621</v>
      </c>
      <c r="D121" s="32">
        <v>1</v>
      </c>
      <c r="E121" s="13">
        <v>3800</v>
      </c>
      <c r="F121" s="50">
        <f t="shared" si="14"/>
        <v>3800</v>
      </c>
      <c r="G121" s="124">
        <v>44851</v>
      </c>
      <c r="H121" s="125">
        <v>20</v>
      </c>
      <c r="I121" s="126">
        <v>1187.08</v>
      </c>
      <c r="J121" s="127">
        <f>+H121*I121</f>
        <v>23741.599999999999</v>
      </c>
      <c r="K121" s="103">
        <v>1</v>
      </c>
      <c r="L121" s="103">
        <f t="shared" si="17"/>
        <v>20</v>
      </c>
      <c r="M121" s="103"/>
      <c r="N121" s="103" t="s">
        <v>945</v>
      </c>
      <c r="O121" s="104">
        <f>+I121*L121</f>
        <v>23741.599999999999</v>
      </c>
    </row>
    <row r="122" spans="1:15" s="92" customFormat="1" x14ac:dyDescent="0.3">
      <c r="A122" s="113" t="s">
        <v>350</v>
      </c>
      <c r="B122" s="102">
        <v>44193</v>
      </c>
      <c r="C122" s="26" t="s">
        <v>622</v>
      </c>
      <c r="D122" s="32">
        <v>0</v>
      </c>
      <c r="E122" s="13">
        <v>1400</v>
      </c>
      <c r="F122" s="50">
        <f t="shared" si="14"/>
        <v>0</v>
      </c>
      <c r="G122" s="103"/>
      <c r="H122" s="103"/>
      <c r="I122" s="104"/>
      <c r="J122" s="103"/>
      <c r="K122" s="103"/>
      <c r="L122" s="103">
        <f t="shared" si="17"/>
        <v>0</v>
      </c>
      <c r="M122" s="103"/>
      <c r="N122" s="103" t="s">
        <v>945</v>
      </c>
      <c r="O122" s="104">
        <f>+E122*L122</f>
        <v>0</v>
      </c>
    </row>
    <row r="123" spans="1:15" s="92" customFormat="1" x14ac:dyDescent="0.3">
      <c r="A123" s="113" t="s">
        <v>351</v>
      </c>
      <c r="B123" s="102">
        <v>44456</v>
      </c>
      <c r="C123" s="26" t="s">
        <v>623</v>
      </c>
      <c r="D123" s="32">
        <v>13</v>
      </c>
      <c r="E123" s="13">
        <v>1099</v>
      </c>
      <c r="F123" s="50">
        <f t="shared" si="14"/>
        <v>14287</v>
      </c>
      <c r="G123" s="103"/>
      <c r="H123" s="103"/>
      <c r="I123" s="104"/>
      <c r="J123" s="103"/>
      <c r="K123" s="103">
        <v>1</v>
      </c>
      <c r="L123" s="103">
        <f t="shared" si="17"/>
        <v>12</v>
      </c>
      <c r="M123" s="103"/>
      <c r="N123" s="103" t="s">
        <v>945</v>
      </c>
      <c r="O123" s="104">
        <f t="shared" ref="O123:O138" si="19">+E123*L123</f>
        <v>13188</v>
      </c>
    </row>
    <row r="124" spans="1:15" s="92" customFormat="1" x14ac:dyDescent="0.3">
      <c r="A124" s="113" t="s">
        <v>352</v>
      </c>
      <c r="B124" s="102">
        <v>44456</v>
      </c>
      <c r="C124" s="26" t="s">
        <v>767</v>
      </c>
      <c r="D124" s="32">
        <v>18</v>
      </c>
      <c r="E124" s="13">
        <v>4000</v>
      </c>
      <c r="F124" s="50">
        <f t="shared" si="14"/>
        <v>72000</v>
      </c>
      <c r="G124" s="103"/>
      <c r="H124" s="103"/>
      <c r="I124" s="104"/>
      <c r="J124" s="103"/>
      <c r="K124" s="103">
        <f>4+4+3</f>
        <v>11</v>
      </c>
      <c r="L124" s="103">
        <f t="shared" si="17"/>
        <v>7</v>
      </c>
      <c r="M124" s="103"/>
      <c r="N124" s="103" t="s">
        <v>945</v>
      </c>
      <c r="O124" s="104">
        <f t="shared" si="19"/>
        <v>28000</v>
      </c>
    </row>
    <row r="125" spans="1:15" s="92" customFormat="1" x14ac:dyDescent="0.3">
      <c r="A125" s="113" t="s">
        <v>353</v>
      </c>
      <c r="B125" s="102">
        <v>44193</v>
      </c>
      <c r="C125" s="26" t="s">
        <v>625</v>
      </c>
      <c r="D125" s="32">
        <v>5</v>
      </c>
      <c r="E125" s="13">
        <v>1400</v>
      </c>
      <c r="F125" s="50">
        <f t="shared" si="14"/>
        <v>7000</v>
      </c>
      <c r="G125" s="103"/>
      <c r="H125" s="103"/>
      <c r="I125" s="104"/>
      <c r="J125" s="103"/>
      <c r="K125" s="103"/>
      <c r="L125" s="103">
        <f t="shared" si="17"/>
        <v>5</v>
      </c>
      <c r="M125" s="103"/>
      <c r="N125" s="103" t="s">
        <v>945</v>
      </c>
      <c r="O125" s="104">
        <f t="shared" si="19"/>
        <v>7000</v>
      </c>
    </row>
    <row r="126" spans="1:15" s="8" customFormat="1" ht="15.75" x14ac:dyDescent="0.25">
      <c r="A126" s="113" t="s">
        <v>354</v>
      </c>
      <c r="B126" s="106" t="s">
        <v>106</v>
      </c>
      <c r="C126" s="28" t="s">
        <v>627</v>
      </c>
      <c r="D126" s="49">
        <v>100</v>
      </c>
      <c r="E126" s="52">
        <v>28</v>
      </c>
      <c r="F126" s="50">
        <f t="shared" si="14"/>
        <v>2800</v>
      </c>
      <c r="G126" s="103"/>
      <c r="H126" s="103"/>
      <c r="I126" s="104"/>
      <c r="J126" s="103"/>
      <c r="K126" s="103"/>
      <c r="L126" s="103">
        <f t="shared" si="17"/>
        <v>100</v>
      </c>
      <c r="M126" s="103"/>
      <c r="N126" s="103" t="s">
        <v>947</v>
      </c>
      <c r="O126" s="104">
        <f t="shared" si="19"/>
        <v>2800</v>
      </c>
    </row>
    <row r="127" spans="1:15" s="8" customFormat="1" ht="15.75" x14ac:dyDescent="0.25">
      <c r="A127" s="113" t="s">
        <v>355</v>
      </c>
      <c r="B127" s="106" t="s">
        <v>114</v>
      </c>
      <c r="C127" s="26" t="s">
        <v>80</v>
      </c>
      <c r="D127" s="32">
        <v>0</v>
      </c>
      <c r="E127" s="51">
        <v>85</v>
      </c>
      <c r="F127" s="50">
        <f t="shared" si="14"/>
        <v>0</v>
      </c>
      <c r="G127" s="103"/>
      <c r="H127" s="103"/>
      <c r="I127" s="104"/>
      <c r="J127" s="103"/>
      <c r="K127" s="103"/>
      <c r="L127" s="103">
        <f t="shared" si="17"/>
        <v>0</v>
      </c>
      <c r="M127" s="103"/>
      <c r="N127" s="103" t="s">
        <v>946</v>
      </c>
      <c r="O127" s="104">
        <f t="shared" si="19"/>
        <v>0</v>
      </c>
    </row>
    <row r="128" spans="1:15" s="8" customFormat="1" ht="15.75" x14ac:dyDescent="0.25">
      <c r="A128" s="113" t="s">
        <v>356</v>
      </c>
      <c r="B128" s="102">
        <v>44193</v>
      </c>
      <c r="C128" s="9" t="s">
        <v>628</v>
      </c>
      <c r="D128" s="58">
        <v>1</v>
      </c>
      <c r="E128" s="13">
        <v>550</v>
      </c>
      <c r="F128" s="50">
        <f t="shared" si="14"/>
        <v>550</v>
      </c>
      <c r="G128" s="103"/>
      <c r="H128" s="103"/>
      <c r="I128" s="104"/>
      <c r="J128" s="103"/>
      <c r="K128" s="103"/>
      <c r="L128" s="103">
        <f t="shared" si="17"/>
        <v>1</v>
      </c>
      <c r="M128" s="103"/>
      <c r="N128" s="103" t="s">
        <v>946</v>
      </c>
      <c r="O128" s="104">
        <f t="shared" si="19"/>
        <v>550</v>
      </c>
    </row>
    <row r="129" spans="1:15" s="92" customFormat="1" x14ac:dyDescent="0.3">
      <c r="A129" s="113" t="s">
        <v>357</v>
      </c>
      <c r="B129" s="102">
        <v>44193</v>
      </c>
      <c r="C129" s="9" t="s">
        <v>629</v>
      </c>
      <c r="D129" s="48">
        <v>0</v>
      </c>
      <c r="E129" s="13">
        <v>60</v>
      </c>
      <c r="F129" s="50">
        <f t="shared" si="14"/>
        <v>0</v>
      </c>
      <c r="G129" s="103"/>
      <c r="H129" s="103"/>
      <c r="I129" s="104"/>
      <c r="J129" s="103"/>
      <c r="K129" s="103"/>
      <c r="L129" s="103">
        <f t="shared" si="17"/>
        <v>0</v>
      </c>
      <c r="M129" s="103"/>
      <c r="N129" s="103" t="s">
        <v>945</v>
      </c>
      <c r="O129" s="104">
        <f t="shared" si="19"/>
        <v>0</v>
      </c>
    </row>
    <row r="130" spans="1:15" s="92" customFormat="1" x14ac:dyDescent="0.3">
      <c r="A130" s="113" t="s">
        <v>358</v>
      </c>
      <c r="B130" s="102">
        <v>44656</v>
      </c>
      <c r="C130" s="25" t="s">
        <v>631</v>
      </c>
      <c r="D130" s="32">
        <v>40</v>
      </c>
      <c r="E130" s="13">
        <v>115.53</v>
      </c>
      <c r="F130" s="50">
        <f t="shared" si="14"/>
        <v>4621.2</v>
      </c>
      <c r="G130" s="103"/>
      <c r="H130" s="103"/>
      <c r="I130" s="104"/>
      <c r="J130" s="103"/>
      <c r="K130" s="103">
        <f>2+1+2+1+1+1+1+1+1</f>
        <v>11</v>
      </c>
      <c r="L130" s="103">
        <f t="shared" si="17"/>
        <v>29</v>
      </c>
      <c r="M130" s="103"/>
      <c r="N130" s="103" t="s">
        <v>945</v>
      </c>
      <c r="O130" s="104">
        <f t="shared" si="19"/>
        <v>3350.37</v>
      </c>
    </row>
    <row r="131" spans="1:15" s="92" customFormat="1" x14ac:dyDescent="0.3">
      <c r="A131" s="113" t="s">
        <v>359</v>
      </c>
      <c r="B131" s="102">
        <v>44656</v>
      </c>
      <c r="C131" s="26" t="s">
        <v>632</v>
      </c>
      <c r="D131" s="32">
        <v>12</v>
      </c>
      <c r="E131" s="13">
        <v>128.62</v>
      </c>
      <c r="F131" s="50">
        <f t="shared" si="14"/>
        <v>1543.44</v>
      </c>
      <c r="G131" s="103"/>
      <c r="H131" s="103"/>
      <c r="I131" s="104"/>
      <c r="J131" s="103"/>
      <c r="K131" s="103"/>
      <c r="L131" s="103">
        <f t="shared" si="17"/>
        <v>12</v>
      </c>
      <c r="M131" s="103"/>
      <c r="N131" s="103" t="s">
        <v>945</v>
      </c>
      <c r="O131" s="104">
        <f t="shared" si="19"/>
        <v>1543.44</v>
      </c>
    </row>
    <row r="132" spans="1:15" s="92" customFormat="1" x14ac:dyDescent="0.3">
      <c r="A132" s="113" t="s">
        <v>360</v>
      </c>
      <c r="B132" s="102">
        <v>44659</v>
      </c>
      <c r="C132" s="26" t="s">
        <v>633</v>
      </c>
      <c r="D132" s="14">
        <v>41</v>
      </c>
      <c r="E132" s="13">
        <v>325</v>
      </c>
      <c r="F132" s="50">
        <f t="shared" si="14"/>
        <v>13325</v>
      </c>
      <c r="G132" s="103"/>
      <c r="H132" s="103"/>
      <c r="I132" s="104"/>
      <c r="J132" s="103"/>
      <c r="K132" s="103"/>
      <c r="L132" s="103">
        <f t="shared" si="17"/>
        <v>41</v>
      </c>
      <c r="M132" s="103"/>
      <c r="N132" s="103" t="s">
        <v>945</v>
      </c>
      <c r="O132" s="104">
        <f>+E132*L132</f>
        <v>13325</v>
      </c>
    </row>
    <row r="133" spans="1:15" s="8" customFormat="1" ht="15.75" x14ac:dyDescent="0.25">
      <c r="A133" s="113" t="s">
        <v>361</v>
      </c>
      <c r="B133" s="102"/>
      <c r="C133" s="25" t="s">
        <v>861</v>
      </c>
      <c r="D133" s="38">
        <f>8+48</f>
        <v>56</v>
      </c>
      <c r="E133" s="13"/>
      <c r="F133" s="50">
        <f t="shared" ref="F133:F138" si="20">+D133*E133</f>
        <v>0</v>
      </c>
      <c r="G133" s="103"/>
      <c r="H133" s="103"/>
      <c r="I133" s="104"/>
      <c r="J133" s="103"/>
      <c r="K133" s="103"/>
      <c r="L133" s="103">
        <f t="shared" si="17"/>
        <v>56</v>
      </c>
      <c r="M133" s="103"/>
      <c r="N133" s="103" t="s">
        <v>947</v>
      </c>
      <c r="O133" s="104">
        <f t="shared" si="19"/>
        <v>0</v>
      </c>
    </row>
    <row r="134" spans="1:15" s="8" customFormat="1" ht="15.75" x14ac:dyDescent="0.25">
      <c r="A134" s="113" t="s">
        <v>362</v>
      </c>
      <c r="B134" s="102"/>
      <c r="C134" s="25" t="s">
        <v>862</v>
      </c>
      <c r="D134" s="38">
        <v>74</v>
      </c>
      <c r="E134" s="13"/>
      <c r="F134" s="50">
        <f t="shared" si="20"/>
        <v>0</v>
      </c>
      <c r="G134" s="103"/>
      <c r="H134" s="103"/>
      <c r="I134" s="104"/>
      <c r="J134" s="103"/>
      <c r="K134" s="103"/>
      <c r="L134" s="103">
        <f t="shared" si="17"/>
        <v>74</v>
      </c>
      <c r="M134" s="103"/>
      <c r="N134" s="103" t="s">
        <v>947</v>
      </c>
      <c r="O134" s="104">
        <f t="shared" si="19"/>
        <v>0</v>
      </c>
    </row>
    <row r="135" spans="1:15" s="8" customFormat="1" ht="15.75" x14ac:dyDescent="0.25">
      <c r="A135" s="113" t="s">
        <v>363</v>
      </c>
      <c r="B135" s="102"/>
      <c r="C135" s="25" t="s">
        <v>863</v>
      </c>
      <c r="D135" s="38">
        <f>79+33+106</f>
        <v>218</v>
      </c>
      <c r="E135" s="13"/>
      <c r="F135" s="50">
        <f t="shared" si="20"/>
        <v>0</v>
      </c>
      <c r="G135" s="103"/>
      <c r="H135" s="103"/>
      <c r="I135" s="104"/>
      <c r="J135" s="103"/>
      <c r="K135" s="103"/>
      <c r="L135" s="103">
        <f t="shared" si="17"/>
        <v>218</v>
      </c>
      <c r="M135" s="103"/>
      <c r="N135" s="103" t="s">
        <v>947</v>
      </c>
      <c r="O135" s="104">
        <f t="shared" si="19"/>
        <v>0</v>
      </c>
    </row>
    <row r="136" spans="1:15" s="8" customFormat="1" ht="15.75" x14ac:dyDescent="0.25">
      <c r="A136" s="113" t="s">
        <v>364</v>
      </c>
      <c r="B136" s="102"/>
      <c r="C136" s="25" t="s">
        <v>864</v>
      </c>
      <c r="D136" s="38">
        <v>46</v>
      </c>
      <c r="E136" s="13"/>
      <c r="F136" s="50">
        <f t="shared" si="20"/>
        <v>0</v>
      </c>
      <c r="G136" s="103"/>
      <c r="H136" s="103"/>
      <c r="I136" s="104"/>
      <c r="J136" s="103"/>
      <c r="K136" s="103"/>
      <c r="L136" s="103">
        <f t="shared" si="17"/>
        <v>46</v>
      </c>
      <c r="M136" s="103"/>
      <c r="N136" s="103" t="s">
        <v>947</v>
      </c>
      <c r="O136" s="104">
        <f t="shared" si="19"/>
        <v>0</v>
      </c>
    </row>
    <row r="137" spans="1:15" s="8" customFormat="1" ht="15.75" x14ac:dyDescent="0.25">
      <c r="A137" s="113" t="s">
        <v>365</v>
      </c>
      <c r="B137" s="102"/>
      <c r="C137" s="25" t="s">
        <v>865</v>
      </c>
      <c r="D137" s="38">
        <v>41</v>
      </c>
      <c r="E137" s="13"/>
      <c r="F137" s="50">
        <f t="shared" si="20"/>
        <v>0</v>
      </c>
      <c r="G137" s="103"/>
      <c r="H137" s="103"/>
      <c r="I137" s="104"/>
      <c r="J137" s="103"/>
      <c r="K137" s="103"/>
      <c r="L137" s="103">
        <f t="shared" si="17"/>
        <v>41</v>
      </c>
      <c r="M137" s="103"/>
      <c r="N137" s="103" t="s">
        <v>947</v>
      </c>
      <c r="O137" s="104">
        <f t="shared" si="19"/>
        <v>0</v>
      </c>
    </row>
    <row r="138" spans="1:15" s="8" customFormat="1" ht="15.75" x14ac:dyDescent="0.25">
      <c r="A138" s="113" t="s">
        <v>366</v>
      </c>
      <c r="B138" s="102"/>
      <c r="C138" s="25" t="s">
        <v>866</v>
      </c>
      <c r="D138" s="38">
        <f>34+1</f>
        <v>35</v>
      </c>
      <c r="E138" s="13"/>
      <c r="F138" s="50">
        <f t="shared" si="20"/>
        <v>0</v>
      </c>
      <c r="G138" s="103"/>
      <c r="H138" s="103"/>
      <c r="I138" s="104"/>
      <c r="J138" s="103"/>
      <c r="K138" s="103"/>
      <c r="L138" s="103">
        <f t="shared" si="17"/>
        <v>35</v>
      </c>
      <c r="M138" s="103"/>
      <c r="N138" s="103" t="s">
        <v>947</v>
      </c>
      <c r="O138" s="104">
        <f t="shared" si="19"/>
        <v>0</v>
      </c>
    </row>
    <row r="139" spans="1:15" s="92" customFormat="1" x14ac:dyDescent="0.3">
      <c r="A139" s="113" t="s">
        <v>367</v>
      </c>
      <c r="B139" s="106" t="s">
        <v>116</v>
      </c>
      <c r="C139" s="25" t="s">
        <v>719</v>
      </c>
      <c r="D139" s="32"/>
      <c r="E139" s="51">
        <v>529</v>
      </c>
      <c r="F139" s="50">
        <f>D139*E139</f>
        <v>0</v>
      </c>
      <c r="G139" s="107">
        <v>44748</v>
      </c>
      <c r="H139" s="104">
        <f>3*6</f>
        <v>18</v>
      </c>
      <c r="I139" s="104">
        <v>161.66666666666666</v>
      </c>
      <c r="J139" s="108">
        <f>+H139*I139</f>
        <v>2910</v>
      </c>
      <c r="K139" s="103">
        <f>12+3+2+1+12</f>
        <v>30</v>
      </c>
      <c r="L139" s="103">
        <f t="shared" si="17"/>
        <v>-12</v>
      </c>
      <c r="M139" s="103"/>
      <c r="N139" s="103" t="s">
        <v>945</v>
      </c>
      <c r="O139" s="104">
        <f>+K139*I139</f>
        <v>4850</v>
      </c>
    </row>
    <row r="140" spans="1:15" s="8" customFormat="1" ht="15.75" x14ac:dyDescent="0.25">
      <c r="A140" s="113" t="s">
        <v>368</v>
      </c>
      <c r="B140" s="102">
        <v>44193</v>
      </c>
      <c r="C140" s="25" t="s">
        <v>813</v>
      </c>
      <c r="D140" s="32">
        <v>8</v>
      </c>
      <c r="E140" s="13">
        <v>1375</v>
      </c>
      <c r="F140" s="50">
        <f>D140*E140</f>
        <v>11000</v>
      </c>
      <c r="G140" s="103"/>
      <c r="H140" s="103"/>
      <c r="I140" s="104"/>
      <c r="J140" s="103"/>
      <c r="K140" s="103"/>
      <c r="L140" s="103">
        <f t="shared" si="17"/>
        <v>8</v>
      </c>
      <c r="M140" s="103"/>
      <c r="N140" s="103" t="s">
        <v>946</v>
      </c>
      <c r="O140" s="104">
        <f>+L140*E140</f>
        <v>11000</v>
      </c>
    </row>
    <row r="141" spans="1:15" s="8" customFormat="1" ht="15.75" x14ac:dyDescent="0.25">
      <c r="A141" s="113" t="s">
        <v>369</v>
      </c>
      <c r="B141" s="106" t="s">
        <v>114</v>
      </c>
      <c r="C141" s="25" t="s">
        <v>642</v>
      </c>
      <c r="D141" s="32">
        <v>8</v>
      </c>
      <c r="E141" s="13">
        <v>1375</v>
      </c>
      <c r="F141" s="50">
        <f>D141*E141</f>
        <v>11000</v>
      </c>
      <c r="G141" s="103"/>
      <c r="H141" s="103"/>
      <c r="I141" s="104"/>
      <c r="J141" s="103"/>
      <c r="K141" s="103">
        <v>1</v>
      </c>
      <c r="L141" s="103">
        <f t="shared" si="17"/>
        <v>7</v>
      </c>
      <c r="M141" s="103"/>
      <c r="N141" s="103" t="s">
        <v>946</v>
      </c>
      <c r="O141" s="104">
        <f t="shared" ref="O141:O160" si="21">+L141*E141</f>
        <v>9625</v>
      </c>
    </row>
    <row r="142" spans="1:15" s="8" customFormat="1" ht="15.75" x14ac:dyDescent="0.25">
      <c r="A142" s="113" t="s">
        <v>370</v>
      </c>
      <c r="B142" s="102"/>
      <c r="C142" s="25" t="s">
        <v>833</v>
      </c>
      <c r="D142" s="32">
        <v>7</v>
      </c>
      <c r="E142" s="13"/>
      <c r="F142" s="50"/>
      <c r="G142" s="103"/>
      <c r="H142" s="103"/>
      <c r="I142" s="104"/>
      <c r="J142" s="103"/>
      <c r="K142" s="103"/>
      <c r="L142" s="103">
        <f t="shared" si="17"/>
        <v>7</v>
      </c>
      <c r="M142" s="103"/>
      <c r="N142" s="103" t="s">
        <v>946</v>
      </c>
      <c r="O142" s="104">
        <f t="shared" si="21"/>
        <v>0</v>
      </c>
    </row>
    <row r="143" spans="1:15" s="8" customFormat="1" ht="15.75" x14ac:dyDescent="0.25">
      <c r="A143" s="113" t="s">
        <v>371</v>
      </c>
      <c r="B143" s="102">
        <v>44193</v>
      </c>
      <c r="C143" s="25" t="s">
        <v>643</v>
      </c>
      <c r="D143" s="32">
        <v>4</v>
      </c>
      <c r="E143" s="13">
        <v>1375</v>
      </c>
      <c r="F143" s="50">
        <f>D143*E143</f>
        <v>5500</v>
      </c>
      <c r="G143" s="103"/>
      <c r="H143" s="103"/>
      <c r="I143" s="104"/>
      <c r="J143" s="103"/>
      <c r="K143" s="103"/>
      <c r="L143" s="103">
        <f t="shared" si="17"/>
        <v>4</v>
      </c>
      <c r="M143" s="103"/>
      <c r="N143" s="103" t="s">
        <v>946</v>
      </c>
      <c r="O143" s="104">
        <f t="shared" si="21"/>
        <v>5500</v>
      </c>
    </row>
    <row r="144" spans="1:15" s="8" customFormat="1" ht="15.75" x14ac:dyDescent="0.25">
      <c r="A144" s="113" t="s">
        <v>372</v>
      </c>
      <c r="B144" s="106"/>
      <c r="C144" s="25" t="s">
        <v>816</v>
      </c>
      <c r="D144" s="32">
        <v>2</v>
      </c>
      <c r="E144" s="13"/>
      <c r="F144" s="50"/>
      <c r="G144" s="103"/>
      <c r="H144" s="103"/>
      <c r="I144" s="104"/>
      <c r="J144" s="103"/>
      <c r="K144" s="103"/>
      <c r="L144" s="103">
        <f t="shared" si="17"/>
        <v>2</v>
      </c>
      <c r="M144" s="103"/>
      <c r="N144" s="103" t="s">
        <v>946</v>
      </c>
      <c r="O144" s="104">
        <f t="shared" si="21"/>
        <v>0</v>
      </c>
    </row>
    <row r="145" spans="1:15" s="8" customFormat="1" ht="15.75" x14ac:dyDescent="0.25">
      <c r="A145" s="113" t="s">
        <v>373</v>
      </c>
      <c r="B145" s="102"/>
      <c r="C145" s="25" t="s">
        <v>829</v>
      </c>
      <c r="D145" s="32">
        <v>2</v>
      </c>
      <c r="E145" s="13"/>
      <c r="F145" s="50"/>
      <c r="G145" s="103"/>
      <c r="H145" s="103"/>
      <c r="I145" s="104"/>
      <c r="J145" s="103"/>
      <c r="K145" s="103"/>
      <c r="L145" s="103">
        <f t="shared" si="17"/>
        <v>2</v>
      </c>
      <c r="M145" s="103"/>
      <c r="N145" s="103" t="s">
        <v>946</v>
      </c>
      <c r="O145" s="104">
        <f t="shared" si="21"/>
        <v>0</v>
      </c>
    </row>
    <row r="146" spans="1:15" s="8" customFormat="1" ht="15.75" x14ac:dyDescent="0.25">
      <c r="A146" s="113" t="s">
        <v>374</v>
      </c>
      <c r="B146" s="106" t="s">
        <v>106</v>
      </c>
      <c r="C146" s="25" t="s">
        <v>635</v>
      </c>
      <c r="D146" s="32">
        <v>8</v>
      </c>
      <c r="E146" s="13">
        <v>1375</v>
      </c>
      <c r="F146" s="50">
        <f>D146*E146</f>
        <v>11000</v>
      </c>
      <c r="G146" s="103"/>
      <c r="H146" s="103"/>
      <c r="I146" s="104"/>
      <c r="J146" s="103"/>
      <c r="K146" s="103">
        <v>2</v>
      </c>
      <c r="L146" s="103">
        <f t="shared" si="17"/>
        <v>6</v>
      </c>
      <c r="M146" s="103"/>
      <c r="N146" s="103" t="s">
        <v>946</v>
      </c>
      <c r="O146" s="104">
        <f t="shared" si="21"/>
        <v>8250</v>
      </c>
    </row>
    <row r="147" spans="1:15" s="8" customFormat="1" ht="15.75" x14ac:dyDescent="0.25">
      <c r="A147" s="113" t="s">
        <v>375</v>
      </c>
      <c r="B147" s="106" t="s">
        <v>106</v>
      </c>
      <c r="C147" s="25" t="s">
        <v>636</v>
      </c>
      <c r="D147" s="55">
        <v>60</v>
      </c>
      <c r="E147" s="13">
        <v>1375</v>
      </c>
      <c r="F147" s="50">
        <f>D147*E147</f>
        <v>82500</v>
      </c>
      <c r="G147" s="103"/>
      <c r="H147" s="103"/>
      <c r="I147" s="104"/>
      <c r="J147" s="103"/>
      <c r="K147" s="103"/>
      <c r="L147" s="103">
        <f t="shared" si="17"/>
        <v>60</v>
      </c>
      <c r="M147" s="103"/>
      <c r="N147" s="103" t="s">
        <v>946</v>
      </c>
      <c r="O147" s="104">
        <f t="shared" si="21"/>
        <v>82500</v>
      </c>
    </row>
    <row r="148" spans="1:15" s="8" customFormat="1" ht="15.75" x14ac:dyDescent="0.25">
      <c r="A148" s="113" t="s">
        <v>376</v>
      </c>
      <c r="B148" s="102"/>
      <c r="C148" s="25" t="s">
        <v>831</v>
      </c>
      <c r="D148" s="32">
        <f>25+28</f>
        <v>53</v>
      </c>
      <c r="E148" s="13"/>
      <c r="F148" s="50"/>
      <c r="G148" s="103"/>
      <c r="H148" s="103"/>
      <c r="I148" s="104"/>
      <c r="J148" s="103"/>
      <c r="K148" s="103">
        <v>10</v>
      </c>
      <c r="L148" s="103">
        <f t="shared" si="17"/>
        <v>43</v>
      </c>
      <c r="M148" s="103"/>
      <c r="N148" s="103" t="s">
        <v>946</v>
      </c>
      <c r="O148" s="104">
        <f t="shared" si="21"/>
        <v>0</v>
      </c>
    </row>
    <row r="149" spans="1:15" s="8" customFormat="1" ht="15.75" x14ac:dyDescent="0.25">
      <c r="A149" s="113" t="s">
        <v>377</v>
      </c>
      <c r="B149" s="102"/>
      <c r="C149" s="25" t="s">
        <v>832</v>
      </c>
      <c r="D149" s="32">
        <v>5</v>
      </c>
      <c r="E149" s="13"/>
      <c r="F149" s="50"/>
      <c r="G149" s="103"/>
      <c r="H149" s="103"/>
      <c r="I149" s="104"/>
      <c r="J149" s="103"/>
      <c r="K149" s="103"/>
      <c r="L149" s="103">
        <f t="shared" si="17"/>
        <v>5</v>
      </c>
      <c r="M149" s="103"/>
      <c r="N149" s="103" t="s">
        <v>946</v>
      </c>
      <c r="O149" s="104">
        <f t="shared" si="21"/>
        <v>0</v>
      </c>
    </row>
    <row r="150" spans="1:15" s="8" customFormat="1" ht="15.75" x14ac:dyDescent="0.25">
      <c r="A150" s="113" t="s">
        <v>378</v>
      </c>
      <c r="B150" s="106" t="s">
        <v>106</v>
      </c>
      <c r="C150" s="25" t="s">
        <v>812</v>
      </c>
      <c r="D150" s="32">
        <v>3</v>
      </c>
      <c r="E150" s="13">
        <v>1180</v>
      </c>
      <c r="F150" s="50">
        <f>D150*E150</f>
        <v>3540</v>
      </c>
      <c r="G150" s="103"/>
      <c r="H150" s="103"/>
      <c r="I150" s="104"/>
      <c r="J150" s="103"/>
      <c r="K150" s="103"/>
      <c r="L150" s="103">
        <f t="shared" si="17"/>
        <v>3</v>
      </c>
      <c r="M150" s="103"/>
      <c r="N150" s="103" t="s">
        <v>946</v>
      </c>
      <c r="O150" s="104">
        <f t="shared" si="21"/>
        <v>3540</v>
      </c>
    </row>
    <row r="151" spans="1:15" s="8" customFormat="1" ht="15.75" x14ac:dyDescent="0.25">
      <c r="A151" s="113" t="s">
        <v>379</v>
      </c>
      <c r="B151" s="102">
        <v>44193</v>
      </c>
      <c r="C151" s="25" t="s">
        <v>637</v>
      </c>
      <c r="D151" s="55">
        <v>9</v>
      </c>
      <c r="E151" s="13">
        <v>1180</v>
      </c>
      <c r="F151" s="50">
        <f>D151*E151</f>
        <v>10620</v>
      </c>
      <c r="G151" s="103"/>
      <c r="H151" s="103"/>
      <c r="I151" s="104"/>
      <c r="J151" s="103"/>
      <c r="K151" s="103"/>
      <c r="L151" s="103">
        <f t="shared" si="17"/>
        <v>9</v>
      </c>
      <c r="M151" s="103"/>
      <c r="N151" s="103" t="s">
        <v>946</v>
      </c>
      <c r="O151" s="104">
        <f t="shared" si="21"/>
        <v>10620</v>
      </c>
    </row>
    <row r="152" spans="1:15" s="8" customFormat="1" ht="15.75" x14ac:dyDescent="0.25">
      <c r="A152" s="113" t="s">
        <v>380</v>
      </c>
      <c r="B152" s="102"/>
      <c r="C152" s="25" t="s">
        <v>834</v>
      </c>
      <c r="D152" s="32">
        <v>1</v>
      </c>
      <c r="E152" s="13"/>
      <c r="F152" s="50"/>
      <c r="G152" s="103"/>
      <c r="H152" s="103"/>
      <c r="I152" s="104"/>
      <c r="J152" s="103"/>
      <c r="K152" s="103"/>
      <c r="L152" s="103">
        <f t="shared" si="17"/>
        <v>1</v>
      </c>
      <c r="M152" s="103"/>
      <c r="N152" s="103" t="s">
        <v>946</v>
      </c>
      <c r="O152" s="104">
        <f t="shared" si="21"/>
        <v>0</v>
      </c>
    </row>
    <row r="153" spans="1:15" s="8" customFormat="1" ht="15.75" x14ac:dyDescent="0.25">
      <c r="A153" s="113" t="s">
        <v>381</v>
      </c>
      <c r="B153" s="106" t="s">
        <v>106</v>
      </c>
      <c r="C153" s="25" t="s">
        <v>639</v>
      </c>
      <c r="D153" s="32">
        <v>8</v>
      </c>
      <c r="E153" s="51">
        <v>1375</v>
      </c>
      <c r="F153" s="50">
        <f t="shared" ref="F153:F165" si="22">D153*E153</f>
        <v>11000</v>
      </c>
      <c r="G153" s="103"/>
      <c r="H153" s="103"/>
      <c r="I153" s="104"/>
      <c r="J153" s="103"/>
      <c r="K153" s="103"/>
      <c r="L153" s="103">
        <f t="shared" si="17"/>
        <v>8</v>
      </c>
      <c r="M153" s="103"/>
      <c r="N153" s="103" t="s">
        <v>946</v>
      </c>
      <c r="O153" s="104">
        <f t="shared" si="21"/>
        <v>11000</v>
      </c>
    </row>
    <row r="154" spans="1:15" s="8" customFormat="1" ht="15.75" x14ac:dyDescent="0.25">
      <c r="A154" s="113" t="s">
        <v>382</v>
      </c>
      <c r="B154" s="102">
        <v>44193</v>
      </c>
      <c r="C154" s="25" t="s">
        <v>638</v>
      </c>
      <c r="D154" s="32">
        <v>4</v>
      </c>
      <c r="E154" s="13">
        <v>1294.3699999999999</v>
      </c>
      <c r="F154" s="50">
        <f t="shared" si="22"/>
        <v>5177.4799999999996</v>
      </c>
      <c r="G154" s="103"/>
      <c r="H154" s="103"/>
      <c r="I154" s="104"/>
      <c r="J154" s="103"/>
      <c r="K154" s="103"/>
      <c r="L154" s="103">
        <f t="shared" si="17"/>
        <v>4</v>
      </c>
      <c r="M154" s="103"/>
      <c r="N154" s="103" t="s">
        <v>946</v>
      </c>
      <c r="O154" s="104">
        <f t="shared" si="21"/>
        <v>5177.4799999999996</v>
      </c>
    </row>
    <row r="155" spans="1:15" s="8" customFormat="1" ht="15.75" x14ac:dyDescent="0.25">
      <c r="A155" s="113" t="s">
        <v>383</v>
      </c>
      <c r="B155" s="106" t="s">
        <v>114</v>
      </c>
      <c r="C155" s="25" t="s">
        <v>640</v>
      </c>
      <c r="D155" s="32">
        <v>4</v>
      </c>
      <c r="E155" s="52">
        <v>2600</v>
      </c>
      <c r="F155" s="50">
        <f t="shared" si="22"/>
        <v>10400</v>
      </c>
      <c r="G155" s="103"/>
      <c r="H155" s="103"/>
      <c r="I155" s="104"/>
      <c r="J155" s="103"/>
      <c r="K155" s="103"/>
      <c r="L155" s="103">
        <f t="shared" si="17"/>
        <v>4</v>
      </c>
      <c r="M155" s="103"/>
      <c r="N155" s="103" t="s">
        <v>946</v>
      </c>
      <c r="O155" s="104">
        <f>+L155*E155</f>
        <v>10400</v>
      </c>
    </row>
    <row r="156" spans="1:15" s="8" customFormat="1" ht="15.75" x14ac:dyDescent="0.25">
      <c r="A156" s="113" t="s">
        <v>384</v>
      </c>
      <c r="B156" s="102">
        <v>44193</v>
      </c>
      <c r="C156" s="25" t="s">
        <v>830</v>
      </c>
      <c r="D156" s="32">
        <v>2</v>
      </c>
      <c r="E156" s="13">
        <v>2600</v>
      </c>
      <c r="F156" s="50">
        <f t="shared" si="22"/>
        <v>5200</v>
      </c>
      <c r="G156" s="103"/>
      <c r="H156" s="103"/>
      <c r="I156" s="104"/>
      <c r="J156" s="103"/>
      <c r="K156" s="103">
        <v>2</v>
      </c>
      <c r="L156" s="103">
        <f t="shared" si="17"/>
        <v>0</v>
      </c>
      <c r="M156" s="103"/>
      <c r="N156" s="103" t="s">
        <v>946</v>
      </c>
      <c r="O156" s="104">
        <f t="shared" si="21"/>
        <v>0</v>
      </c>
    </row>
    <row r="157" spans="1:15" s="105" customFormat="1" ht="15.75" x14ac:dyDescent="0.25">
      <c r="A157" s="113" t="s">
        <v>385</v>
      </c>
      <c r="B157" s="102">
        <v>44193</v>
      </c>
      <c r="C157" s="9" t="s">
        <v>951</v>
      </c>
      <c r="D157" s="58">
        <v>46</v>
      </c>
      <c r="E157" s="13">
        <v>4.55</v>
      </c>
      <c r="F157" s="50">
        <f t="shared" si="22"/>
        <v>209.29999999999998</v>
      </c>
      <c r="G157" s="107">
        <v>44852</v>
      </c>
      <c r="H157" s="103">
        <f>10*100</f>
        <v>1000</v>
      </c>
      <c r="I157" s="104">
        <v>5.07</v>
      </c>
      <c r="J157" s="108">
        <f>+H157*I157</f>
        <v>5070</v>
      </c>
      <c r="K157" s="103">
        <f>12+100+15</f>
        <v>127</v>
      </c>
      <c r="L157" s="103">
        <f t="shared" si="17"/>
        <v>919</v>
      </c>
      <c r="M157" s="103" t="s">
        <v>1037</v>
      </c>
      <c r="N157" s="103" t="s">
        <v>947</v>
      </c>
      <c r="O157" s="104">
        <f>+L157*I157</f>
        <v>4659.33</v>
      </c>
    </row>
    <row r="158" spans="1:15" s="8" customFormat="1" ht="15.75" x14ac:dyDescent="0.25">
      <c r="A158" s="113" t="s">
        <v>386</v>
      </c>
      <c r="B158" s="102">
        <v>44193</v>
      </c>
      <c r="C158" s="9" t="s">
        <v>647</v>
      </c>
      <c r="D158" s="58">
        <v>15</v>
      </c>
      <c r="E158" s="13">
        <v>4.55</v>
      </c>
      <c r="F158" s="50">
        <f t="shared" si="22"/>
        <v>68.25</v>
      </c>
      <c r="G158" s="103"/>
      <c r="H158" s="103"/>
      <c r="I158" s="104"/>
      <c r="J158" s="103"/>
      <c r="K158" s="103"/>
      <c r="L158" s="103">
        <f t="shared" si="17"/>
        <v>15</v>
      </c>
      <c r="M158" s="103"/>
      <c r="N158" s="103" t="s">
        <v>947</v>
      </c>
      <c r="O158" s="104">
        <f t="shared" si="21"/>
        <v>68.25</v>
      </c>
    </row>
    <row r="159" spans="1:15" s="8" customFormat="1" ht="15.75" x14ac:dyDescent="0.25">
      <c r="A159" s="113" t="s">
        <v>387</v>
      </c>
      <c r="B159" s="102">
        <v>44193</v>
      </c>
      <c r="C159" s="26" t="s">
        <v>645</v>
      </c>
      <c r="D159" s="58">
        <v>820</v>
      </c>
      <c r="E159" s="13">
        <v>7.5</v>
      </c>
      <c r="F159" s="50">
        <f t="shared" si="22"/>
        <v>6150</v>
      </c>
      <c r="G159" s="103"/>
      <c r="H159" s="103"/>
      <c r="I159" s="104"/>
      <c r="J159" s="103"/>
      <c r="K159" s="103"/>
      <c r="L159" s="103">
        <f t="shared" si="17"/>
        <v>820</v>
      </c>
      <c r="M159" s="103"/>
      <c r="N159" s="103" t="s">
        <v>947</v>
      </c>
      <c r="O159" s="104">
        <f t="shared" si="21"/>
        <v>6150</v>
      </c>
    </row>
    <row r="160" spans="1:15" s="92" customFormat="1" x14ac:dyDescent="0.3">
      <c r="A160" s="113" t="s">
        <v>388</v>
      </c>
      <c r="B160" s="102">
        <v>44659</v>
      </c>
      <c r="C160" s="26" t="s">
        <v>854</v>
      </c>
      <c r="D160" s="30">
        <f>30*100</f>
        <v>3000</v>
      </c>
      <c r="E160" s="13">
        <v>3.4</v>
      </c>
      <c r="F160" s="50">
        <f t="shared" si="22"/>
        <v>10200</v>
      </c>
      <c r="G160" s="103"/>
      <c r="H160" s="103"/>
      <c r="I160" s="104"/>
      <c r="J160" s="103"/>
      <c r="K160" s="103"/>
      <c r="L160" s="103">
        <f t="shared" si="17"/>
        <v>3000</v>
      </c>
      <c r="M160" s="103"/>
      <c r="N160" s="103" t="s">
        <v>945</v>
      </c>
      <c r="O160" s="104">
        <f t="shared" si="21"/>
        <v>10200</v>
      </c>
    </row>
    <row r="161" spans="1:15" s="92" customFormat="1" x14ac:dyDescent="0.3">
      <c r="A161" s="113" t="s">
        <v>389</v>
      </c>
      <c r="B161" s="102">
        <v>44453</v>
      </c>
      <c r="C161" s="9" t="s">
        <v>648</v>
      </c>
      <c r="D161" s="30">
        <v>1100</v>
      </c>
      <c r="E161" s="13">
        <v>2.59</v>
      </c>
      <c r="F161" s="50">
        <f t="shared" si="22"/>
        <v>2849</v>
      </c>
      <c r="G161" s="107">
        <v>44778</v>
      </c>
      <c r="H161" s="109">
        <f>20*100</f>
        <v>2000</v>
      </c>
      <c r="I161" s="104">
        <f>3.4+0.612</f>
        <v>4.0119999999999996</v>
      </c>
      <c r="J161" s="108">
        <f>+H161*I161</f>
        <v>8023.9999999999991</v>
      </c>
      <c r="K161" s="103">
        <f>100+25+100</f>
        <v>225</v>
      </c>
      <c r="L161" s="103">
        <f t="shared" si="17"/>
        <v>2875</v>
      </c>
      <c r="M161" s="103" t="s">
        <v>943</v>
      </c>
      <c r="N161" s="103" t="s">
        <v>945</v>
      </c>
      <c r="O161" s="104">
        <f>+L161*I161</f>
        <v>11534.499999999998</v>
      </c>
    </row>
    <row r="162" spans="1:15" s="92" customFormat="1" x14ac:dyDescent="0.3">
      <c r="A162" s="113" t="s">
        <v>390</v>
      </c>
      <c r="B162" s="102">
        <v>44659</v>
      </c>
      <c r="C162" s="25" t="s">
        <v>855</v>
      </c>
      <c r="D162" s="38">
        <f>25*100</f>
        <v>2500</v>
      </c>
      <c r="E162" s="13">
        <v>4.3499999999999996</v>
      </c>
      <c r="F162" s="50">
        <f t="shared" si="22"/>
        <v>10875</v>
      </c>
      <c r="G162" s="107">
        <v>44778</v>
      </c>
      <c r="H162" s="109">
        <f>10*100</f>
        <v>1000</v>
      </c>
      <c r="I162" s="104">
        <v>4.8899999999999997</v>
      </c>
      <c r="J162" s="108">
        <f>+H162*I162</f>
        <v>4890</v>
      </c>
      <c r="K162" s="103"/>
      <c r="L162" s="103">
        <f t="shared" si="17"/>
        <v>3500</v>
      </c>
      <c r="M162" s="103" t="s">
        <v>943</v>
      </c>
      <c r="N162" s="103" t="s">
        <v>945</v>
      </c>
      <c r="O162" s="104">
        <f>+L162*I162</f>
        <v>17115</v>
      </c>
    </row>
    <row r="163" spans="1:15" s="92" customFormat="1" x14ac:dyDescent="0.3">
      <c r="A163" s="113" t="s">
        <v>391</v>
      </c>
      <c r="B163" s="102">
        <v>44659</v>
      </c>
      <c r="C163" s="25" t="s">
        <v>651</v>
      </c>
      <c r="D163" s="38">
        <f>60*100</f>
        <v>6000</v>
      </c>
      <c r="E163" s="13">
        <v>6.95</v>
      </c>
      <c r="F163" s="50">
        <f t="shared" si="22"/>
        <v>41700</v>
      </c>
      <c r="G163" s="103"/>
      <c r="H163" s="103"/>
      <c r="I163" s="104"/>
      <c r="J163" s="103"/>
      <c r="K163" s="103">
        <f>100+100</f>
        <v>200</v>
      </c>
      <c r="L163" s="103">
        <f t="shared" si="17"/>
        <v>5800</v>
      </c>
      <c r="M163" s="103"/>
      <c r="N163" s="103" t="s">
        <v>945</v>
      </c>
      <c r="O163" s="104">
        <f>+E163*L163</f>
        <v>40310</v>
      </c>
    </row>
    <row r="164" spans="1:15" s="92" customFormat="1" x14ac:dyDescent="0.3">
      <c r="A164" s="113" t="s">
        <v>392</v>
      </c>
      <c r="B164" s="102">
        <v>44659</v>
      </c>
      <c r="C164" s="25" t="s">
        <v>652</v>
      </c>
      <c r="D164" s="38">
        <f>30*100</f>
        <v>3000</v>
      </c>
      <c r="E164" s="13">
        <v>6.5</v>
      </c>
      <c r="F164" s="50">
        <f t="shared" si="22"/>
        <v>19500</v>
      </c>
      <c r="G164" s="103"/>
      <c r="H164" s="103"/>
      <c r="I164" s="104"/>
      <c r="J164" s="103"/>
      <c r="K164" s="103">
        <f>100+100+200</f>
        <v>400</v>
      </c>
      <c r="L164" s="103">
        <f t="shared" si="17"/>
        <v>2600</v>
      </c>
      <c r="M164" s="103"/>
      <c r="N164" s="103" t="s">
        <v>945</v>
      </c>
      <c r="O164" s="104">
        <f t="shared" ref="O164:O227" si="23">+E164*L164</f>
        <v>16900</v>
      </c>
    </row>
    <row r="165" spans="1:15" s="92" customFormat="1" x14ac:dyDescent="0.3">
      <c r="A165" s="113" t="s">
        <v>393</v>
      </c>
      <c r="B165" s="102">
        <v>44193</v>
      </c>
      <c r="C165" s="26" t="s">
        <v>786</v>
      </c>
      <c r="D165" s="32">
        <f>4+8</f>
        <v>12</v>
      </c>
      <c r="E165" s="13">
        <v>150</v>
      </c>
      <c r="F165" s="50">
        <f t="shared" si="22"/>
        <v>1800</v>
      </c>
      <c r="G165" s="103"/>
      <c r="H165" s="103"/>
      <c r="I165" s="104"/>
      <c r="J165" s="103"/>
      <c r="K165" s="103"/>
      <c r="L165" s="103">
        <f t="shared" si="17"/>
        <v>12</v>
      </c>
      <c r="M165" s="103"/>
      <c r="N165" s="103" t="s">
        <v>945</v>
      </c>
      <c r="O165" s="104">
        <f t="shared" si="23"/>
        <v>1800</v>
      </c>
    </row>
    <row r="166" spans="1:15" s="8" customFormat="1" ht="15.75" x14ac:dyDescent="0.25">
      <c r="A166" s="113" t="s">
        <v>394</v>
      </c>
      <c r="B166" s="102"/>
      <c r="C166" s="25" t="s">
        <v>827</v>
      </c>
      <c r="D166" s="38">
        <v>2</v>
      </c>
      <c r="E166" s="13"/>
      <c r="F166" s="50"/>
      <c r="G166" s="103"/>
      <c r="H166" s="103"/>
      <c r="I166" s="104"/>
      <c r="J166" s="103"/>
      <c r="K166" s="103"/>
      <c r="L166" s="103">
        <f t="shared" si="17"/>
        <v>2</v>
      </c>
      <c r="M166" s="103"/>
      <c r="N166" s="103" t="s">
        <v>946</v>
      </c>
      <c r="O166" s="104">
        <f t="shared" si="23"/>
        <v>0</v>
      </c>
    </row>
    <row r="167" spans="1:15" s="8" customFormat="1" ht="15.75" x14ac:dyDescent="0.25">
      <c r="A167" s="113" t="s">
        <v>395</v>
      </c>
      <c r="B167" s="102"/>
      <c r="C167" s="25" t="s">
        <v>828</v>
      </c>
      <c r="D167" s="38">
        <v>1</v>
      </c>
      <c r="E167" s="13"/>
      <c r="F167" s="50"/>
      <c r="G167" s="103"/>
      <c r="H167" s="103"/>
      <c r="I167" s="104"/>
      <c r="J167" s="103"/>
      <c r="K167" s="103"/>
      <c r="L167" s="103">
        <f t="shared" si="17"/>
        <v>1</v>
      </c>
      <c r="M167" s="103"/>
      <c r="N167" s="103" t="s">
        <v>946</v>
      </c>
      <c r="O167" s="104">
        <f t="shared" si="23"/>
        <v>0</v>
      </c>
    </row>
    <row r="168" spans="1:15" s="92" customFormat="1" x14ac:dyDescent="0.3">
      <c r="A168" s="113" t="s">
        <v>396</v>
      </c>
      <c r="B168" s="102">
        <v>44193</v>
      </c>
      <c r="C168" s="25" t="s">
        <v>653</v>
      </c>
      <c r="D168" s="38">
        <v>50</v>
      </c>
      <c r="E168" s="13">
        <v>575</v>
      </c>
      <c r="F168" s="50">
        <f t="shared" ref="F168:F198" si="24">D168*E168</f>
        <v>28750</v>
      </c>
      <c r="G168" s="103"/>
      <c r="H168" s="103"/>
      <c r="I168" s="104"/>
      <c r="J168" s="103"/>
      <c r="K168" s="103">
        <f>1+1</f>
        <v>2</v>
      </c>
      <c r="L168" s="103">
        <f t="shared" si="17"/>
        <v>48</v>
      </c>
      <c r="M168" s="103"/>
      <c r="N168" s="103" t="s">
        <v>945</v>
      </c>
      <c r="O168" s="104">
        <f t="shared" si="23"/>
        <v>27600</v>
      </c>
    </row>
    <row r="169" spans="1:15" s="105" customFormat="1" ht="15.75" x14ac:dyDescent="0.25">
      <c r="A169" s="113" t="s">
        <v>397</v>
      </c>
      <c r="B169" s="102">
        <v>44193</v>
      </c>
      <c r="C169" s="26" t="s">
        <v>655</v>
      </c>
      <c r="D169" s="32">
        <v>20</v>
      </c>
      <c r="E169" s="13">
        <v>25</v>
      </c>
      <c r="F169" s="50">
        <f t="shared" si="24"/>
        <v>500</v>
      </c>
      <c r="G169" s="107">
        <v>44851</v>
      </c>
      <c r="H169" s="103">
        <v>20</v>
      </c>
      <c r="I169" s="104">
        <v>8.08</v>
      </c>
      <c r="J169" s="103">
        <f>+I169*H169</f>
        <v>161.6</v>
      </c>
      <c r="K169" s="103">
        <v>3</v>
      </c>
      <c r="L169" s="103">
        <f t="shared" si="17"/>
        <v>37</v>
      </c>
      <c r="M169" s="103" t="s">
        <v>1037</v>
      </c>
      <c r="N169" s="103" t="s">
        <v>947</v>
      </c>
      <c r="O169" s="104">
        <f>+L169*I169</f>
        <v>298.95999999999998</v>
      </c>
    </row>
    <row r="170" spans="1:15" s="8" customFormat="1" ht="15.75" x14ac:dyDescent="0.25">
      <c r="A170" s="113" t="s">
        <v>398</v>
      </c>
      <c r="B170" s="102">
        <v>44193</v>
      </c>
      <c r="C170" s="9" t="s">
        <v>656</v>
      </c>
      <c r="D170" s="32">
        <v>15</v>
      </c>
      <c r="E170" s="13">
        <v>275</v>
      </c>
      <c r="F170" s="50">
        <f t="shared" si="24"/>
        <v>4125</v>
      </c>
      <c r="G170" s="103"/>
      <c r="H170" s="103"/>
      <c r="I170" s="104"/>
      <c r="J170" s="103"/>
      <c r="K170" s="103">
        <f>1+3</f>
        <v>4</v>
      </c>
      <c r="L170" s="103">
        <f t="shared" si="17"/>
        <v>11</v>
      </c>
      <c r="M170" s="103"/>
      <c r="N170" s="103" t="s">
        <v>947</v>
      </c>
      <c r="O170" s="104">
        <f t="shared" si="23"/>
        <v>3025</v>
      </c>
    </row>
    <row r="171" spans="1:15" s="8" customFormat="1" ht="15.75" x14ac:dyDescent="0.25">
      <c r="A171" s="113" t="s">
        <v>399</v>
      </c>
      <c r="B171" s="102">
        <v>44193</v>
      </c>
      <c r="C171" s="9" t="s">
        <v>658</v>
      </c>
      <c r="D171" s="30">
        <v>2</v>
      </c>
      <c r="E171" s="13">
        <v>50</v>
      </c>
      <c r="F171" s="50">
        <f t="shared" si="24"/>
        <v>100</v>
      </c>
      <c r="G171" s="103"/>
      <c r="H171" s="103"/>
      <c r="I171" s="104"/>
      <c r="J171" s="103"/>
      <c r="K171" s="103"/>
      <c r="L171" s="103">
        <f t="shared" si="17"/>
        <v>2</v>
      </c>
      <c r="M171" s="103"/>
      <c r="N171" s="103" t="s">
        <v>947</v>
      </c>
      <c r="O171" s="104">
        <f t="shared" si="23"/>
        <v>100</v>
      </c>
    </row>
    <row r="172" spans="1:15" s="8" customFormat="1" ht="15.75" x14ac:dyDescent="0.25">
      <c r="A172" s="113" t="s">
        <v>400</v>
      </c>
      <c r="B172" s="102">
        <v>44193</v>
      </c>
      <c r="C172" s="9" t="s">
        <v>657</v>
      </c>
      <c r="D172" s="30">
        <f>20+9</f>
        <v>29</v>
      </c>
      <c r="E172" s="13">
        <v>50</v>
      </c>
      <c r="F172" s="50">
        <f t="shared" si="24"/>
        <v>1450</v>
      </c>
      <c r="G172" s="103"/>
      <c r="H172" s="103"/>
      <c r="I172" s="104"/>
      <c r="J172" s="103"/>
      <c r="K172" s="103">
        <v>1</v>
      </c>
      <c r="L172" s="103">
        <f t="shared" si="17"/>
        <v>28</v>
      </c>
      <c r="M172" s="103"/>
      <c r="N172" s="103" t="s">
        <v>947</v>
      </c>
      <c r="O172" s="104">
        <f t="shared" si="23"/>
        <v>1400</v>
      </c>
    </row>
    <row r="173" spans="1:15" s="92" customFormat="1" x14ac:dyDescent="0.3">
      <c r="A173" s="113" t="s">
        <v>401</v>
      </c>
      <c r="B173" s="102">
        <v>44193</v>
      </c>
      <c r="C173" s="26" t="s">
        <v>660</v>
      </c>
      <c r="D173" s="30">
        <v>35</v>
      </c>
      <c r="E173" s="13">
        <v>7</v>
      </c>
      <c r="F173" s="50">
        <f t="shared" si="24"/>
        <v>245</v>
      </c>
      <c r="G173" s="103"/>
      <c r="H173" s="103"/>
      <c r="I173" s="104"/>
      <c r="J173" s="103"/>
      <c r="K173" s="103"/>
      <c r="L173" s="103">
        <f t="shared" si="17"/>
        <v>35</v>
      </c>
      <c r="M173" s="103"/>
      <c r="N173" s="103" t="s">
        <v>945</v>
      </c>
      <c r="O173" s="104">
        <f t="shared" si="23"/>
        <v>245</v>
      </c>
    </row>
    <row r="174" spans="1:15" s="92" customFormat="1" x14ac:dyDescent="0.3">
      <c r="A174" s="113" t="s">
        <v>402</v>
      </c>
      <c r="B174" s="102">
        <v>44193</v>
      </c>
      <c r="C174" s="26" t="s">
        <v>659</v>
      </c>
      <c r="D174" s="30">
        <v>34</v>
      </c>
      <c r="E174" s="13">
        <v>125</v>
      </c>
      <c r="F174" s="50">
        <f t="shared" si="24"/>
        <v>4250</v>
      </c>
      <c r="G174" s="103"/>
      <c r="H174" s="103"/>
      <c r="I174" s="104"/>
      <c r="J174" s="103"/>
      <c r="K174" s="103">
        <v>1</v>
      </c>
      <c r="L174" s="103">
        <f t="shared" si="17"/>
        <v>33</v>
      </c>
      <c r="M174" s="103"/>
      <c r="N174" s="103" t="s">
        <v>945</v>
      </c>
      <c r="O174" s="104">
        <f t="shared" si="23"/>
        <v>4125</v>
      </c>
    </row>
    <row r="175" spans="1:15" s="92" customFormat="1" x14ac:dyDescent="0.3">
      <c r="A175" s="113" t="s">
        <v>403</v>
      </c>
      <c r="B175" s="102">
        <v>44193</v>
      </c>
      <c r="C175" s="26" t="s">
        <v>661</v>
      </c>
      <c r="D175" s="30">
        <v>106</v>
      </c>
      <c r="E175" s="13">
        <v>7</v>
      </c>
      <c r="F175" s="50">
        <f t="shared" si="24"/>
        <v>742</v>
      </c>
      <c r="G175" s="103"/>
      <c r="H175" s="103"/>
      <c r="I175" s="104"/>
      <c r="J175" s="103"/>
      <c r="K175" s="103">
        <v>3</v>
      </c>
      <c r="L175" s="103">
        <f t="shared" si="17"/>
        <v>103</v>
      </c>
      <c r="M175" s="103"/>
      <c r="N175" s="103" t="s">
        <v>945</v>
      </c>
      <c r="O175" s="104">
        <f t="shared" si="23"/>
        <v>721</v>
      </c>
    </row>
    <row r="176" spans="1:15" s="92" customFormat="1" x14ac:dyDescent="0.3">
      <c r="A176" s="113" t="s">
        <v>404</v>
      </c>
      <c r="B176" s="102">
        <v>44456</v>
      </c>
      <c r="C176" s="26" t="s">
        <v>662</v>
      </c>
      <c r="D176" s="30">
        <v>27</v>
      </c>
      <c r="E176" s="13">
        <v>7</v>
      </c>
      <c r="F176" s="50">
        <f t="shared" si="24"/>
        <v>189</v>
      </c>
      <c r="G176" s="103"/>
      <c r="H176" s="103"/>
      <c r="I176" s="104"/>
      <c r="J176" s="103"/>
      <c r="K176" s="103"/>
      <c r="L176" s="103">
        <f t="shared" ref="L176:L239" si="25">+D176+H176-K176</f>
        <v>27</v>
      </c>
      <c r="M176" s="103"/>
      <c r="N176" s="103" t="s">
        <v>945</v>
      </c>
      <c r="O176" s="104">
        <f t="shared" si="23"/>
        <v>189</v>
      </c>
    </row>
    <row r="177" spans="1:15" s="8" customFormat="1" ht="15.75" x14ac:dyDescent="0.25">
      <c r="A177" s="113" t="s">
        <v>405</v>
      </c>
      <c r="B177" s="102">
        <v>44193</v>
      </c>
      <c r="C177" s="26" t="s">
        <v>800</v>
      </c>
      <c r="D177" s="32">
        <f>6+6</f>
        <v>12</v>
      </c>
      <c r="E177" s="13">
        <v>135</v>
      </c>
      <c r="F177" s="50">
        <f t="shared" si="24"/>
        <v>1620</v>
      </c>
      <c r="G177" s="103"/>
      <c r="H177" s="103"/>
      <c r="I177" s="104"/>
      <c r="J177" s="103"/>
      <c r="K177" s="103"/>
      <c r="L177" s="103">
        <f t="shared" si="25"/>
        <v>12</v>
      </c>
      <c r="M177" s="103"/>
      <c r="N177" s="103" t="s">
        <v>946</v>
      </c>
      <c r="O177" s="104">
        <f t="shared" si="23"/>
        <v>1620</v>
      </c>
    </row>
    <row r="178" spans="1:15" s="8" customFormat="1" ht="15.75" x14ac:dyDescent="0.25">
      <c r="A178" s="113" t="s">
        <v>406</v>
      </c>
      <c r="B178" s="102">
        <v>44193</v>
      </c>
      <c r="C178" s="26" t="s">
        <v>663</v>
      </c>
      <c r="D178" s="55">
        <v>42</v>
      </c>
      <c r="E178" s="13">
        <v>115</v>
      </c>
      <c r="F178" s="50">
        <f t="shared" si="24"/>
        <v>4830</v>
      </c>
      <c r="G178" s="103"/>
      <c r="H178" s="103"/>
      <c r="I178" s="104"/>
      <c r="J178" s="103"/>
      <c r="K178" s="103"/>
      <c r="L178" s="103">
        <f t="shared" si="25"/>
        <v>42</v>
      </c>
      <c r="M178" s="103"/>
      <c r="N178" s="103" t="s">
        <v>946</v>
      </c>
      <c r="O178" s="104">
        <f t="shared" si="23"/>
        <v>4830</v>
      </c>
    </row>
    <row r="179" spans="1:15" s="92" customFormat="1" x14ac:dyDescent="0.3">
      <c r="A179" s="113" t="s">
        <v>407</v>
      </c>
      <c r="B179" s="102">
        <v>44656</v>
      </c>
      <c r="C179" s="26" t="s">
        <v>768</v>
      </c>
      <c r="D179" s="32">
        <v>104</v>
      </c>
      <c r="E179" s="13">
        <v>636.6</v>
      </c>
      <c r="F179" s="50">
        <f t="shared" si="24"/>
        <v>66206.400000000009</v>
      </c>
      <c r="G179" s="107">
        <v>44903</v>
      </c>
      <c r="H179" s="103">
        <f>20*4</f>
        <v>80</v>
      </c>
      <c r="I179" s="104">
        <v>154.58000000000001</v>
      </c>
      <c r="J179" s="108">
        <f>+H179*I179</f>
        <v>12366.400000000001</v>
      </c>
      <c r="K179" s="103">
        <f>1+1+1+1+1+1+1+1+1+1+1</f>
        <v>11</v>
      </c>
      <c r="L179" s="103">
        <f t="shared" si="25"/>
        <v>173</v>
      </c>
      <c r="M179" s="103"/>
      <c r="N179" s="103" t="s">
        <v>945</v>
      </c>
      <c r="O179" s="104">
        <f>+L179*I179</f>
        <v>26742.340000000004</v>
      </c>
    </row>
    <row r="180" spans="1:15" s="92" customFormat="1" x14ac:dyDescent="0.3">
      <c r="A180" s="113" t="s">
        <v>408</v>
      </c>
      <c r="B180" s="102">
        <v>44656</v>
      </c>
      <c r="C180" s="25" t="s">
        <v>769</v>
      </c>
      <c r="D180" s="32">
        <v>74</v>
      </c>
      <c r="E180" s="13">
        <v>115.48</v>
      </c>
      <c r="F180" s="50">
        <f t="shared" si="24"/>
        <v>8545.52</v>
      </c>
      <c r="G180" s="107">
        <v>44903</v>
      </c>
      <c r="H180" s="103">
        <f>4*20</f>
        <v>80</v>
      </c>
      <c r="I180" s="104">
        <v>172.13</v>
      </c>
      <c r="J180" s="108">
        <f>+H180*I180</f>
        <v>13770.4</v>
      </c>
      <c r="K180" s="103">
        <f>1+2+1+1+1+1+1+1+1+1+1+1+1+1+1+1+1+1</f>
        <v>19</v>
      </c>
      <c r="L180" s="103">
        <f>+D180+H180-K180</f>
        <v>135</v>
      </c>
      <c r="M180" s="103" t="s">
        <v>1006</v>
      </c>
      <c r="N180" s="103" t="s">
        <v>945</v>
      </c>
      <c r="O180" s="104">
        <f>+L180*I180</f>
        <v>23237.55</v>
      </c>
    </row>
    <row r="181" spans="1:15" s="8" customFormat="1" ht="15.75" x14ac:dyDescent="0.25">
      <c r="A181" s="113" t="s">
        <v>409</v>
      </c>
      <c r="B181" s="102">
        <v>44193</v>
      </c>
      <c r="C181" s="25" t="s">
        <v>796</v>
      </c>
      <c r="D181" s="38">
        <v>3</v>
      </c>
      <c r="E181" s="13">
        <v>352</v>
      </c>
      <c r="F181" s="50">
        <f t="shared" si="24"/>
        <v>1056</v>
      </c>
      <c r="G181" s="103"/>
      <c r="H181" s="103"/>
      <c r="I181" s="104"/>
      <c r="J181" s="103"/>
      <c r="K181" s="103"/>
      <c r="L181" s="103">
        <f t="shared" si="25"/>
        <v>3</v>
      </c>
      <c r="M181" s="103"/>
      <c r="N181" s="103" t="s">
        <v>946</v>
      </c>
      <c r="O181" s="104">
        <f>+E181*L181</f>
        <v>1056</v>
      </c>
    </row>
    <row r="182" spans="1:15" s="8" customFormat="1" ht="15.75" x14ac:dyDescent="0.25">
      <c r="A182" s="113" t="s">
        <v>410</v>
      </c>
      <c r="B182" s="102">
        <v>44193</v>
      </c>
      <c r="C182" s="25" t="s">
        <v>670</v>
      </c>
      <c r="D182" s="55">
        <f>38+19</f>
        <v>57</v>
      </c>
      <c r="E182" s="13">
        <v>67.8</v>
      </c>
      <c r="F182" s="50">
        <f t="shared" si="24"/>
        <v>3864.6</v>
      </c>
      <c r="G182" s="103"/>
      <c r="H182" s="103"/>
      <c r="I182" s="104"/>
      <c r="J182" s="103"/>
      <c r="K182" s="103"/>
      <c r="L182" s="103">
        <f t="shared" si="25"/>
        <v>57</v>
      </c>
      <c r="M182" s="103"/>
      <c r="N182" s="103" t="s">
        <v>946</v>
      </c>
      <c r="O182" s="104">
        <f t="shared" si="23"/>
        <v>3864.6</v>
      </c>
    </row>
    <row r="183" spans="1:15" s="8" customFormat="1" ht="15.75" x14ac:dyDescent="0.25">
      <c r="A183" s="113" t="s">
        <v>411</v>
      </c>
      <c r="B183" s="102">
        <v>44193</v>
      </c>
      <c r="C183" s="25" t="s">
        <v>671</v>
      </c>
      <c r="D183" s="55">
        <f>19+19</f>
        <v>38</v>
      </c>
      <c r="E183" s="13">
        <v>67.8</v>
      </c>
      <c r="F183" s="50">
        <f t="shared" si="24"/>
        <v>2576.4</v>
      </c>
      <c r="G183" s="103"/>
      <c r="H183" s="103"/>
      <c r="I183" s="104"/>
      <c r="J183" s="103"/>
      <c r="K183" s="103"/>
      <c r="L183" s="103">
        <f t="shared" si="25"/>
        <v>38</v>
      </c>
      <c r="M183" s="103"/>
      <c r="N183" s="103" t="s">
        <v>946</v>
      </c>
      <c r="O183" s="104">
        <f t="shared" si="23"/>
        <v>2576.4</v>
      </c>
    </row>
    <row r="184" spans="1:15" s="8" customFormat="1" ht="15.75" x14ac:dyDescent="0.25">
      <c r="A184" s="113" t="s">
        <v>412</v>
      </c>
      <c r="B184" s="102">
        <v>44193</v>
      </c>
      <c r="C184" s="25" t="s">
        <v>669</v>
      </c>
      <c r="D184" s="32">
        <v>0</v>
      </c>
      <c r="E184" s="13">
        <v>67.8</v>
      </c>
      <c r="F184" s="50">
        <f t="shared" si="24"/>
        <v>0</v>
      </c>
      <c r="G184" s="103"/>
      <c r="H184" s="103"/>
      <c r="I184" s="104"/>
      <c r="J184" s="103"/>
      <c r="K184" s="103"/>
      <c r="L184" s="103">
        <f t="shared" si="25"/>
        <v>0</v>
      </c>
      <c r="M184" s="103"/>
      <c r="N184" s="103" t="s">
        <v>946</v>
      </c>
      <c r="O184" s="104">
        <f t="shared" si="23"/>
        <v>0</v>
      </c>
    </row>
    <row r="185" spans="1:15" s="8" customFormat="1" ht="15.75" x14ac:dyDescent="0.25">
      <c r="A185" s="113" t="s">
        <v>413</v>
      </c>
      <c r="B185" s="102">
        <v>44193</v>
      </c>
      <c r="C185" s="9" t="s">
        <v>672</v>
      </c>
      <c r="D185" s="55">
        <v>50</v>
      </c>
      <c r="E185" s="13">
        <v>170.69</v>
      </c>
      <c r="F185" s="50">
        <f t="shared" si="24"/>
        <v>8534.5</v>
      </c>
      <c r="G185" s="103"/>
      <c r="H185" s="103"/>
      <c r="I185" s="104"/>
      <c r="J185" s="103"/>
      <c r="K185" s="103"/>
      <c r="L185" s="103">
        <f t="shared" si="25"/>
        <v>50</v>
      </c>
      <c r="M185" s="103"/>
      <c r="N185" s="103" t="s">
        <v>947</v>
      </c>
      <c r="O185" s="104">
        <f t="shared" si="23"/>
        <v>8534.5</v>
      </c>
    </row>
    <row r="186" spans="1:15" s="8" customFormat="1" ht="15.75" x14ac:dyDescent="0.25">
      <c r="A186" s="113" t="s">
        <v>414</v>
      </c>
      <c r="B186" s="102">
        <v>44193</v>
      </c>
      <c r="C186" s="9" t="s">
        <v>673</v>
      </c>
      <c r="D186" s="55">
        <v>1040</v>
      </c>
      <c r="E186" s="13">
        <v>170.69</v>
      </c>
      <c r="F186" s="50">
        <f t="shared" si="24"/>
        <v>177517.6</v>
      </c>
      <c r="G186" s="103"/>
      <c r="H186" s="103"/>
      <c r="I186" s="104"/>
      <c r="J186" s="103"/>
      <c r="K186" s="103"/>
      <c r="L186" s="103">
        <f t="shared" si="25"/>
        <v>1040</v>
      </c>
      <c r="M186" s="103"/>
      <c r="N186" s="103" t="s">
        <v>947</v>
      </c>
      <c r="O186" s="104">
        <f t="shared" si="23"/>
        <v>177517.6</v>
      </c>
    </row>
    <row r="187" spans="1:15" s="8" customFormat="1" ht="15.75" x14ac:dyDescent="0.25">
      <c r="A187" s="113" t="s">
        <v>415</v>
      </c>
      <c r="B187" s="102">
        <v>44193</v>
      </c>
      <c r="C187" s="9" t="s">
        <v>674</v>
      </c>
      <c r="D187" s="56">
        <v>1</v>
      </c>
      <c r="E187" s="13">
        <v>170.69</v>
      </c>
      <c r="F187" s="50">
        <f t="shared" si="24"/>
        <v>170.69</v>
      </c>
      <c r="G187" s="103"/>
      <c r="H187" s="103"/>
      <c r="I187" s="104"/>
      <c r="J187" s="103"/>
      <c r="K187" s="103"/>
      <c r="L187" s="103">
        <f t="shared" si="25"/>
        <v>1</v>
      </c>
      <c r="M187" s="103"/>
      <c r="N187" s="103" t="s">
        <v>947</v>
      </c>
      <c r="O187" s="104">
        <f t="shared" si="23"/>
        <v>170.69</v>
      </c>
    </row>
    <row r="188" spans="1:15" s="8" customFormat="1" ht="15.75" x14ac:dyDescent="0.25">
      <c r="A188" s="113" t="s">
        <v>416</v>
      </c>
      <c r="B188" s="102">
        <v>44193</v>
      </c>
      <c r="C188" s="9" t="s">
        <v>675</v>
      </c>
      <c r="D188" s="30">
        <v>300</v>
      </c>
      <c r="E188" s="13">
        <v>6.5</v>
      </c>
      <c r="F188" s="50">
        <f t="shared" si="24"/>
        <v>1950</v>
      </c>
      <c r="G188" s="103"/>
      <c r="H188" s="103"/>
      <c r="I188" s="104"/>
      <c r="J188" s="103"/>
      <c r="K188" s="103"/>
      <c r="L188" s="103">
        <f t="shared" si="25"/>
        <v>300</v>
      </c>
      <c r="M188" s="103"/>
      <c r="N188" s="103" t="s">
        <v>947</v>
      </c>
      <c r="O188" s="104">
        <f t="shared" si="23"/>
        <v>1950</v>
      </c>
    </row>
    <row r="189" spans="1:15" s="8" customFormat="1" ht="15.75" x14ac:dyDescent="0.25">
      <c r="A189" s="113" t="s">
        <v>417</v>
      </c>
      <c r="B189" s="102">
        <v>44193</v>
      </c>
      <c r="C189" s="9" t="s">
        <v>676</v>
      </c>
      <c r="D189" s="30">
        <v>2</v>
      </c>
      <c r="E189" s="13">
        <v>3.5</v>
      </c>
      <c r="F189" s="50">
        <f t="shared" si="24"/>
        <v>7</v>
      </c>
      <c r="G189" s="103"/>
      <c r="H189" s="103"/>
      <c r="I189" s="104"/>
      <c r="J189" s="103"/>
      <c r="K189" s="103"/>
      <c r="L189" s="103">
        <f t="shared" si="25"/>
        <v>2</v>
      </c>
      <c r="M189" s="103"/>
      <c r="N189" s="103" t="s">
        <v>947</v>
      </c>
      <c r="O189" s="104">
        <f t="shared" si="23"/>
        <v>7</v>
      </c>
    </row>
    <row r="190" spans="1:15" s="8" customFormat="1" ht="15.75" x14ac:dyDescent="0.25">
      <c r="A190" s="113" t="s">
        <v>418</v>
      </c>
      <c r="B190" s="102">
        <v>44193</v>
      </c>
      <c r="C190" s="26" t="s">
        <v>678</v>
      </c>
      <c r="D190" s="30">
        <v>5</v>
      </c>
      <c r="E190" s="13">
        <v>5000</v>
      </c>
      <c r="F190" s="50">
        <f t="shared" si="24"/>
        <v>25000</v>
      </c>
      <c r="G190" s="103"/>
      <c r="H190" s="103"/>
      <c r="I190" s="104"/>
      <c r="J190" s="103"/>
      <c r="K190" s="103"/>
      <c r="L190" s="103">
        <f t="shared" si="25"/>
        <v>5</v>
      </c>
      <c r="M190" s="103"/>
      <c r="N190" s="103" t="s">
        <v>946</v>
      </c>
      <c r="O190" s="104">
        <f t="shared" si="23"/>
        <v>25000</v>
      </c>
    </row>
    <row r="191" spans="1:15" s="8" customFormat="1" ht="15.75" x14ac:dyDescent="0.25">
      <c r="A191" s="113" t="s">
        <v>419</v>
      </c>
      <c r="B191" s="102">
        <v>44193</v>
      </c>
      <c r="C191" s="26" t="s">
        <v>677</v>
      </c>
      <c r="D191" s="30">
        <v>2</v>
      </c>
      <c r="E191" s="13">
        <v>10800</v>
      </c>
      <c r="F191" s="50">
        <f t="shared" si="24"/>
        <v>21600</v>
      </c>
      <c r="G191" s="103"/>
      <c r="H191" s="103"/>
      <c r="I191" s="104"/>
      <c r="J191" s="103"/>
      <c r="K191" s="103"/>
      <c r="L191" s="103">
        <f t="shared" si="25"/>
        <v>2</v>
      </c>
      <c r="M191" s="103"/>
      <c r="N191" s="103" t="s">
        <v>946</v>
      </c>
      <c r="O191" s="104">
        <f>+E191*L191</f>
        <v>21600</v>
      </c>
    </row>
    <row r="192" spans="1:15" s="8" customFormat="1" ht="15.75" x14ac:dyDescent="0.25">
      <c r="A192" s="113" t="s">
        <v>420</v>
      </c>
      <c r="B192" s="102">
        <v>44193</v>
      </c>
      <c r="C192" s="9" t="s">
        <v>679</v>
      </c>
      <c r="D192" s="38">
        <v>29</v>
      </c>
      <c r="E192" s="13">
        <v>33</v>
      </c>
      <c r="F192" s="50">
        <f t="shared" si="24"/>
        <v>957</v>
      </c>
      <c r="G192" s="103"/>
      <c r="H192" s="103"/>
      <c r="I192" s="104"/>
      <c r="J192" s="103"/>
      <c r="K192" s="103"/>
      <c r="L192" s="103">
        <f t="shared" si="25"/>
        <v>29</v>
      </c>
      <c r="M192" s="103"/>
      <c r="N192" s="103" t="s">
        <v>947</v>
      </c>
      <c r="O192" s="104">
        <f t="shared" si="23"/>
        <v>957</v>
      </c>
    </row>
    <row r="193" spans="1:15" s="8" customFormat="1" ht="15.75" x14ac:dyDescent="0.25">
      <c r="A193" s="113" t="s">
        <v>421</v>
      </c>
      <c r="B193" s="102">
        <v>44193</v>
      </c>
      <c r="C193" s="9" t="s">
        <v>1035</v>
      </c>
      <c r="D193" s="30">
        <f>8*12</f>
        <v>96</v>
      </c>
      <c r="E193" s="13">
        <v>15</v>
      </c>
      <c r="F193" s="50">
        <f t="shared" si="24"/>
        <v>1440</v>
      </c>
      <c r="G193" s="103"/>
      <c r="H193" s="103"/>
      <c r="I193" s="104"/>
      <c r="J193" s="103"/>
      <c r="K193" s="103">
        <v>12</v>
      </c>
      <c r="L193" s="103">
        <f t="shared" si="25"/>
        <v>84</v>
      </c>
      <c r="M193" s="103"/>
      <c r="N193" s="103" t="s">
        <v>947</v>
      </c>
      <c r="O193" s="104">
        <f>+L193*E193</f>
        <v>1260</v>
      </c>
    </row>
    <row r="194" spans="1:15" s="8" customFormat="1" ht="15.75" x14ac:dyDescent="0.25">
      <c r="A194" s="113" t="s">
        <v>422</v>
      </c>
      <c r="B194" s="102">
        <v>44547</v>
      </c>
      <c r="C194" s="9" t="s">
        <v>777</v>
      </c>
      <c r="D194" s="30">
        <v>27</v>
      </c>
      <c r="E194" s="13">
        <v>8.34</v>
      </c>
      <c r="F194" s="50">
        <f t="shared" si="24"/>
        <v>225.18</v>
      </c>
      <c r="G194" s="103"/>
      <c r="H194" s="103"/>
      <c r="I194" s="104"/>
      <c r="J194" s="103"/>
      <c r="K194" s="103"/>
      <c r="L194" s="103">
        <f t="shared" si="25"/>
        <v>27</v>
      </c>
      <c r="M194" s="103"/>
      <c r="N194" s="103" t="s">
        <v>947</v>
      </c>
      <c r="O194" s="104">
        <f t="shared" si="23"/>
        <v>225.18</v>
      </c>
    </row>
    <row r="195" spans="1:15" s="8" customFormat="1" ht="15.75" x14ac:dyDescent="0.25">
      <c r="A195" s="113" t="s">
        <v>423</v>
      </c>
      <c r="B195" s="102">
        <v>44193</v>
      </c>
      <c r="C195" s="9" t="s">
        <v>778</v>
      </c>
      <c r="D195" s="30">
        <v>12</v>
      </c>
      <c r="E195" s="13">
        <v>8.34</v>
      </c>
      <c r="F195" s="50">
        <f t="shared" si="24"/>
        <v>100.08</v>
      </c>
      <c r="G195" s="103"/>
      <c r="H195" s="103"/>
      <c r="I195" s="104"/>
      <c r="J195" s="103"/>
      <c r="K195" s="103"/>
      <c r="L195" s="103">
        <f t="shared" si="25"/>
        <v>12</v>
      </c>
      <c r="M195" s="103"/>
      <c r="N195" s="103" t="s">
        <v>947</v>
      </c>
      <c r="O195" s="104">
        <f t="shared" si="23"/>
        <v>100.08</v>
      </c>
    </row>
    <row r="196" spans="1:15" s="8" customFormat="1" ht="15.75" x14ac:dyDescent="0.25">
      <c r="A196" s="113" t="s">
        <v>424</v>
      </c>
      <c r="B196" s="102">
        <v>44193</v>
      </c>
      <c r="C196" s="9" t="s">
        <v>681</v>
      </c>
      <c r="D196" s="30">
        <v>139</v>
      </c>
      <c r="E196" s="13">
        <v>5.6</v>
      </c>
      <c r="F196" s="50">
        <f t="shared" si="24"/>
        <v>778.4</v>
      </c>
      <c r="G196" s="103"/>
      <c r="H196" s="103"/>
      <c r="I196" s="104"/>
      <c r="J196" s="103"/>
      <c r="K196" s="103"/>
      <c r="L196" s="103">
        <f t="shared" si="25"/>
        <v>139</v>
      </c>
      <c r="M196" s="103"/>
      <c r="N196" s="103" t="s">
        <v>947</v>
      </c>
      <c r="O196" s="104">
        <f>+E196*L196</f>
        <v>778.4</v>
      </c>
    </row>
    <row r="197" spans="1:15" s="92" customFormat="1" x14ac:dyDescent="0.3">
      <c r="A197" s="113" t="s">
        <v>425</v>
      </c>
      <c r="B197" s="102">
        <v>44193</v>
      </c>
      <c r="C197" s="9" t="s">
        <v>684</v>
      </c>
      <c r="D197" s="30">
        <v>79</v>
      </c>
      <c r="E197" s="13">
        <v>160</v>
      </c>
      <c r="F197" s="50">
        <f t="shared" si="24"/>
        <v>12640</v>
      </c>
      <c r="G197" s="103"/>
      <c r="H197" s="103"/>
      <c r="I197" s="104"/>
      <c r="J197" s="103"/>
      <c r="K197" s="103"/>
      <c r="L197" s="103">
        <f t="shared" si="25"/>
        <v>79</v>
      </c>
      <c r="M197" s="103"/>
      <c r="N197" s="103" t="s">
        <v>945</v>
      </c>
      <c r="O197" s="104">
        <f t="shared" si="23"/>
        <v>12640</v>
      </c>
    </row>
    <row r="198" spans="1:15" s="105" customFormat="1" ht="15.75" x14ac:dyDescent="0.25">
      <c r="A198" s="113" t="s">
        <v>426</v>
      </c>
      <c r="B198" s="102">
        <v>44193</v>
      </c>
      <c r="C198" s="9" t="s">
        <v>787</v>
      </c>
      <c r="D198" s="30">
        <v>11</v>
      </c>
      <c r="E198" s="13">
        <v>35</v>
      </c>
      <c r="F198" s="50">
        <f t="shared" si="24"/>
        <v>385</v>
      </c>
      <c r="G198" s="107">
        <v>44852</v>
      </c>
      <c r="H198" s="103">
        <v>30</v>
      </c>
      <c r="I198" s="104">
        <v>38.65</v>
      </c>
      <c r="J198" s="103">
        <f>+I198*H198</f>
        <v>1159.5</v>
      </c>
      <c r="K198" s="103"/>
      <c r="L198" s="103">
        <f t="shared" si="25"/>
        <v>41</v>
      </c>
      <c r="M198" s="103" t="s">
        <v>1037</v>
      </c>
      <c r="N198" s="103" t="s">
        <v>947</v>
      </c>
      <c r="O198" s="104">
        <f>+L198*I198</f>
        <v>1584.6499999999999</v>
      </c>
    </row>
    <row r="199" spans="1:15" s="8" customFormat="1" ht="15.75" x14ac:dyDescent="0.25">
      <c r="A199" s="113" t="s">
        <v>427</v>
      </c>
      <c r="B199" s="102"/>
      <c r="C199" s="25" t="s">
        <v>782</v>
      </c>
      <c r="D199" s="38">
        <v>38</v>
      </c>
      <c r="E199" s="13"/>
      <c r="F199" s="50"/>
      <c r="G199" s="103"/>
      <c r="H199" s="103"/>
      <c r="I199" s="104"/>
      <c r="J199" s="103"/>
      <c r="K199" s="103"/>
      <c r="L199" s="103">
        <f t="shared" si="25"/>
        <v>38</v>
      </c>
      <c r="M199" s="103"/>
      <c r="N199" s="103" t="s">
        <v>947</v>
      </c>
      <c r="O199" s="104">
        <f t="shared" si="23"/>
        <v>0</v>
      </c>
    </row>
    <row r="200" spans="1:15" s="105" customFormat="1" ht="15.75" x14ac:dyDescent="0.25">
      <c r="A200" s="113" t="s">
        <v>428</v>
      </c>
      <c r="B200" s="106" t="s">
        <v>106</v>
      </c>
      <c r="C200" s="9" t="s">
        <v>780</v>
      </c>
      <c r="D200" s="30">
        <v>2</v>
      </c>
      <c r="E200" s="51">
        <v>325</v>
      </c>
      <c r="F200" s="50">
        <f>D200*E200</f>
        <v>650</v>
      </c>
      <c r="G200" s="107">
        <v>44852</v>
      </c>
      <c r="H200" s="103">
        <v>10</v>
      </c>
      <c r="I200" s="104">
        <v>310.33999999999997</v>
      </c>
      <c r="J200" s="104">
        <f>+I200*H200</f>
        <v>3103.3999999999996</v>
      </c>
      <c r="K200" s="103"/>
      <c r="L200" s="103">
        <f t="shared" si="25"/>
        <v>12</v>
      </c>
      <c r="M200" s="103" t="s">
        <v>1037</v>
      </c>
      <c r="N200" s="103" t="s">
        <v>947</v>
      </c>
      <c r="O200" s="104">
        <f>+L200*I200</f>
        <v>3724.08</v>
      </c>
    </row>
    <row r="201" spans="1:15" s="8" customFormat="1" ht="15.75" x14ac:dyDescent="0.25">
      <c r="A201" s="113" t="s">
        <v>429</v>
      </c>
      <c r="B201" s="102"/>
      <c r="C201" s="25" t="s">
        <v>783</v>
      </c>
      <c r="D201" s="38">
        <v>15</v>
      </c>
      <c r="E201" s="13"/>
      <c r="F201" s="50"/>
      <c r="G201" s="103"/>
      <c r="H201" s="103"/>
      <c r="I201" s="104"/>
      <c r="J201" s="103"/>
      <c r="K201" s="103"/>
      <c r="L201" s="103">
        <f t="shared" si="25"/>
        <v>15</v>
      </c>
      <c r="M201" s="103"/>
      <c r="N201" s="103" t="s">
        <v>947</v>
      </c>
      <c r="O201" s="104">
        <f t="shared" si="23"/>
        <v>0</v>
      </c>
    </row>
    <row r="202" spans="1:15" s="8" customFormat="1" ht="15.75" x14ac:dyDescent="0.25">
      <c r="A202" s="113" t="s">
        <v>430</v>
      </c>
      <c r="B202" s="102">
        <v>44193</v>
      </c>
      <c r="C202" s="9" t="s">
        <v>687</v>
      </c>
      <c r="D202" s="32">
        <v>2</v>
      </c>
      <c r="E202" s="13">
        <v>175</v>
      </c>
      <c r="F202" s="50">
        <f t="shared" ref="F202:F260" si="26">D202*E202</f>
        <v>350</v>
      </c>
      <c r="G202" s="103"/>
      <c r="H202" s="103"/>
      <c r="I202" s="104"/>
      <c r="J202" s="103"/>
      <c r="K202" s="103"/>
      <c r="L202" s="103">
        <f t="shared" si="25"/>
        <v>2</v>
      </c>
      <c r="M202" s="103"/>
      <c r="N202" s="103" t="s">
        <v>947</v>
      </c>
      <c r="O202" s="104">
        <f t="shared" si="23"/>
        <v>350</v>
      </c>
    </row>
    <row r="203" spans="1:15" s="8" customFormat="1" ht="15.75" x14ac:dyDescent="0.25">
      <c r="A203" s="113" t="s">
        <v>431</v>
      </c>
      <c r="B203" s="102">
        <v>44193</v>
      </c>
      <c r="C203" s="26" t="s">
        <v>695</v>
      </c>
      <c r="D203" s="38">
        <v>1</v>
      </c>
      <c r="E203" s="13">
        <v>270.55</v>
      </c>
      <c r="F203" s="50">
        <f t="shared" si="26"/>
        <v>270.55</v>
      </c>
      <c r="G203" s="103"/>
      <c r="H203" s="103"/>
      <c r="I203" s="104"/>
      <c r="J203" s="103"/>
      <c r="K203" s="103"/>
      <c r="L203" s="103">
        <f t="shared" si="25"/>
        <v>1</v>
      </c>
      <c r="M203" s="103"/>
      <c r="N203" s="103" t="s">
        <v>946</v>
      </c>
      <c r="O203" s="104">
        <f t="shared" si="23"/>
        <v>270.55</v>
      </c>
    </row>
    <row r="204" spans="1:15" s="8" customFormat="1" ht="15.75" x14ac:dyDescent="0.25">
      <c r="A204" s="113" t="s">
        <v>432</v>
      </c>
      <c r="B204" s="102">
        <v>44193</v>
      </c>
      <c r="C204" s="25" t="s">
        <v>688</v>
      </c>
      <c r="D204" s="58">
        <v>3</v>
      </c>
      <c r="E204" s="13">
        <v>79.8</v>
      </c>
      <c r="F204" s="50">
        <f t="shared" si="26"/>
        <v>239.39999999999998</v>
      </c>
      <c r="G204" s="103"/>
      <c r="H204" s="103"/>
      <c r="I204" s="104"/>
      <c r="J204" s="103"/>
      <c r="K204" s="103"/>
      <c r="L204" s="103">
        <f t="shared" si="25"/>
        <v>3</v>
      </c>
      <c r="M204" s="103"/>
      <c r="N204" s="103" t="s">
        <v>946</v>
      </c>
      <c r="O204" s="104">
        <f t="shared" si="23"/>
        <v>239.39999999999998</v>
      </c>
    </row>
    <row r="205" spans="1:15" s="8" customFormat="1" ht="15.75" x14ac:dyDescent="0.25">
      <c r="A205" s="113" t="s">
        <v>433</v>
      </c>
      <c r="B205" s="102">
        <v>44193</v>
      </c>
      <c r="C205" s="25" t="s">
        <v>689</v>
      </c>
      <c r="D205" s="55">
        <v>7</v>
      </c>
      <c r="E205" s="13">
        <v>79.8</v>
      </c>
      <c r="F205" s="50">
        <f t="shared" si="26"/>
        <v>558.6</v>
      </c>
      <c r="G205" s="103"/>
      <c r="H205" s="103"/>
      <c r="I205" s="104"/>
      <c r="J205" s="103"/>
      <c r="K205" s="103"/>
      <c r="L205" s="103">
        <f t="shared" si="25"/>
        <v>7</v>
      </c>
      <c r="M205" s="103"/>
      <c r="N205" s="103" t="s">
        <v>946</v>
      </c>
      <c r="O205" s="104">
        <f t="shared" si="23"/>
        <v>558.6</v>
      </c>
    </row>
    <row r="206" spans="1:15" s="8" customFormat="1" ht="15.75" x14ac:dyDescent="0.25">
      <c r="A206" s="113" t="s">
        <v>434</v>
      </c>
      <c r="B206" s="102">
        <v>44193</v>
      </c>
      <c r="C206" s="25" t="s">
        <v>690</v>
      </c>
      <c r="D206" s="57">
        <v>7</v>
      </c>
      <c r="E206" s="13">
        <v>62.93</v>
      </c>
      <c r="F206" s="50">
        <f t="shared" si="26"/>
        <v>440.51</v>
      </c>
      <c r="G206" s="103"/>
      <c r="H206" s="103"/>
      <c r="I206" s="104"/>
      <c r="J206" s="103"/>
      <c r="K206" s="103"/>
      <c r="L206" s="103">
        <f t="shared" si="25"/>
        <v>7</v>
      </c>
      <c r="M206" s="103"/>
      <c r="N206" s="103" t="s">
        <v>946</v>
      </c>
      <c r="O206" s="104">
        <f t="shared" si="23"/>
        <v>440.51</v>
      </c>
    </row>
    <row r="207" spans="1:15" s="8" customFormat="1" ht="15.75" x14ac:dyDescent="0.25">
      <c r="A207" s="113" t="s">
        <v>435</v>
      </c>
      <c r="B207" s="102">
        <v>44193</v>
      </c>
      <c r="C207" s="26" t="s">
        <v>691</v>
      </c>
      <c r="D207" s="57">
        <v>21</v>
      </c>
      <c r="E207" s="13">
        <v>165</v>
      </c>
      <c r="F207" s="50">
        <f t="shared" si="26"/>
        <v>3465</v>
      </c>
      <c r="G207" s="103"/>
      <c r="H207" s="103"/>
      <c r="I207" s="104"/>
      <c r="J207" s="103"/>
      <c r="K207" s="103"/>
      <c r="L207" s="103">
        <f t="shared" si="25"/>
        <v>21</v>
      </c>
      <c r="M207" s="103"/>
      <c r="N207" s="103" t="s">
        <v>946</v>
      </c>
      <c r="O207" s="104">
        <f t="shared" si="23"/>
        <v>3465</v>
      </c>
    </row>
    <row r="208" spans="1:15" s="8" customFormat="1" ht="15.75" x14ac:dyDescent="0.25">
      <c r="A208" s="113" t="s">
        <v>436</v>
      </c>
      <c r="B208" s="102">
        <v>44193</v>
      </c>
      <c r="C208" s="26" t="s">
        <v>791</v>
      </c>
      <c r="D208" s="38">
        <v>18</v>
      </c>
      <c r="E208" s="13">
        <v>52</v>
      </c>
      <c r="F208" s="50">
        <f t="shared" si="26"/>
        <v>936</v>
      </c>
      <c r="G208" s="103"/>
      <c r="H208" s="103"/>
      <c r="I208" s="104"/>
      <c r="J208" s="103"/>
      <c r="K208" s="103"/>
      <c r="L208" s="103">
        <f t="shared" si="25"/>
        <v>18</v>
      </c>
      <c r="M208" s="103"/>
      <c r="N208" s="103" t="s">
        <v>946</v>
      </c>
      <c r="O208" s="104">
        <f t="shared" si="23"/>
        <v>936</v>
      </c>
    </row>
    <row r="209" spans="1:15" s="8" customFormat="1" ht="15.75" x14ac:dyDescent="0.25">
      <c r="A209" s="113" t="s">
        <v>437</v>
      </c>
      <c r="B209" s="102">
        <v>44193</v>
      </c>
      <c r="C209" s="26" t="s">
        <v>790</v>
      </c>
      <c r="D209" s="38">
        <v>11</v>
      </c>
      <c r="E209" s="13">
        <v>79.8</v>
      </c>
      <c r="F209" s="50">
        <f t="shared" si="26"/>
        <v>877.8</v>
      </c>
      <c r="G209" s="103"/>
      <c r="H209" s="103"/>
      <c r="I209" s="104"/>
      <c r="J209" s="103"/>
      <c r="K209" s="103"/>
      <c r="L209" s="103">
        <f t="shared" si="25"/>
        <v>11</v>
      </c>
      <c r="M209" s="103"/>
      <c r="N209" s="103" t="s">
        <v>946</v>
      </c>
      <c r="O209" s="104">
        <f>+E209*L209</f>
        <v>877.8</v>
      </c>
    </row>
    <row r="210" spans="1:15" s="8" customFormat="1" ht="15.75" x14ac:dyDescent="0.25">
      <c r="A210" s="113" t="s">
        <v>438</v>
      </c>
      <c r="B210" s="102">
        <v>44193</v>
      </c>
      <c r="C210" s="26" t="s">
        <v>693</v>
      </c>
      <c r="D210" s="38">
        <v>1</v>
      </c>
      <c r="E210" s="13">
        <v>2075</v>
      </c>
      <c r="F210" s="50">
        <f t="shared" si="26"/>
        <v>2075</v>
      </c>
      <c r="G210" s="103"/>
      <c r="H210" s="103"/>
      <c r="I210" s="104"/>
      <c r="J210" s="103"/>
      <c r="K210" s="103"/>
      <c r="L210" s="103">
        <f t="shared" si="25"/>
        <v>1</v>
      </c>
      <c r="M210" s="103"/>
      <c r="N210" s="103" t="s">
        <v>946</v>
      </c>
      <c r="O210" s="104">
        <f t="shared" si="23"/>
        <v>2075</v>
      </c>
    </row>
    <row r="211" spans="1:15" s="8" customFormat="1" ht="15.75" x14ac:dyDescent="0.25">
      <c r="A211" s="113" t="s">
        <v>439</v>
      </c>
      <c r="B211" s="102">
        <v>44193</v>
      </c>
      <c r="C211" s="26" t="s">
        <v>692</v>
      </c>
      <c r="D211" s="57">
        <v>18</v>
      </c>
      <c r="E211" s="13">
        <v>165</v>
      </c>
      <c r="F211" s="50">
        <f t="shared" si="26"/>
        <v>2970</v>
      </c>
      <c r="G211" s="103"/>
      <c r="H211" s="103"/>
      <c r="I211" s="104"/>
      <c r="J211" s="103"/>
      <c r="K211" s="103"/>
      <c r="L211" s="103">
        <f t="shared" si="25"/>
        <v>18</v>
      </c>
      <c r="M211" s="103"/>
      <c r="N211" s="103" t="s">
        <v>946</v>
      </c>
      <c r="O211" s="104">
        <f t="shared" si="23"/>
        <v>2970</v>
      </c>
    </row>
    <row r="212" spans="1:15" s="8" customFormat="1" ht="15.75" x14ac:dyDescent="0.25">
      <c r="A212" s="113" t="s">
        <v>440</v>
      </c>
      <c r="B212" s="102">
        <v>44193</v>
      </c>
      <c r="C212" s="26" t="s">
        <v>697</v>
      </c>
      <c r="D212" s="38">
        <v>20</v>
      </c>
      <c r="E212" s="13">
        <v>79.8</v>
      </c>
      <c r="F212" s="50">
        <f t="shared" si="26"/>
        <v>1596</v>
      </c>
      <c r="G212" s="103"/>
      <c r="H212" s="103"/>
      <c r="I212" s="104"/>
      <c r="J212" s="103"/>
      <c r="K212" s="103"/>
      <c r="L212" s="103">
        <f t="shared" si="25"/>
        <v>20</v>
      </c>
      <c r="M212" s="103"/>
      <c r="N212" s="103" t="s">
        <v>946</v>
      </c>
      <c r="O212" s="104">
        <f t="shared" si="23"/>
        <v>1596</v>
      </c>
    </row>
    <row r="213" spans="1:15" s="8" customFormat="1" ht="15.75" x14ac:dyDescent="0.25">
      <c r="A213" s="113" t="s">
        <v>441</v>
      </c>
      <c r="B213" s="102">
        <v>44193</v>
      </c>
      <c r="C213" s="26" t="s">
        <v>696</v>
      </c>
      <c r="D213" s="38">
        <v>9</v>
      </c>
      <c r="E213" s="13">
        <v>79.8</v>
      </c>
      <c r="F213" s="50">
        <f t="shared" si="26"/>
        <v>718.19999999999993</v>
      </c>
      <c r="G213" s="103"/>
      <c r="H213" s="103"/>
      <c r="I213" s="104"/>
      <c r="J213" s="103"/>
      <c r="K213" s="103">
        <v>1</v>
      </c>
      <c r="L213" s="103">
        <f t="shared" si="25"/>
        <v>8</v>
      </c>
      <c r="M213" s="103"/>
      <c r="N213" s="103" t="s">
        <v>946</v>
      </c>
      <c r="O213" s="104">
        <f t="shared" si="23"/>
        <v>638.4</v>
      </c>
    </row>
    <row r="214" spans="1:15" s="8" customFormat="1" ht="15.75" x14ac:dyDescent="0.25">
      <c r="A214" s="113" t="s">
        <v>442</v>
      </c>
      <c r="B214" s="102"/>
      <c r="C214" s="26" t="s">
        <v>808</v>
      </c>
      <c r="D214" s="38">
        <v>9</v>
      </c>
      <c r="E214" s="13">
        <v>352</v>
      </c>
      <c r="F214" s="50">
        <f t="shared" si="26"/>
        <v>3168</v>
      </c>
      <c r="G214" s="103"/>
      <c r="H214" s="103"/>
      <c r="I214" s="104"/>
      <c r="J214" s="103"/>
      <c r="K214" s="103"/>
      <c r="L214" s="103">
        <f t="shared" si="25"/>
        <v>9</v>
      </c>
      <c r="M214" s="103"/>
      <c r="N214" s="103" t="s">
        <v>946</v>
      </c>
      <c r="O214" s="104">
        <f t="shared" si="23"/>
        <v>3168</v>
      </c>
    </row>
    <row r="215" spans="1:15" s="92" customFormat="1" x14ac:dyDescent="0.3">
      <c r="A215" s="113" t="s">
        <v>443</v>
      </c>
      <c r="B215" s="102">
        <v>44456</v>
      </c>
      <c r="C215" s="26" t="s">
        <v>698</v>
      </c>
      <c r="D215" s="38">
        <v>3</v>
      </c>
      <c r="E215" s="13">
        <v>600</v>
      </c>
      <c r="F215" s="50">
        <f t="shared" si="26"/>
        <v>1800</v>
      </c>
      <c r="G215" s="103"/>
      <c r="H215" s="103"/>
      <c r="I215" s="104"/>
      <c r="J215" s="103"/>
      <c r="K215" s="103"/>
      <c r="L215" s="103">
        <f t="shared" si="25"/>
        <v>3</v>
      </c>
      <c r="M215" s="103"/>
      <c r="N215" s="103" t="s">
        <v>945</v>
      </c>
      <c r="O215" s="104">
        <f t="shared" si="23"/>
        <v>1800</v>
      </c>
    </row>
    <row r="216" spans="1:15" s="92" customFormat="1" x14ac:dyDescent="0.3">
      <c r="A216" s="113" t="s">
        <v>444</v>
      </c>
      <c r="B216" s="102">
        <v>44193</v>
      </c>
      <c r="C216" s="26" t="s">
        <v>699</v>
      </c>
      <c r="D216" s="38">
        <v>15</v>
      </c>
      <c r="E216" s="13">
        <v>140</v>
      </c>
      <c r="F216" s="50">
        <f t="shared" si="26"/>
        <v>2100</v>
      </c>
      <c r="G216" s="103"/>
      <c r="H216" s="103"/>
      <c r="I216" s="104"/>
      <c r="J216" s="103"/>
      <c r="K216" s="103"/>
      <c r="L216" s="103">
        <f t="shared" si="25"/>
        <v>15</v>
      </c>
      <c r="M216" s="103"/>
      <c r="N216" s="103" t="s">
        <v>945</v>
      </c>
      <c r="O216" s="104">
        <f t="shared" si="23"/>
        <v>2100</v>
      </c>
    </row>
    <row r="217" spans="1:15" s="8" customFormat="1" ht="15.75" x14ac:dyDescent="0.25">
      <c r="A217" s="113" t="s">
        <v>445</v>
      </c>
      <c r="B217" s="102">
        <v>44193</v>
      </c>
      <c r="C217" s="9" t="s">
        <v>706</v>
      </c>
      <c r="D217" s="48">
        <v>1</v>
      </c>
      <c r="E217" s="13">
        <v>5250</v>
      </c>
      <c r="F217" s="50">
        <f t="shared" si="26"/>
        <v>5250</v>
      </c>
      <c r="G217" s="103"/>
      <c r="H217" s="103"/>
      <c r="I217" s="104"/>
      <c r="J217" s="103"/>
      <c r="K217" s="103"/>
      <c r="L217" s="103">
        <f t="shared" si="25"/>
        <v>1</v>
      </c>
      <c r="M217" s="103"/>
      <c r="N217" s="103" t="s">
        <v>947</v>
      </c>
      <c r="O217" s="104">
        <f>+E217*L217</f>
        <v>5250</v>
      </c>
    </row>
    <row r="218" spans="1:15" s="8" customFormat="1" ht="15.75" x14ac:dyDescent="0.25">
      <c r="A218" s="113" t="s">
        <v>446</v>
      </c>
      <c r="B218" s="102">
        <v>44193</v>
      </c>
      <c r="C218" s="9" t="s">
        <v>700</v>
      </c>
      <c r="D218" s="48">
        <f>9+12+12+24</f>
        <v>57</v>
      </c>
      <c r="E218" s="13">
        <v>12.93</v>
      </c>
      <c r="F218" s="50">
        <f t="shared" si="26"/>
        <v>737.01</v>
      </c>
      <c r="G218" s="103"/>
      <c r="H218" s="103"/>
      <c r="I218" s="104"/>
      <c r="J218" s="103"/>
      <c r="K218" s="103"/>
      <c r="L218" s="103">
        <f t="shared" si="25"/>
        <v>57</v>
      </c>
      <c r="M218" s="103"/>
      <c r="N218" s="103" t="s">
        <v>947</v>
      </c>
      <c r="O218" s="104">
        <f t="shared" si="23"/>
        <v>737.01</v>
      </c>
    </row>
    <row r="219" spans="1:15" s="8" customFormat="1" ht="15.75" x14ac:dyDescent="0.25">
      <c r="A219" s="113" t="s">
        <v>447</v>
      </c>
      <c r="B219" s="102">
        <v>44193</v>
      </c>
      <c r="C219" s="9" t="s">
        <v>701</v>
      </c>
      <c r="D219" s="48">
        <f>16+12+12</f>
        <v>40</v>
      </c>
      <c r="E219" s="13">
        <v>14.37</v>
      </c>
      <c r="F219" s="50">
        <f t="shared" si="26"/>
        <v>574.79999999999995</v>
      </c>
      <c r="G219" s="103"/>
      <c r="H219" s="103"/>
      <c r="I219" s="104"/>
      <c r="J219" s="103"/>
      <c r="K219" s="103"/>
      <c r="L219" s="103">
        <f t="shared" si="25"/>
        <v>40</v>
      </c>
      <c r="M219" s="103"/>
      <c r="N219" s="103" t="s">
        <v>947</v>
      </c>
      <c r="O219" s="104">
        <f t="shared" si="23"/>
        <v>574.79999999999995</v>
      </c>
    </row>
    <row r="220" spans="1:15" s="8" customFormat="1" ht="15.75" x14ac:dyDescent="0.25">
      <c r="A220" s="113" t="s">
        <v>448</v>
      </c>
      <c r="B220" s="102">
        <v>44193</v>
      </c>
      <c r="C220" s="9" t="s">
        <v>702</v>
      </c>
      <c r="D220" s="48">
        <v>6</v>
      </c>
      <c r="E220" s="13">
        <v>35</v>
      </c>
      <c r="F220" s="50">
        <f t="shared" si="26"/>
        <v>210</v>
      </c>
      <c r="G220" s="103"/>
      <c r="H220" s="103"/>
      <c r="I220" s="104"/>
      <c r="J220" s="103"/>
      <c r="K220" s="103"/>
      <c r="L220" s="103">
        <f t="shared" si="25"/>
        <v>6</v>
      </c>
      <c r="M220" s="103"/>
      <c r="N220" s="103" t="s">
        <v>947</v>
      </c>
      <c r="O220" s="104">
        <f t="shared" si="23"/>
        <v>210</v>
      </c>
    </row>
    <row r="221" spans="1:15" s="8" customFormat="1" ht="15.75" x14ac:dyDescent="0.25">
      <c r="A221" s="113" t="s">
        <v>449</v>
      </c>
      <c r="B221" s="102">
        <v>44193</v>
      </c>
      <c r="C221" s="9" t="s">
        <v>703</v>
      </c>
      <c r="D221" s="48"/>
      <c r="E221" s="13">
        <v>30</v>
      </c>
      <c r="F221" s="50">
        <f t="shared" si="26"/>
        <v>0</v>
      </c>
      <c r="G221" s="103"/>
      <c r="H221" s="103"/>
      <c r="I221" s="104"/>
      <c r="J221" s="103"/>
      <c r="K221" s="103"/>
      <c r="L221" s="103">
        <f t="shared" si="25"/>
        <v>0</v>
      </c>
      <c r="M221" s="103"/>
      <c r="N221" s="103" t="s">
        <v>947</v>
      </c>
      <c r="O221" s="104">
        <f t="shared" si="23"/>
        <v>0</v>
      </c>
    </row>
    <row r="222" spans="1:15" s="8" customFormat="1" ht="15.75" x14ac:dyDescent="0.25">
      <c r="A222" s="113" t="s">
        <v>450</v>
      </c>
      <c r="B222" s="102">
        <v>44193</v>
      </c>
      <c r="C222" s="9" t="s">
        <v>704</v>
      </c>
      <c r="D222" s="48">
        <v>1300</v>
      </c>
      <c r="E222" s="13">
        <v>2.6</v>
      </c>
      <c r="F222" s="50">
        <f t="shared" si="26"/>
        <v>3380</v>
      </c>
      <c r="G222" s="103"/>
      <c r="H222" s="103"/>
      <c r="I222" s="104"/>
      <c r="J222" s="103"/>
      <c r="K222" s="103"/>
      <c r="L222" s="103">
        <f t="shared" si="25"/>
        <v>1300</v>
      </c>
      <c r="M222" s="103"/>
      <c r="N222" s="103" t="s">
        <v>947</v>
      </c>
      <c r="O222" s="104">
        <f t="shared" si="23"/>
        <v>3380</v>
      </c>
    </row>
    <row r="223" spans="1:15" s="8" customFormat="1" ht="15.75" x14ac:dyDescent="0.25">
      <c r="A223" s="113" t="s">
        <v>451</v>
      </c>
      <c r="B223" s="102">
        <v>44193</v>
      </c>
      <c r="C223" s="9" t="s">
        <v>705</v>
      </c>
      <c r="D223" s="48">
        <v>1</v>
      </c>
      <c r="E223" s="13">
        <v>728.81</v>
      </c>
      <c r="F223" s="50">
        <f t="shared" si="26"/>
        <v>728.81</v>
      </c>
      <c r="G223" s="103"/>
      <c r="H223" s="103"/>
      <c r="I223" s="104"/>
      <c r="J223" s="103"/>
      <c r="K223" s="103"/>
      <c r="L223" s="103">
        <f t="shared" si="25"/>
        <v>1</v>
      </c>
      <c r="M223" s="103"/>
      <c r="N223" s="103" t="s">
        <v>947</v>
      </c>
      <c r="O223" s="104">
        <f t="shared" si="23"/>
        <v>728.81</v>
      </c>
    </row>
    <row r="224" spans="1:15" s="8" customFormat="1" ht="15.75" x14ac:dyDescent="0.25">
      <c r="A224" s="113" t="s">
        <v>452</v>
      </c>
      <c r="B224" s="102">
        <v>44193</v>
      </c>
      <c r="C224" s="9" t="s">
        <v>709</v>
      </c>
      <c r="D224" s="58">
        <v>2</v>
      </c>
      <c r="E224" s="13">
        <v>350</v>
      </c>
      <c r="F224" s="50">
        <f t="shared" si="26"/>
        <v>700</v>
      </c>
      <c r="G224" s="103"/>
      <c r="H224" s="103"/>
      <c r="I224" s="104"/>
      <c r="J224" s="103"/>
      <c r="K224" s="103"/>
      <c r="L224" s="103">
        <f t="shared" si="25"/>
        <v>2</v>
      </c>
      <c r="M224" s="103"/>
      <c r="N224" s="103" t="s">
        <v>947</v>
      </c>
      <c r="O224" s="104">
        <f t="shared" si="23"/>
        <v>700</v>
      </c>
    </row>
    <row r="225" spans="1:15" s="8" customFormat="1" ht="15.75" x14ac:dyDescent="0.25">
      <c r="A225" s="113" t="s">
        <v>453</v>
      </c>
      <c r="B225" s="102">
        <v>44193</v>
      </c>
      <c r="C225" s="9" t="s">
        <v>707</v>
      </c>
      <c r="D225" s="48">
        <v>5</v>
      </c>
      <c r="E225" s="13">
        <v>595</v>
      </c>
      <c r="F225" s="50">
        <f t="shared" si="26"/>
        <v>2975</v>
      </c>
      <c r="G225" s="103"/>
      <c r="H225" s="103"/>
      <c r="I225" s="104"/>
      <c r="J225" s="103"/>
      <c r="K225" s="103"/>
      <c r="L225" s="103">
        <f t="shared" si="25"/>
        <v>5</v>
      </c>
      <c r="M225" s="103"/>
      <c r="N225" s="103" t="s">
        <v>947</v>
      </c>
      <c r="O225" s="104">
        <f t="shared" si="23"/>
        <v>2975</v>
      </c>
    </row>
    <row r="226" spans="1:15" s="8" customFormat="1" ht="15.75" x14ac:dyDescent="0.25">
      <c r="A226" s="113" t="s">
        <v>454</v>
      </c>
      <c r="B226" s="102">
        <v>44193</v>
      </c>
      <c r="C226" s="9" t="s">
        <v>868</v>
      </c>
      <c r="D226" s="48">
        <v>2</v>
      </c>
      <c r="E226" s="13">
        <v>300</v>
      </c>
      <c r="F226" s="50">
        <f t="shared" si="26"/>
        <v>600</v>
      </c>
      <c r="G226" s="103"/>
      <c r="H226" s="103"/>
      <c r="I226" s="104"/>
      <c r="J226" s="103"/>
      <c r="K226" s="103"/>
      <c r="L226" s="103">
        <f t="shared" si="25"/>
        <v>2</v>
      </c>
      <c r="M226" s="103"/>
      <c r="N226" s="103" t="s">
        <v>947</v>
      </c>
      <c r="O226" s="104">
        <f t="shared" si="23"/>
        <v>600</v>
      </c>
    </row>
    <row r="227" spans="1:15" s="8" customFormat="1" ht="15.75" x14ac:dyDescent="0.25">
      <c r="A227" s="113" t="s">
        <v>455</v>
      </c>
      <c r="B227" s="102">
        <v>44193</v>
      </c>
      <c r="C227" s="26" t="s">
        <v>710</v>
      </c>
      <c r="D227" s="32">
        <v>0</v>
      </c>
      <c r="E227" s="13">
        <v>3950</v>
      </c>
      <c r="F227" s="50">
        <f t="shared" si="26"/>
        <v>0</v>
      </c>
      <c r="G227" s="103"/>
      <c r="H227" s="103"/>
      <c r="I227" s="104"/>
      <c r="J227" s="103"/>
      <c r="K227" s="103"/>
      <c r="L227" s="103">
        <f t="shared" si="25"/>
        <v>0</v>
      </c>
      <c r="M227" s="103"/>
      <c r="N227" s="103" t="s">
        <v>947</v>
      </c>
      <c r="O227" s="104">
        <f t="shared" si="23"/>
        <v>0</v>
      </c>
    </row>
    <row r="228" spans="1:15" s="8" customFormat="1" ht="15.75" x14ac:dyDescent="0.25">
      <c r="A228" s="113" t="s">
        <v>456</v>
      </c>
      <c r="B228" s="106" t="s">
        <v>108</v>
      </c>
      <c r="C228" s="26" t="s">
        <v>714</v>
      </c>
      <c r="D228" s="55">
        <v>6</v>
      </c>
      <c r="E228" s="51">
        <v>11000</v>
      </c>
      <c r="F228" s="50">
        <f t="shared" si="26"/>
        <v>66000</v>
      </c>
      <c r="G228" s="103"/>
      <c r="H228" s="103"/>
      <c r="I228" s="104"/>
      <c r="J228" s="103"/>
      <c r="K228" s="103"/>
      <c r="L228" s="103">
        <f t="shared" si="25"/>
        <v>6</v>
      </c>
      <c r="M228" s="103"/>
      <c r="N228" s="103" t="s">
        <v>947</v>
      </c>
      <c r="O228" s="104">
        <f t="shared" ref="O228:O236" si="27">+E228*L228</f>
        <v>66000</v>
      </c>
    </row>
    <row r="229" spans="1:15" s="8" customFormat="1" ht="15.75" x14ac:dyDescent="0.25">
      <c r="A229" s="113" t="s">
        <v>457</v>
      </c>
      <c r="B229" s="102">
        <v>44652</v>
      </c>
      <c r="C229" s="26" t="s">
        <v>856</v>
      </c>
      <c r="D229" s="38">
        <v>5</v>
      </c>
      <c r="E229" s="59">
        <v>1700</v>
      </c>
      <c r="F229" s="50">
        <f t="shared" si="26"/>
        <v>8500</v>
      </c>
      <c r="G229" s="103"/>
      <c r="H229" s="103"/>
      <c r="I229" s="104"/>
      <c r="J229" s="103"/>
      <c r="K229" s="103"/>
      <c r="L229" s="103">
        <f t="shared" si="25"/>
        <v>5</v>
      </c>
      <c r="M229" s="103"/>
      <c r="N229" s="103" t="s">
        <v>946</v>
      </c>
      <c r="O229" s="104">
        <f t="shared" si="27"/>
        <v>8500</v>
      </c>
    </row>
    <row r="230" spans="1:15" s="8" customFormat="1" ht="15.75" x14ac:dyDescent="0.25">
      <c r="A230" s="113" t="s">
        <v>458</v>
      </c>
      <c r="B230" s="102">
        <v>44193</v>
      </c>
      <c r="C230" s="26" t="s">
        <v>712</v>
      </c>
      <c r="D230" s="32">
        <v>0</v>
      </c>
      <c r="E230" s="13">
        <v>148.31</v>
      </c>
      <c r="F230" s="50">
        <f t="shared" si="26"/>
        <v>0</v>
      </c>
      <c r="G230" s="103"/>
      <c r="H230" s="103"/>
      <c r="I230" s="104"/>
      <c r="J230" s="103"/>
      <c r="K230" s="103"/>
      <c r="L230" s="103">
        <f t="shared" si="25"/>
        <v>0</v>
      </c>
      <c r="M230" s="103"/>
      <c r="N230" s="103" t="s">
        <v>946</v>
      </c>
      <c r="O230" s="104">
        <f t="shared" si="27"/>
        <v>0</v>
      </c>
    </row>
    <row r="231" spans="1:15" s="8" customFormat="1" ht="15.75" x14ac:dyDescent="0.25">
      <c r="A231" s="113" t="s">
        <v>459</v>
      </c>
      <c r="B231" s="102">
        <v>44193</v>
      </c>
      <c r="C231" s="26" t="s">
        <v>713</v>
      </c>
      <c r="D231" s="32">
        <v>0</v>
      </c>
      <c r="E231" s="13">
        <v>122.88</v>
      </c>
      <c r="F231" s="50">
        <f t="shared" si="26"/>
        <v>0</v>
      </c>
      <c r="G231" s="103"/>
      <c r="H231" s="103"/>
      <c r="I231" s="104"/>
      <c r="J231" s="103"/>
      <c r="K231" s="103"/>
      <c r="L231" s="103">
        <f t="shared" si="25"/>
        <v>0</v>
      </c>
      <c r="M231" s="103"/>
      <c r="N231" s="103" t="s">
        <v>946</v>
      </c>
      <c r="O231" s="104">
        <f t="shared" si="27"/>
        <v>0</v>
      </c>
    </row>
    <row r="232" spans="1:15" s="8" customFormat="1" ht="15.75" x14ac:dyDescent="0.25">
      <c r="A232" s="113" t="s">
        <v>460</v>
      </c>
      <c r="B232" s="102">
        <v>44193</v>
      </c>
      <c r="C232" s="26" t="s">
        <v>847</v>
      </c>
      <c r="D232" s="32">
        <v>0</v>
      </c>
      <c r="E232" s="13">
        <v>0</v>
      </c>
      <c r="F232" s="50">
        <f t="shared" si="26"/>
        <v>0</v>
      </c>
      <c r="G232" s="103"/>
      <c r="H232" s="103"/>
      <c r="I232" s="104"/>
      <c r="J232" s="103"/>
      <c r="K232" s="103"/>
      <c r="L232" s="103">
        <f t="shared" si="25"/>
        <v>0</v>
      </c>
      <c r="M232" s="103"/>
      <c r="N232" s="103" t="s">
        <v>946</v>
      </c>
      <c r="O232" s="104">
        <f t="shared" si="27"/>
        <v>0</v>
      </c>
    </row>
    <row r="233" spans="1:15" s="8" customFormat="1" ht="15.75" x14ac:dyDescent="0.25">
      <c r="A233" s="113" t="s">
        <v>461</v>
      </c>
      <c r="B233" s="102">
        <v>44193</v>
      </c>
      <c r="C233" s="26" t="s">
        <v>711</v>
      </c>
      <c r="D233" s="32">
        <v>0</v>
      </c>
      <c r="E233" s="13">
        <v>237.29</v>
      </c>
      <c r="F233" s="50">
        <f t="shared" si="26"/>
        <v>0</v>
      </c>
      <c r="G233" s="124">
        <v>44851</v>
      </c>
      <c r="H233" s="125">
        <v>100</v>
      </c>
      <c r="I233" s="126">
        <v>156.35</v>
      </c>
      <c r="J233" s="127">
        <f>+H233*I233</f>
        <v>15635</v>
      </c>
      <c r="K233" s="125">
        <v>1</v>
      </c>
      <c r="L233" s="103">
        <f t="shared" si="25"/>
        <v>99</v>
      </c>
      <c r="M233" s="103"/>
      <c r="N233" s="103" t="s">
        <v>946</v>
      </c>
      <c r="O233" s="104">
        <f t="shared" si="27"/>
        <v>23491.71</v>
      </c>
    </row>
    <row r="234" spans="1:15" s="92" customFormat="1" x14ac:dyDescent="0.3">
      <c r="A234" s="113" t="s">
        <v>462</v>
      </c>
      <c r="B234" s="102">
        <v>44193</v>
      </c>
      <c r="C234" s="25" t="s">
        <v>716</v>
      </c>
      <c r="D234" s="32">
        <v>0</v>
      </c>
      <c r="E234" s="51">
        <v>82</v>
      </c>
      <c r="F234" s="50">
        <f t="shared" si="26"/>
        <v>0</v>
      </c>
      <c r="G234" s="125"/>
      <c r="H234" s="125"/>
      <c r="I234" s="126"/>
      <c r="J234" s="125"/>
      <c r="K234" s="125">
        <v>1</v>
      </c>
      <c r="L234" s="103">
        <f t="shared" si="25"/>
        <v>-1</v>
      </c>
      <c r="M234" s="103"/>
      <c r="N234" s="103" t="s">
        <v>945</v>
      </c>
      <c r="O234" s="104">
        <f t="shared" si="27"/>
        <v>-82</v>
      </c>
    </row>
    <row r="235" spans="1:15" s="92" customFormat="1" x14ac:dyDescent="0.3">
      <c r="A235" s="113" t="s">
        <v>463</v>
      </c>
      <c r="B235" s="102">
        <v>44193</v>
      </c>
      <c r="C235" s="25" t="s">
        <v>717</v>
      </c>
      <c r="D235" s="32">
        <v>0</v>
      </c>
      <c r="E235" s="51">
        <v>14.29</v>
      </c>
      <c r="F235" s="50">
        <f t="shared" si="26"/>
        <v>0</v>
      </c>
      <c r="G235" s="103"/>
      <c r="H235" s="103"/>
      <c r="I235" s="104"/>
      <c r="J235" s="103"/>
      <c r="K235" s="103"/>
      <c r="L235" s="103">
        <f t="shared" si="25"/>
        <v>0</v>
      </c>
      <c r="M235" s="103"/>
      <c r="N235" s="103" t="s">
        <v>945</v>
      </c>
      <c r="O235" s="104">
        <f t="shared" si="27"/>
        <v>0</v>
      </c>
    </row>
    <row r="236" spans="1:15" s="92" customFormat="1" x14ac:dyDescent="0.3">
      <c r="A236" s="113" t="s">
        <v>464</v>
      </c>
      <c r="B236" s="106" t="s">
        <v>770</v>
      </c>
      <c r="C236" s="25" t="s">
        <v>715</v>
      </c>
      <c r="D236" s="32">
        <v>6</v>
      </c>
      <c r="E236" s="51">
        <v>82</v>
      </c>
      <c r="F236" s="50">
        <f t="shared" si="26"/>
        <v>492</v>
      </c>
      <c r="G236" s="103"/>
      <c r="H236" s="103"/>
      <c r="I236" s="104"/>
      <c r="J236" s="103"/>
      <c r="K236" s="103"/>
      <c r="L236" s="103">
        <f t="shared" si="25"/>
        <v>6</v>
      </c>
      <c r="M236" s="103"/>
      <c r="N236" s="103" t="s">
        <v>945</v>
      </c>
      <c r="O236" s="104">
        <f t="shared" si="27"/>
        <v>492</v>
      </c>
    </row>
    <row r="237" spans="1:15" s="8" customFormat="1" ht="15.75" x14ac:dyDescent="0.25">
      <c r="A237" s="113" t="s">
        <v>465</v>
      </c>
      <c r="B237" s="106" t="s">
        <v>108</v>
      </c>
      <c r="C237" s="25" t="s">
        <v>718</v>
      </c>
      <c r="D237" s="32">
        <v>0</v>
      </c>
      <c r="E237" s="51">
        <v>6375</v>
      </c>
      <c r="F237" s="50">
        <f t="shared" si="26"/>
        <v>0</v>
      </c>
      <c r="G237" s="103"/>
      <c r="H237" s="103"/>
      <c r="I237" s="104"/>
      <c r="J237" s="103"/>
      <c r="K237" s="103">
        <v>1</v>
      </c>
      <c r="L237" s="103">
        <f t="shared" si="25"/>
        <v>-1</v>
      </c>
      <c r="M237" s="103"/>
      <c r="N237" s="103" t="s">
        <v>946</v>
      </c>
      <c r="O237" s="104">
        <f>+E237*L237</f>
        <v>-6375</v>
      </c>
    </row>
    <row r="238" spans="1:15" s="8" customFormat="1" ht="15.75" x14ac:dyDescent="0.25">
      <c r="A238" s="113" t="s">
        <v>466</v>
      </c>
      <c r="B238" s="102">
        <v>44193</v>
      </c>
      <c r="C238" s="9" t="s">
        <v>781</v>
      </c>
      <c r="D238" s="48">
        <v>2</v>
      </c>
      <c r="E238" s="13">
        <v>725</v>
      </c>
      <c r="F238" s="50">
        <f t="shared" si="26"/>
        <v>1450</v>
      </c>
      <c r="G238" s="103"/>
      <c r="H238" s="103"/>
      <c r="I238" s="104"/>
      <c r="J238" s="103"/>
      <c r="K238" s="103"/>
      <c r="L238" s="103">
        <f t="shared" si="25"/>
        <v>2</v>
      </c>
      <c r="M238" s="103"/>
      <c r="N238" s="103" t="s">
        <v>947</v>
      </c>
      <c r="O238" s="104">
        <f t="shared" ref="O238:O267" si="28">+L238*E238</f>
        <v>1450</v>
      </c>
    </row>
    <row r="239" spans="1:15" s="8" customFormat="1" ht="15.75" x14ac:dyDescent="0.25">
      <c r="A239" s="113" t="s">
        <v>467</v>
      </c>
      <c r="B239" s="102">
        <v>44193</v>
      </c>
      <c r="C239" s="9" t="s">
        <v>721</v>
      </c>
      <c r="D239" s="30">
        <v>40</v>
      </c>
      <c r="E239" s="13">
        <v>230</v>
      </c>
      <c r="F239" s="50">
        <f t="shared" si="26"/>
        <v>9200</v>
      </c>
      <c r="G239" s="107">
        <v>44852</v>
      </c>
      <c r="H239" s="103">
        <f>10*10</f>
        <v>100</v>
      </c>
      <c r="I239" s="104">
        <v>326.62</v>
      </c>
      <c r="J239" s="104">
        <f>+I239*H239</f>
        <v>32662</v>
      </c>
      <c r="K239" s="103">
        <f>6+1+1+8</f>
        <v>16</v>
      </c>
      <c r="L239" s="103">
        <f t="shared" si="25"/>
        <v>124</v>
      </c>
      <c r="M239" s="103" t="s">
        <v>1037</v>
      </c>
      <c r="N239" s="103" t="s">
        <v>947</v>
      </c>
      <c r="O239" s="104">
        <f>+L239*I239</f>
        <v>40500.879999999997</v>
      </c>
    </row>
    <row r="240" spans="1:15" s="8" customFormat="1" ht="15.75" x14ac:dyDescent="0.25">
      <c r="A240" s="113" t="s">
        <v>468</v>
      </c>
      <c r="B240" s="102">
        <v>44193</v>
      </c>
      <c r="C240" s="9" t="s">
        <v>722</v>
      </c>
      <c r="D240" s="48">
        <v>100</v>
      </c>
      <c r="E240" s="13">
        <v>2.25</v>
      </c>
      <c r="F240" s="50">
        <f t="shared" si="26"/>
        <v>225</v>
      </c>
      <c r="G240" s="103"/>
      <c r="H240" s="103"/>
      <c r="I240" s="104"/>
      <c r="J240" s="104">
        <f t="shared" ref="J240:J251" si="29">+I240*H240</f>
        <v>0</v>
      </c>
      <c r="K240" s="103">
        <v>5</v>
      </c>
      <c r="L240" s="103">
        <f t="shared" ref="L240:L303" si="30">+D240+H240-K240</f>
        <v>95</v>
      </c>
      <c r="M240" s="103"/>
      <c r="N240" s="103" t="s">
        <v>947</v>
      </c>
      <c r="O240" s="104">
        <f t="shared" si="28"/>
        <v>213.75</v>
      </c>
    </row>
    <row r="241" spans="1:15" s="105" customFormat="1" ht="15.75" x14ac:dyDescent="0.25">
      <c r="A241" s="113" t="s">
        <v>469</v>
      </c>
      <c r="B241" s="102">
        <v>44193</v>
      </c>
      <c r="C241" s="9" t="s">
        <v>1039</v>
      </c>
      <c r="D241" s="48">
        <v>7</v>
      </c>
      <c r="E241" s="13">
        <v>250</v>
      </c>
      <c r="F241" s="50">
        <f t="shared" si="26"/>
        <v>1750</v>
      </c>
      <c r="G241" s="107">
        <v>44852</v>
      </c>
      <c r="H241" s="103">
        <f>2*10</f>
        <v>20</v>
      </c>
      <c r="I241" s="104">
        <v>428.22</v>
      </c>
      <c r="J241" s="104">
        <f t="shared" si="29"/>
        <v>8564.4000000000015</v>
      </c>
      <c r="K241" s="103"/>
      <c r="L241" s="103">
        <f t="shared" si="30"/>
        <v>27</v>
      </c>
      <c r="M241" s="103" t="s">
        <v>1037</v>
      </c>
      <c r="N241" s="103" t="s">
        <v>947</v>
      </c>
      <c r="O241" s="104">
        <f>+L241*I241</f>
        <v>11561.94</v>
      </c>
    </row>
    <row r="242" spans="1:15" s="8" customFormat="1" ht="15.75" x14ac:dyDescent="0.25">
      <c r="A242" s="113" t="s">
        <v>470</v>
      </c>
      <c r="B242" s="102">
        <v>44193</v>
      </c>
      <c r="C242" s="9" t="s">
        <v>725</v>
      </c>
      <c r="D242" s="48">
        <v>61</v>
      </c>
      <c r="E242" s="13">
        <v>30</v>
      </c>
      <c r="F242" s="50">
        <f t="shared" si="26"/>
        <v>1830</v>
      </c>
      <c r="G242" s="107">
        <v>44852</v>
      </c>
      <c r="H242" s="103">
        <v>2</v>
      </c>
      <c r="I242" s="104">
        <v>21.69</v>
      </c>
      <c r="J242" s="104">
        <f t="shared" si="29"/>
        <v>43.38</v>
      </c>
      <c r="K242" s="103">
        <v>15</v>
      </c>
      <c r="L242" s="103">
        <f t="shared" si="30"/>
        <v>48</v>
      </c>
      <c r="M242" s="103" t="s">
        <v>1037</v>
      </c>
      <c r="N242" s="103" t="s">
        <v>947</v>
      </c>
      <c r="O242" s="104">
        <f>+L242*I242</f>
        <v>1041.1200000000001</v>
      </c>
    </row>
    <row r="243" spans="1:15" s="105" customFormat="1" ht="15.75" x14ac:dyDescent="0.25">
      <c r="A243" s="113" t="s">
        <v>466</v>
      </c>
      <c r="B243" s="102">
        <v>44193</v>
      </c>
      <c r="C243" s="9" t="s">
        <v>781</v>
      </c>
      <c r="D243" s="48">
        <v>2</v>
      </c>
      <c r="E243" s="13">
        <v>725</v>
      </c>
      <c r="F243" s="50">
        <f t="shared" si="26"/>
        <v>1450</v>
      </c>
      <c r="G243" s="107">
        <v>44851</v>
      </c>
      <c r="H243" s="103">
        <v>2</v>
      </c>
      <c r="I243" s="104">
        <v>857.86</v>
      </c>
      <c r="J243" s="103">
        <f>+I243*H243</f>
        <v>1715.72</v>
      </c>
      <c r="K243" s="103"/>
      <c r="L243" s="103">
        <f t="shared" si="30"/>
        <v>4</v>
      </c>
      <c r="M243" s="103" t="s">
        <v>1037</v>
      </c>
      <c r="N243" s="103" t="s">
        <v>947</v>
      </c>
      <c r="O243" s="104">
        <f>+L243*I243</f>
        <v>3431.44</v>
      </c>
    </row>
    <row r="244" spans="1:15" s="8" customFormat="1" ht="15.75" x14ac:dyDescent="0.25">
      <c r="A244" s="113" t="s">
        <v>472</v>
      </c>
      <c r="B244" s="102">
        <v>44652</v>
      </c>
      <c r="C244" s="9" t="s">
        <v>727</v>
      </c>
      <c r="D244" s="14">
        <v>190</v>
      </c>
      <c r="E244" s="13">
        <v>560</v>
      </c>
      <c r="F244" s="50">
        <f t="shared" si="26"/>
        <v>106400</v>
      </c>
      <c r="G244" s="107">
        <v>44778</v>
      </c>
      <c r="H244" s="103">
        <f>70*6</f>
        <v>420</v>
      </c>
      <c r="I244" s="104">
        <f>65254/H244</f>
        <v>155.36666666666667</v>
      </c>
      <c r="J244" s="104">
        <f t="shared" si="29"/>
        <v>65254</v>
      </c>
      <c r="K244" s="103">
        <f>4+4+4+2+4+3+6+6+3+12+4+4+3+6+1+2+4+5+18+24+6+18+4+24+12+12+12</f>
        <v>207</v>
      </c>
      <c r="L244" s="103">
        <f t="shared" si="30"/>
        <v>403</v>
      </c>
      <c r="M244" s="103" t="s">
        <v>943</v>
      </c>
      <c r="N244" s="103" t="s">
        <v>947</v>
      </c>
      <c r="O244" s="104">
        <f>+L244*I244</f>
        <v>62612.76666666667</v>
      </c>
    </row>
    <row r="245" spans="1:15" s="8" customFormat="1" ht="15.75" x14ac:dyDescent="0.25">
      <c r="A245" s="113" t="s">
        <v>473</v>
      </c>
      <c r="B245" s="106" t="s">
        <v>112</v>
      </c>
      <c r="C245" s="26" t="s">
        <v>752</v>
      </c>
      <c r="D245" s="38">
        <v>3</v>
      </c>
      <c r="E245" s="13">
        <v>135</v>
      </c>
      <c r="F245" s="50">
        <f t="shared" si="26"/>
        <v>405</v>
      </c>
      <c r="G245" s="103"/>
      <c r="H245" s="103"/>
      <c r="I245" s="104"/>
      <c r="J245" s="104">
        <f t="shared" si="29"/>
        <v>0</v>
      </c>
      <c r="K245" s="103"/>
      <c r="L245" s="103">
        <f t="shared" si="30"/>
        <v>3</v>
      </c>
      <c r="M245" s="103"/>
      <c r="N245" s="103" t="s">
        <v>947</v>
      </c>
      <c r="O245" s="104">
        <f t="shared" si="28"/>
        <v>405</v>
      </c>
    </row>
    <row r="246" spans="1:15" s="105" customFormat="1" ht="15.75" x14ac:dyDescent="0.25">
      <c r="A246" s="113" t="s">
        <v>507</v>
      </c>
      <c r="B246" s="102">
        <v>44193</v>
      </c>
      <c r="C246" s="9" t="s">
        <v>728</v>
      </c>
      <c r="D246" s="30">
        <v>0</v>
      </c>
      <c r="E246" s="13">
        <v>62.5</v>
      </c>
      <c r="F246" s="50">
        <f t="shared" si="26"/>
        <v>0</v>
      </c>
      <c r="G246" s="107">
        <v>44852</v>
      </c>
      <c r="H246" s="103">
        <v>5</v>
      </c>
      <c r="I246" s="104">
        <v>206.54</v>
      </c>
      <c r="J246" s="103">
        <f>+I246*H246</f>
        <v>1032.7</v>
      </c>
      <c r="K246" s="103">
        <v>1</v>
      </c>
      <c r="L246" s="103">
        <f t="shared" si="30"/>
        <v>4</v>
      </c>
      <c r="M246" s="103" t="s">
        <v>1037</v>
      </c>
      <c r="N246" s="103" t="s">
        <v>947</v>
      </c>
      <c r="O246" s="104">
        <f>+L246*I246</f>
        <v>826.16</v>
      </c>
    </row>
    <row r="247" spans="1:15" s="8" customFormat="1" ht="15.75" x14ac:dyDescent="0.25">
      <c r="A247" s="113" t="s">
        <v>508</v>
      </c>
      <c r="B247" s="102">
        <v>44193</v>
      </c>
      <c r="C247" s="9" t="s">
        <v>729</v>
      </c>
      <c r="D247" s="30">
        <v>226</v>
      </c>
      <c r="E247" s="13">
        <v>22.2</v>
      </c>
      <c r="F247" s="50">
        <f t="shared" si="26"/>
        <v>5017.2</v>
      </c>
      <c r="G247" s="103"/>
      <c r="H247" s="103"/>
      <c r="I247" s="104"/>
      <c r="J247" s="104">
        <f t="shared" si="29"/>
        <v>0</v>
      </c>
      <c r="K247" s="103"/>
      <c r="L247" s="103">
        <f t="shared" si="30"/>
        <v>226</v>
      </c>
      <c r="M247" s="103"/>
      <c r="N247" s="103" t="s">
        <v>947</v>
      </c>
      <c r="O247" s="104">
        <f t="shared" si="28"/>
        <v>5017.2</v>
      </c>
    </row>
    <row r="248" spans="1:15" s="8" customFormat="1" ht="15.75" x14ac:dyDescent="0.25">
      <c r="A248" s="113" t="s">
        <v>509</v>
      </c>
      <c r="B248" s="102">
        <v>44193</v>
      </c>
      <c r="C248" s="9" t="s">
        <v>730</v>
      </c>
      <c r="D248" s="30">
        <v>2</v>
      </c>
      <c r="E248" s="13">
        <v>375</v>
      </c>
      <c r="F248" s="50">
        <f t="shared" si="26"/>
        <v>750</v>
      </c>
      <c r="G248" s="107">
        <v>44610</v>
      </c>
      <c r="H248" s="103">
        <v>2</v>
      </c>
      <c r="I248" s="104">
        <v>284.99</v>
      </c>
      <c r="J248" s="104">
        <f t="shared" si="29"/>
        <v>569.98</v>
      </c>
      <c r="K248" s="103"/>
      <c r="L248" s="103">
        <f t="shared" si="30"/>
        <v>4</v>
      </c>
      <c r="M248" s="103" t="s">
        <v>1037</v>
      </c>
      <c r="N248" s="103" t="s">
        <v>947</v>
      </c>
      <c r="O248" s="104">
        <f>+L248*I248</f>
        <v>1139.96</v>
      </c>
    </row>
    <row r="249" spans="1:15" s="8" customFormat="1" ht="15.75" x14ac:dyDescent="0.25">
      <c r="A249" s="113" t="s">
        <v>869</v>
      </c>
      <c r="B249" s="102">
        <v>44193</v>
      </c>
      <c r="C249" s="25" t="s">
        <v>825</v>
      </c>
      <c r="D249" s="38">
        <v>11</v>
      </c>
      <c r="E249" s="13">
        <v>301</v>
      </c>
      <c r="F249" s="50">
        <f t="shared" si="26"/>
        <v>3311</v>
      </c>
      <c r="G249" s="103"/>
      <c r="H249" s="103"/>
      <c r="I249" s="104"/>
      <c r="J249" s="104">
        <f t="shared" si="29"/>
        <v>0</v>
      </c>
      <c r="K249" s="103"/>
      <c r="L249" s="103">
        <f t="shared" si="30"/>
        <v>11</v>
      </c>
      <c r="M249" s="103"/>
      <c r="N249" s="103" t="s">
        <v>947</v>
      </c>
      <c r="O249" s="104">
        <f t="shared" si="28"/>
        <v>3311</v>
      </c>
    </row>
    <row r="250" spans="1:15" s="92" customFormat="1" x14ac:dyDescent="0.3">
      <c r="A250" s="113" t="s">
        <v>512</v>
      </c>
      <c r="B250" s="106" t="s">
        <v>106</v>
      </c>
      <c r="C250" s="25" t="s">
        <v>731</v>
      </c>
      <c r="D250" s="30">
        <v>0</v>
      </c>
      <c r="E250" s="51">
        <v>171.6</v>
      </c>
      <c r="F250" s="50">
        <f t="shared" si="26"/>
        <v>0</v>
      </c>
      <c r="G250" s="107">
        <v>44903</v>
      </c>
      <c r="H250" s="103">
        <f>5*48</f>
        <v>240</v>
      </c>
      <c r="I250" s="104">
        <v>56.54</v>
      </c>
      <c r="J250" s="104">
        <f t="shared" si="29"/>
        <v>13569.6</v>
      </c>
      <c r="K250" s="103">
        <f>3+3+3+6+3+3+3+2+4+4+4+4+2</f>
        <v>44</v>
      </c>
      <c r="L250" s="103">
        <f t="shared" si="30"/>
        <v>196</v>
      </c>
      <c r="M250" s="103" t="s">
        <v>1006</v>
      </c>
      <c r="N250" s="103" t="s">
        <v>945</v>
      </c>
      <c r="O250" s="104">
        <f t="shared" si="28"/>
        <v>33633.599999999999</v>
      </c>
    </row>
    <row r="251" spans="1:15" s="105" customFormat="1" ht="15.75" x14ac:dyDescent="0.25">
      <c r="A251" s="113" t="s">
        <v>870</v>
      </c>
      <c r="B251" s="102">
        <v>44193</v>
      </c>
      <c r="C251" s="9" t="s">
        <v>950</v>
      </c>
      <c r="D251" s="30">
        <v>12</v>
      </c>
      <c r="E251" s="13">
        <v>65</v>
      </c>
      <c r="F251" s="50">
        <f t="shared" si="26"/>
        <v>780</v>
      </c>
      <c r="G251" s="107">
        <v>44852</v>
      </c>
      <c r="H251" s="103">
        <v>32</v>
      </c>
      <c r="I251" s="104">
        <v>44.54</v>
      </c>
      <c r="J251" s="104">
        <f t="shared" si="29"/>
        <v>1425.28</v>
      </c>
      <c r="K251" s="103">
        <f>4+4</f>
        <v>8</v>
      </c>
      <c r="L251" s="103">
        <f t="shared" si="30"/>
        <v>36</v>
      </c>
      <c r="M251" s="103"/>
      <c r="N251" s="103" t="s">
        <v>945</v>
      </c>
      <c r="O251" s="104">
        <f>+L251*I251</f>
        <v>1603.44</v>
      </c>
    </row>
    <row r="252" spans="1:15" s="92" customFormat="1" x14ac:dyDescent="0.3">
      <c r="A252" s="113" t="s">
        <v>513</v>
      </c>
      <c r="B252" s="102">
        <v>44678</v>
      </c>
      <c r="C252" s="25" t="s">
        <v>853</v>
      </c>
      <c r="D252" s="56">
        <v>16</v>
      </c>
      <c r="E252" s="13">
        <v>3000</v>
      </c>
      <c r="F252" s="50">
        <f t="shared" si="26"/>
        <v>48000</v>
      </c>
      <c r="G252" s="103"/>
      <c r="H252" s="103"/>
      <c r="I252" s="104"/>
      <c r="J252" s="103"/>
      <c r="K252" s="103"/>
      <c r="L252" s="103">
        <f t="shared" si="30"/>
        <v>16</v>
      </c>
      <c r="M252" s="103"/>
      <c r="N252" s="103" t="s">
        <v>945</v>
      </c>
      <c r="O252" s="104">
        <f t="shared" si="28"/>
        <v>48000</v>
      </c>
    </row>
    <row r="253" spans="1:15" s="92" customFormat="1" x14ac:dyDescent="0.3">
      <c r="A253" s="113" t="s">
        <v>514</v>
      </c>
      <c r="B253" s="102">
        <v>44193</v>
      </c>
      <c r="C253" s="25" t="s">
        <v>734</v>
      </c>
      <c r="D253" s="38">
        <v>0</v>
      </c>
      <c r="E253" s="13">
        <v>1500</v>
      </c>
      <c r="F253" s="50">
        <f t="shared" si="26"/>
        <v>0</v>
      </c>
      <c r="G253" s="103"/>
      <c r="H253" s="103"/>
      <c r="I253" s="104"/>
      <c r="J253" s="103"/>
      <c r="K253" s="103"/>
      <c r="L253" s="103">
        <f t="shared" si="30"/>
        <v>0</v>
      </c>
      <c r="M253" s="103"/>
      <c r="N253" s="103" t="s">
        <v>945</v>
      </c>
      <c r="O253" s="104">
        <f t="shared" si="28"/>
        <v>0</v>
      </c>
    </row>
    <row r="254" spans="1:15" s="92" customFormat="1" x14ac:dyDescent="0.3">
      <c r="A254" s="113" t="s">
        <v>871</v>
      </c>
      <c r="B254" s="102">
        <v>44678</v>
      </c>
      <c r="C254" s="25" t="s">
        <v>852</v>
      </c>
      <c r="D254" s="57">
        <v>11</v>
      </c>
      <c r="E254" s="13">
        <v>1500</v>
      </c>
      <c r="F254" s="50">
        <f t="shared" si="26"/>
        <v>16500</v>
      </c>
      <c r="G254" s="103"/>
      <c r="H254" s="103"/>
      <c r="I254" s="104"/>
      <c r="J254" s="103"/>
      <c r="K254" s="103"/>
      <c r="L254" s="103">
        <f t="shared" si="30"/>
        <v>11</v>
      </c>
      <c r="M254" s="103"/>
      <c r="N254" s="103" t="s">
        <v>945</v>
      </c>
      <c r="O254" s="104">
        <f t="shared" si="28"/>
        <v>16500</v>
      </c>
    </row>
    <row r="255" spans="1:15" s="92" customFormat="1" x14ac:dyDescent="0.3">
      <c r="A255" s="113" t="s">
        <v>872</v>
      </c>
      <c r="B255" s="102">
        <v>44678</v>
      </c>
      <c r="C255" s="25" t="s">
        <v>735</v>
      </c>
      <c r="D255" s="57">
        <v>3</v>
      </c>
      <c r="E255" s="13">
        <v>3800</v>
      </c>
      <c r="F255" s="50">
        <f t="shared" si="26"/>
        <v>11400</v>
      </c>
      <c r="G255" s="103"/>
      <c r="H255" s="103"/>
      <c r="I255" s="104"/>
      <c r="J255" s="103"/>
      <c r="K255" s="103"/>
      <c r="L255" s="103">
        <f t="shared" si="30"/>
        <v>3</v>
      </c>
      <c r="M255" s="103"/>
      <c r="N255" s="103" t="s">
        <v>945</v>
      </c>
      <c r="O255" s="104">
        <f t="shared" si="28"/>
        <v>11400</v>
      </c>
    </row>
    <row r="256" spans="1:15" s="92" customFormat="1" x14ac:dyDescent="0.3">
      <c r="A256" s="113" t="s">
        <v>515</v>
      </c>
      <c r="B256" s="102">
        <v>44678</v>
      </c>
      <c r="C256" s="25" t="s">
        <v>737</v>
      </c>
      <c r="D256" s="57">
        <v>2</v>
      </c>
      <c r="E256" s="13">
        <v>1500</v>
      </c>
      <c r="F256" s="50">
        <f t="shared" si="26"/>
        <v>3000</v>
      </c>
      <c r="G256" s="103"/>
      <c r="H256" s="103"/>
      <c r="I256" s="104"/>
      <c r="J256" s="103"/>
      <c r="K256" s="103"/>
      <c r="L256" s="103">
        <f t="shared" si="30"/>
        <v>2</v>
      </c>
      <c r="M256" s="103"/>
      <c r="N256" s="103" t="s">
        <v>945</v>
      </c>
      <c r="O256" s="104">
        <f t="shared" si="28"/>
        <v>3000</v>
      </c>
    </row>
    <row r="257" spans="1:15" s="92" customFormat="1" x14ac:dyDescent="0.3">
      <c r="A257" s="113" t="s">
        <v>516</v>
      </c>
      <c r="B257" s="102">
        <v>44678</v>
      </c>
      <c r="C257" s="25" t="s">
        <v>736</v>
      </c>
      <c r="D257" s="57">
        <v>2</v>
      </c>
      <c r="E257" s="13">
        <v>3800</v>
      </c>
      <c r="F257" s="50">
        <f t="shared" si="26"/>
        <v>7600</v>
      </c>
      <c r="G257" s="103"/>
      <c r="H257" s="103"/>
      <c r="I257" s="104"/>
      <c r="J257" s="103"/>
      <c r="K257" s="103"/>
      <c r="L257" s="103">
        <f t="shared" si="30"/>
        <v>2</v>
      </c>
      <c r="M257" s="103"/>
      <c r="N257" s="103" t="s">
        <v>945</v>
      </c>
      <c r="O257" s="104">
        <f t="shared" si="28"/>
        <v>7600</v>
      </c>
    </row>
    <row r="258" spans="1:15" s="92" customFormat="1" x14ac:dyDescent="0.3">
      <c r="A258" s="113" t="s">
        <v>517</v>
      </c>
      <c r="B258" s="102">
        <v>44678</v>
      </c>
      <c r="C258" s="25" t="s">
        <v>738</v>
      </c>
      <c r="D258" s="57">
        <v>4</v>
      </c>
      <c r="E258" s="13">
        <v>3800</v>
      </c>
      <c r="F258" s="50">
        <f t="shared" si="26"/>
        <v>15200</v>
      </c>
      <c r="G258" s="103"/>
      <c r="H258" s="103"/>
      <c r="I258" s="104"/>
      <c r="J258" s="103"/>
      <c r="K258" s="103"/>
      <c r="L258" s="103">
        <f t="shared" si="30"/>
        <v>4</v>
      </c>
      <c r="M258" s="103"/>
      <c r="N258" s="103" t="s">
        <v>945</v>
      </c>
      <c r="O258" s="104">
        <f t="shared" si="28"/>
        <v>15200</v>
      </c>
    </row>
    <row r="259" spans="1:15" s="92" customFormat="1" x14ac:dyDescent="0.3">
      <c r="A259" s="113" t="s">
        <v>518</v>
      </c>
      <c r="B259" s="102">
        <v>44678</v>
      </c>
      <c r="C259" s="26" t="s">
        <v>751</v>
      </c>
      <c r="D259" s="57">
        <v>16</v>
      </c>
      <c r="E259" s="13">
        <v>3000</v>
      </c>
      <c r="F259" s="50">
        <f t="shared" si="26"/>
        <v>48000</v>
      </c>
      <c r="G259" s="103"/>
      <c r="H259" s="103"/>
      <c r="I259" s="104"/>
      <c r="J259" s="103"/>
      <c r="K259" s="103"/>
      <c r="L259" s="103">
        <f t="shared" si="30"/>
        <v>16</v>
      </c>
      <c r="M259" s="103"/>
      <c r="N259" s="103" t="s">
        <v>945</v>
      </c>
      <c r="O259" s="104">
        <f t="shared" si="28"/>
        <v>48000</v>
      </c>
    </row>
    <row r="260" spans="1:15" s="92" customFormat="1" x14ac:dyDescent="0.3">
      <c r="A260" s="113" t="s">
        <v>519</v>
      </c>
      <c r="B260" s="102">
        <v>44678</v>
      </c>
      <c r="C260" s="25" t="s">
        <v>845</v>
      </c>
      <c r="D260" s="38">
        <v>2</v>
      </c>
      <c r="E260" s="13">
        <v>200</v>
      </c>
      <c r="F260" s="50">
        <f t="shared" si="26"/>
        <v>400</v>
      </c>
      <c r="G260" s="103"/>
      <c r="H260" s="103"/>
      <c r="I260" s="104"/>
      <c r="J260" s="103"/>
      <c r="K260" s="103"/>
      <c r="L260" s="103">
        <f t="shared" si="30"/>
        <v>2</v>
      </c>
      <c r="M260" s="103"/>
      <c r="N260" s="103" t="s">
        <v>945</v>
      </c>
      <c r="O260" s="104">
        <f t="shared" si="28"/>
        <v>400</v>
      </c>
    </row>
    <row r="261" spans="1:15" s="8" customFormat="1" ht="15.75" x14ac:dyDescent="0.25">
      <c r="A261" s="113" t="s">
        <v>520</v>
      </c>
      <c r="B261" s="102">
        <v>44193</v>
      </c>
      <c r="C261" s="9" t="s">
        <v>740</v>
      </c>
      <c r="D261" s="30">
        <v>3</v>
      </c>
      <c r="E261" s="13">
        <v>75</v>
      </c>
      <c r="F261" s="50">
        <f>D261*E261</f>
        <v>225</v>
      </c>
      <c r="G261" s="103"/>
      <c r="H261" s="103"/>
      <c r="I261" s="104"/>
      <c r="J261" s="103"/>
      <c r="K261" s="103"/>
      <c r="L261" s="103">
        <f t="shared" si="30"/>
        <v>3</v>
      </c>
      <c r="M261" s="103"/>
      <c r="N261" s="103" t="s">
        <v>947</v>
      </c>
      <c r="O261" s="104">
        <f t="shared" si="28"/>
        <v>225</v>
      </c>
    </row>
    <row r="262" spans="1:15" s="8" customFormat="1" ht="15.75" x14ac:dyDescent="0.25">
      <c r="A262" s="113" t="s">
        <v>521</v>
      </c>
      <c r="B262" s="102">
        <v>44193</v>
      </c>
      <c r="C262" s="9" t="s">
        <v>739</v>
      </c>
      <c r="D262" s="30">
        <v>300</v>
      </c>
      <c r="E262" s="13">
        <v>29</v>
      </c>
      <c r="F262" s="50">
        <f>D262*E262</f>
        <v>8700</v>
      </c>
      <c r="G262" s="103"/>
      <c r="H262" s="103"/>
      <c r="I262" s="104"/>
      <c r="J262" s="103"/>
      <c r="K262" s="103"/>
      <c r="L262" s="103">
        <f t="shared" si="30"/>
        <v>300</v>
      </c>
      <c r="M262" s="103"/>
      <c r="N262" s="103" t="s">
        <v>947</v>
      </c>
      <c r="O262" s="104">
        <f t="shared" si="28"/>
        <v>8700</v>
      </c>
    </row>
    <row r="263" spans="1:15" s="8" customFormat="1" ht="15.75" x14ac:dyDescent="0.25">
      <c r="A263" s="113" t="s">
        <v>522</v>
      </c>
      <c r="B263" s="102">
        <v>44193</v>
      </c>
      <c r="C263" s="25" t="s">
        <v>826</v>
      </c>
      <c r="D263" s="38">
        <v>16</v>
      </c>
      <c r="E263" s="13">
        <v>143</v>
      </c>
      <c r="F263" s="50">
        <f>D263*E263</f>
        <v>2288</v>
      </c>
      <c r="G263" s="103"/>
      <c r="H263" s="103"/>
      <c r="I263" s="104"/>
      <c r="J263" s="103"/>
      <c r="K263" s="103"/>
      <c r="L263" s="103">
        <f t="shared" si="30"/>
        <v>16</v>
      </c>
      <c r="M263" s="103"/>
      <c r="N263" s="103" t="s">
        <v>946</v>
      </c>
      <c r="O263" s="104">
        <f t="shared" si="28"/>
        <v>2288</v>
      </c>
    </row>
    <row r="264" spans="1:15" s="8" customFormat="1" ht="15.75" x14ac:dyDescent="0.25">
      <c r="A264" s="113" t="s">
        <v>523</v>
      </c>
      <c r="B264" s="102">
        <v>44193</v>
      </c>
      <c r="C264" s="9" t="s">
        <v>741</v>
      </c>
      <c r="D264" s="56">
        <v>112</v>
      </c>
      <c r="E264" s="13">
        <v>8.5</v>
      </c>
      <c r="F264" s="50">
        <f t="shared" ref="F264:F271" si="31">D264*E264</f>
        <v>952</v>
      </c>
      <c r="G264" s="103"/>
      <c r="H264" s="103"/>
      <c r="I264" s="104"/>
      <c r="J264" s="103"/>
      <c r="K264" s="103"/>
      <c r="L264" s="103">
        <f t="shared" si="30"/>
        <v>112</v>
      </c>
      <c r="M264" s="103"/>
      <c r="N264" s="103" t="s">
        <v>947</v>
      </c>
      <c r="O264" s="104">
        <f t="shared" si="28"/>
        <v>952</v>
      </c>
    </row>
    <row r="265" spans="1:15" s="8" customFormat="1" ht="15.75" x14ac:dyDescent="0.25">
      <c r="A265" s="113" t="s">
        <v>524</v>
      </c>
      <c r="B265" s="102">
        <v>44193</v>
      </c>
      <c r="C265" s="9" t="s">
        <v>742</v>
      </c>
      <c r="D265" s="56">
        <v>24</v>
      </c>
      <c r="E265" s="13">
        <v>12</v>
      </c>
      <c r="F265" s="50">
        <f t="shared" si="31"/>
        <v>288</v>
      </c>
      <c r="G265" s="103"/>
      <c r="H265" s="103"/>
      <c r="I265" s="104"/>
      <c r="J265" s="103"/>
      <c r="K265" s="103"/>
      <c r="L265" s="103">
        <f t="shared" si="30"/>
        <v>24</v>
      </c>
      <c r="M265" s="103"/>
      <c r="N265" s="103" t="s">
        <v>947</v>
      </c>
      <c r="O265" s="104">
        <f t="shared" si="28"/>
        <v>288</v>
      </c>
    </row>
    <row r="266" spans="1:15" s="8" customFormat="1" ht="15.75" x14ac:dyDescent="0.25">
      <c r="A266" s="113" t="s">
        <v>525</v>
      </c>
      <c r="B266" s="102">
        <v>44193</v>
      </c>
      <c r="C266" s="9" t="s">
        <v>743</v>
      </c>
      <c r="D266" s="30">
        <v>34</v>
      </c>
      <c r="E266" s="13">
        <v>8</v>
      </c>
      <c r="F266" s="50">
        <f t="shared" si="31"/>
        <v>272</v>
      </c>
      <c r="G266" s="103"/>
      <c r="H266" s="103"/>
      <c r="I266" s="104"/>
      <c r="J266" s="103"/>
      <c r="K266" s="103"/>
      <c r="L266" s="103">
        <f t="shared" si="30"/>
        <v>34</v>
      </c>
      <c r="M266" s="103"/>
      <c r="N266" s="103" t="s">
        <v>947</v>
      </c>
      <c r="O266" s="104">
        <f t="shared" si="28"/>
        <v>272</v>
      </c>
    </row>
    <row r="267" spans="1:15" s="105" customFormat="1" ht="15.75" x14ac:dyDescent="0.25">
      <c r="A267" s="113" t="s">
        <v>526</v>
      </c>
      <c r="B267" s="102">
        <v>44193</v>
      </c>
      <c r="C267" s="9" t="s">
        <v>744</v>
      </c>
      <c r="D267" s="30">
        <v>1</v>
      </c>
      <c r="E267" s="13">
        <v>150</v>
      </c>
      <c r="F267" s="50">
        <f t="shared" si="31"/>
        <v>150</v>
      </c>
      <c r="G267" s="107">
        <v>44852</v>
      </c>
      <c r="H267" s="103">
        <v>5</v>
      </c>
      <c r="I267" s="104">
        <v>91.99</v>
      </c>
      <c r="J267" s="108">
        <f>+H267*I267</f>
        <v>459.95</v>
      </c>
      <c r="K267" s="103"/>
      <c r="L267" s="103">
        <f t="shared" si="30"/>
        <v>6</v>
      </c>
      <c r="M267" s="103" t="s">
        <v>1037</v>
      </c>
      <c r="N267" s="103" t="s">
        <v>947</v>
      </c>
      <c r="O267" s="104">
        <f t="shared" si="28"/>
        <v>900</v>
      </c>
    </row>
    <row r="268" spans="1:15" s="8" customFormat="1" ht="31.5" x14ac:dyDescent="0.25">
      <c r="A268" s="113" t="s">
        <v>527</v>
      </c>
      <c r="B268" s="102">
        <v>44193</v>
      </c>
      <c r="C268" s="9" t="s">
        <v>745</v>
      </c>
      <c r="D268" s="30">
        <v>1</v>
      </c>
      <c r="E268" s="13">
        <v>211.86</v>
      </c>
      <c r="F268" s="50">
        <f t="shared" si="31"/>
        <v>211.86</v>
      </c>
      <c r="G268" s="107">
        <v>44851</v>
      </c>
      <c r="H268" s="103">
        <v>20</v>
      </c>
      <c r="I268" s="104">
        <v>188.21</v>
      </c>
      <c r="J268" s="108">
        <f>+H268*I268</f>
        <v>3764.2000000000003</v>
      </c>
      <c r="K268" s="103"/>
      <c r="L268" s="103">
        <f t="shared" si="30"/>
        <v>21</v>
      </c>
      <c r="M268" s="121" t="s">
        <v>1006</v>
      </c>
      <c r="N268" s="103" t="s">
        <v>946</v>
      </c>
      <c r="O268" s="104">
        <f>+L268*I268</f>
        <v>3952.4100000000003</v>
      </c>
    </row>
    <row r="269" spans="1:15" s="8" customFormat="1" ht="15.75" x14ac:dyDescent="0.25">
      <c r="A269" s="113" t="s">
        <v>528</v>
      </c>
      <c r="B269" s="106" t="s">
        <v>105</v>
      </c>
      <c r="C269" s="9" t="s">
        <v>747</v>
      </c>
      <c r="D269" s="30">
        <f>90+44</f>
        <v>134</v>
      </c>
      <c r="E269" s="13">
        <v>25.42</v>
      </c>
      <c r="F269" s="50">
        <f t="shared" si="31"/>
        <v>3406.28</v>
      </c>
      <c r="G269" s="103"/>
      <c r="H269" s="103"/>
      <c r="I269" s="104"/>
      <c r="J269" s="103"/>
      <c r="K269" s="103"/>
      <c r="L269" s="103">
        <f t="shared" si="30"/>
        <v>134</v>
      </c>
      <c r="M269" s="103"/>
      <c r="N269" s="103" t="s">
        <v>947</v>
      </c>
      <c r="O269" s="104">
        <f t="shared" ref="O269:O274" si="32">+L269*E269</f>
        <v>3406.28</v>
      </c>
    </row>
    <row r="270" spans="1:15" s="8" customFormat="1" ht="15.75" x14ac:dyDescent="0.25">
      <c r="A270" s="113" t="s">
        <v>529</v>
      </c>
      <c r="B270" s="102">
        <v>44193</v>
      </c>
      <c r="C270" s="9" t="s">
        <v>748</v>
      </c>
      <c r="D270" s="30">
        <v>31</v>
      </c>
      <c r="E270" s="13">
        <v>50</v>
      </c>
      <c r="F270" s="50">
        <f t="shared" si="31"/>
        <v>1550</v>
      </c>
      <c r="G270" s="107">
        <v>44852</v>
      </c>
      <c r="H270" s="103">
        <f>10*12</f>
        <v>120</v>
      </c>
      <c r="I270" s="104">
        <v>23.82</v>
      </c>
      <c r="J270" s="108">
        <f>+H270*I270</f>
        <v>2858.4</v>
      </c>
      <c r="K270" s="103"/>
      <c r="L270" s="103">
        <f t="shared" si="30"/>
        <v>151</v>
      </c>
      <c r="M270" s="103" t="s">
        <v>1037</v>
      </c>
      <c r="N270" s="103" t="s">
        <v>947</v>
      </c>
      <c r="O270" s="104">
        <f>+L270*I270</f>
        <v>3596.82</v>
      </c>
    </row>
    <row r="271" spans="1:15" s="8" customFormat="1" ht="15.75" x14ac:dyDescent="0.25">
      <c r="A271" s="113" t="s">
        <v>873</v>
      </c>
      <c r="B271" s="102">
        <v>44193</v>
      </c>
      <c r="C271" s="25" t="s">
        <v>785</v>
      </c>
      <c r="D271" s="38">
        <v>4</v>
      </c>
      <c r="E271" s="13">
        <v>45</v>
      </c>
      <c r="F271" s="50">
        <f t="shared" si="31"/>
        <v>180</v>
      </c>
      <c r="G271" s="103"/>
      <c r="H271" s="103"/>
      <c r="I271" s="104"/>
      <c r="J271" s="103"/>
      <c r="K271" s="103"/>
      <c r="L271" s="103">
        <f t="shared" si="30"/>
        <v>4</v>
      </c>
      <c r="M271" s="103"/>
      <c r="N271" s="103" t="s">
        <v>947</v>
      </c>
      <c r="O271" s="104">
        <f t="shared" si="32"/>
        <v>180</v>
      </c>
    </row>
    <row r="272" spans="1:15" s="8" customFormat="1" ht="15.75" x14ac:dyDescent="0.25">
      <c r="A272" s="113" t="s">
        <v>874</v>
      </c>
      <c r="B272" s="106" t="s">
        <v>105</v>
      </c>
      <c r="C272" s="9" t="s">
        <v>746</v>
      </c>
      <c r="D272" s="30">
        <v>7</v>
      </c>
      <c r="E272" s="51">
        <v>48</v>
      </c>
      <c r="F272" s="50">
        <f>D272*E272</f>
        <v>336</v>
      </c>
      <c r="G272" s="103"/>
      <c r="H272" s="103"/>
      <c r="I272" s="104"/>
      <c r="J272" s="103"/>
      <c r="K272" s="103">
        <f>3+2</f>
        <v>5</v>
      </c>
      <c r="L272" s="103">
        <f t="shared" si="30"/>
        <v>2</v>
      </c>
      <c r="M272" s="103"/>
      <c r="N272" s="103" t="s">
        <v>947</v>
      </c>
      <c r="O272" s="104">
        <f t="shared" si="32"/>
        <v>96</v>
      </c>
    </row>
    <row r="273" spans="1:15" s="8" customFormat="1" ht="15.75" x14ac:dyDescent="0.25">
      <c r="A273" s="113" t="s">
        <v>875</v>
      </c>
      <c r="B273" s="102"/>
      <c r="C273" s="25" t="s">
        <v>815</v>
      </c>
      <c r="D273" s="38">
        <v>6</v>
      </c>
      <c r="E273" s="13"/>
      <c r="F273" s="50"/>
      <c r="G273" s="103"/>
      <c r="H273" s="103"/>
      <c r="I273" s="104"/>
      <c r="J273" s="103"/>
      <c r="K273" s="103"/>
      <c r="L273" s="103">
        <f t="shared" si="30"/>
        <v>6</v>
      </c>
      <c r="M273" s="103"/>
      <c r="N273" s="103" t="s">
        <v>946</v>
      </c>
      <c r="O273" s="104">
        <f t="shared" si="32"/>
        <v>0</v>
      </c>
    </row>
    <row r="274" spans="1:15" s="92" customFormat="1" x14ac:dyDescent="0.3">
      <c r="A274" s="113" t="s">
        <v>876</v>
      </c>
      <c r="B274" s="102">
        <v>44193</v>
      </c>
      <c r="C274" s="26" t="s">
        <v>750</v>
      </c>
      <c r="D274" s="38">
        <v>20</v>
      </c>
      <c r="E274" s="13">
        <v>1449.14</v>
      </c>
      <c r="F274" s="50">
        <f t="shared" ref="F274:F286" si="33">D274*E274</f>
        <v>28982.800000000003</v>
      </c>
      <c r="G274" s="103"/>
      <c r="H274" s="103"/>
      <c r="I274" s="104"/>
      <c r="J274" s="103"/>
      <c r="K274" s="103"/>
      <c r="L274" s="103">
        <f t="shared" si="30"/>
        <v>20</v>
      </c>
      <c r="M274" s="103"/>
      <c r="N274" s="103" t="s">
        <v>945</v>
      </c>
      <c r="O274" s="104">
        <f t="shared" si="32"/>
        <v>28982.800000000003</v>
      </c>
    </row>
    <row r="275" spans="1:15" s="92" customFormat="1" x14ac:dyDescent="0.3">
      <c r="A275" s="113" t="s">
        <v>877</v>
      </c>
      <c r="B275" s="102">
        <v>44193</v>
      </c>
      <c r="C275" s="26" t="s">
        <v>771</v>
      </c>
      <c r="D275" s="38">
        <v>3</v>
      </c>
      <c r="E275" s="13">
        <v>289</v>
      </c>
      <c r="F275" s="50">
        <f t="shared" si="33"/>
        <v>867</v>
      </c>
      <c r="G275" s="107">
        <v>44778</v>
      </c>
      <c r="H275" s="103">
        <v>10</v>
      </c>
      <c r="I275" s="104">
        <v>3481</v>
      </c>
      <c r="J275" s="103">
        <f>+I275/10</f>
        <v>348.1</v>
      </c>
      <c r="K275" s="103"/>
      <c r="L275" s="103">
        <f t="shared" si="30"/>
        <v>13</v>
      </c>
      <c r="M275" s="103" t="s">
        <v>943</v>
      </c>
      <c r="N275" s="103" t="s">
        <v>945</v>
      </c>
      <c r="O275" s="104">
        <f>+L275*I275</f>
        <v>45253</v>
      </c>
    </row>
    <row r="276" spans="1:15" s="8" customFormat="1" ht="15.75" x14ac:dyDescent="0.25">
      <c r="A276" s="113" t="s">
        <v>878</v>
      </c>
      <c r="B276" s="102">
        <v>44193</v>
      </c>
      <c r="C276" s="26" t="s">
        <v>754</v>
      </c>
      <c r="D276" s="38">
        <v>7</v>
      </c>
      <c r="E276" s="13">
        <v>38</v>
      </c>
      <c r="F276" s="50">
        <f t="shared" si="33"/>
        <v>266</v>
      </c>
      <c r="G276" s="103"/>
      <c r="H276" s="103"/>
      <c r="I276" s="104"/>
      <c r="J276" s="103"/>
      <c r="K276" s="103"/>
      <c r="L276" s="103">
        <f t="shared" si="30"/>
        <v>7</v>
      </c>
      <c r="M276" s="103"/>
      <c r="N276" s="103" t="s">
        <v>946</v>
      </c>
      <c r="O276" s="104">
        <f>+L276*E276</f>
        <v>266</v>
      </c>
    </row>
    <row r="277" spans="1:15" s="8" customFormat="1" ht="15.75" x14ac:dyDescent="0.25">
      <c r="A277" s="113" t="s">
        <v>879</v>
      </c>
      <c r="B277" s="106" t="s">
        <v>105</v>
      </c>
      <c r="C277" s="26" t="s">
        <v>753</v>
      </c>
      <c r="D277" s="38">
        <v>12</v>
      </c>
      <c r="E277" s="13">
        <v>38</v>
      </c>
      <c r="F277" s="50">
        <f t="shared" si="33"/>
        <v>456</v>
      </c>
      <c r="G277" s="103"/>
      <c r="H277" s="103"/>
      <c r="I277" s="104"/>
      <c r="J277" s="103"/>
      <c r="K277" s="103"/>
      <c r="L277" s="103">
        <f t="shared" si="30"/>
        <v>12</v>
      </c>
      <c r="M277" s="103"/>
      <c r="N277" s="103" t="s">
        <v>946</v>
      </c>
      <c r="O277" s="104">
        <f t="shared" ref="O277:O302" si="34">+L277*E277</f>
        <v>456</v>
      </c>
    </row>
    <row r="278" spans="1:15" s="8" customFormat="1" ht="15.75" x14ac:dyDescent="0.25">
      <c r="A278" s="113" t="s">
        <v>880</v>
      </c>
      <c r="B278" s="102">
        <v>44193</v>
      </c>
      <c r="C278" s="26" t="s">
        <v>757</v>
      </c>
      <c r="D278" s="38">
        <v>1</v>
      </c>
      <c r="E278" s="13">
        <v>38</v>
      </c>
      <c r="F278" s="50">
        <f t="shared" si="33"/>
        <v>38</v>
      </c>
      <c r="G278" s="103"/>
      <c r="H278" s="103"/>
      <c r="I278" s="104"/>
      <c r="J278" s="103"/>
      <c r="K278" s="103"/>
      <c r="L278" s="103">
        <f t="shared" si="30"/>
        <v>1</v>
      </c>
      <c r="M278" s="103"/>
      <c r="N278" s="103" t="s">
        <v>946</v>
      </c>
      <c r="O278" s="104">
        <f t="shared" si="34"/>
        <v>38</v>
      </c>
    </row>
    <row r="279" spans="1:15" s="8" customFormat="1" ht="15.75" x14ac:dyDescent="0.25">
      <c r="A279" s="113" t="s">
        <v>881</v>
      </c>
      <c r="B279" s="102">
        <v>44193</v>
      </c>
      <c r="C279" s="26" t="s">
        <v>760</v>
      </c>
      <c r="D279" s="38">
        <v>1</v>
      </c>
      <c r="E279" s="13">
        <v>41</v>
      </c>
      <c r="F279" s="50">
        <f t="shared" si="33"/>
        <v>41</v>
      </c>
      <c r="G279" s="103"/>
      <c r="H279" s="103"/>
      <c r="I279" s="104"/>
      <c r="J279" s="103"/>
      <c r="K279" s="103"/>
      <c r="L279" s="103">
        <f t="shared" si="30"/>
        <v>1</v>
      </c>
      <c r="M279" s="103"/>
      <c r="N279" s="103" t="s">
        <v>946</v>
      </c>
      <c r="O279" s="104">
        <f t="shared" si="34"/>
        <v>41</v>
      </c>
    </row>
    <row r="280" spans="1:15" s="8" customFormat="1" ht="15.75" x14ac:dyDescent="0.25">
      <c r="A280" s="113" t="s">
        <v>882</v>
      </c>
      <c r="B280" s="102">
        <v>44193</v>
      </c>
      <c r="C280" s="26" t="s">
        <v>758</v>
      </c>
      <c r="D280" s="38">
        <v>1</v>
      </c>
      <c r="E280" s="13">
        <v>38</v>
      </c>
      <c r="F280" s="50">
        <f t="shared" si="33"/>
        <v>38</v>
      </c>
      <c r="G280" s="103"/>
      <c r="H280" s="103"/>
      <c r="I280" s="104"/>
      <c r="J280" s="103"/>
      <c r="K280" s="103"/>
      <c r="L280" s="103">
        <f t="shared" si="30"/>
        <v>1</v>
      </c>
      <c r="M280" s="103"/>
      <c r="N280" s="103" t="s">
        <v>946</v>
      </c>
      <c r="O280" s="104">
        <f t="shared" si="34"/>
        <v>38</v>
      </c>
    </row>
    <row r="281" spans="1:15" s="8" customFormat="1" ht="15.75" x14ac:dyDescent="0.25">
      <c r="A281" s="113" t="s">
        <v>883</v>
      </c>
      <c r="B281" s="102">
        <v>44193</v>
      </c>
      <c r="C281" s="26" t="s">
        <v>759</v>
      </c>
      <c r="D281" s="38">
        <v>1</v>
      </c>
      <c r="E281" s="13">
        <v>38</v>
      </c>
      <c r="F281" s="50">
        <f t="shared" si="33"/>
        <v>38</v>
      </c>
      <c r="G281" s="103"/>
      <c r="H281" s="103"/>
      <c r="I281" s="104"/>
      <c r="J281" s="103"/>
      <c r="K281" s="103"/>
      <c r="L281" s="103">
        <f t="shared" si="30"/>
        <v>1</v>
      </c>
      <c r="M281" s="103"/>
      <c r="N281" s="103" t="s">
        <v>946</v>
      </c>
      <c r="O281" s="104">
        <f t="shared" si="34"/>
        <v>38</v>
      </c>
    </row>
    <row r="282" spans="1:15" s="8" customFormat="1" ht="15.75" x14ac:dyDescent="0.25">
      <c r="A282" s="113" t="s">
        <v>884</v>
      </c>
      <c r="B282" s="106" t="s">
        <v>105</v>
      </c>
      <c r="C282" s="26" t="s">
        <v>755</v>
      </c>
      <c r="D282" s="38">
        <v>1</v>
      </c>
      <c r="E282" s="13">
        <v>38</v>
      </c>
      <c r="F282" s="50">
        <f t="shared" si="33"/>
        <v>38</v>
      </c>
      <c r="G282" s="103"/>
      <c r="H282" s="103"/>
      <c r="I282" s="104"/>
      <c r="J282" s="103"/>
      <c r="K282" s="103"/>
      <c r="L282" s="103">
        <f t="shared" si="30"/>
        <v>1</v>
      </c>
      <c r="M282" s="103"/>
      <c r="N282" s="103" t="s">
        <v>946</v>
      </c>
      <c r="O282" s="104">
        <f t="shared" si="34"/>
        <v>38</v>
      </c>
    </row>
    <row r="283" spans="1:15" s="8" customFormat="1" ht="15.75" x14ac:dyDescent="0.25">
      <c r="A283" s="113" t="s">
        <v>885</v>
      </c>
      <c r="B283" s="102">
        <v>44193</v>
      </c>
      <c r="C283" s="26" t="s">
        <v>756</v>
      </c>
      <c r="D283" s="38">
        <v>1</v>
      </c>
      <c r="E283" s="13">
        <v>38</v>
      </c>
      <c r="F283" s="50">
        <f t="shared" si="33"/>
        <v>38</v>
      </c>
      <c r="G283" s="103"/>
      <c r="H283" s="103"/>
      <c r="I283" s="104"/>
      <c r="J283" s="103"/>
      <c r="K283" s="103"/>
      <c r="L283" s="103">
        <f t="shared" si="30"/>
        <v>1</v>
      </c>
      <c r="M283" s="103"/>
      <c r="N283" s="103" t="s">
        <v>946</v>
      </c>
      <c r="O283" s="104">
        <f t="shared" si="34"/>
        <v>38</v>
      </c>
    </row>
    <row r="284" spans="1:15" s="8" customFormat="1" ht="15.75" x14ac:dyDescent="0.25">
      <c r="A284" s="113" t="s">
        <v>886</v>
      </c>
      <c r="B284" s="102">
        <v>44193</v>
      </c>
      <c r="C284" s="26" t="s">
        <v>762</v>
      </c>
      <c r="D284" s="38">
        <v>7</v>
      </c>
      <c r="E284" s="13">
        <v>537</v>
      </c>
      <c r="F284" s="50">
        <f t="shared" si="33"/>
        <v>3759</v>
      </c>
      <c r="G284" s="103"/>
      <c r="H284" s="103"/>
      <c r="I284" s="104"/>
      <c r="J284" s="103"/>
      <c r="K284" s="103"/>
      <c r="L284" s="103">
        <f t="shared" si="30"/>
        <v>7</v>
      </c>
      <c r="M284" s="103"/>
      <c r="N284" s="103" t="s">
        <v>946</v>
      </c>
      <c r="O284" s="104">
        <f t="shared" si="34"/>
        <v>3759</v>
      </c>
    </row>
    <row r="285" spans="1:15" s="8" customFormat="1" ht="15.75" x14ac:dyDescent="0.25">
      <c r="A285" s="113" t="s">
        <v>887</v>
      </c>
      <c r="B285" s="102">
        <v>44193</v>
      </c>
      <c r="C285" s="26" t="s">
        <v>761</v>
      </c>
      <c r="D285" s="38">
        <v>3</v>
      </c>
      <c r="E285" s="13">
        <v>537</v>
      </c>
      <c r="F285" s="50">
        <f t="shared" si="33"/>
        <v>1611</v>
      </c>
      <c r="G285" s="103"/>
      <c r="H285" s="103"/>
      <c r="I285" s="104"/>
      <c r="J285" s="103"/>
      <c r="K285" s="103"/>
      <c r="L285" s="103">
        <f t="shared" si="30"/>
        <v>3</v>
      </c>
      <c r="M285" s="103"/>
      <c r="N285" s="103" t="s">
        <v>946</v>
      </c>
      <c r="O285" s="104">
        <f t="shared" si="34"/>
        <v>1611</v>
      </c>
    </row>
    <row r="286" spans="1:15" s="8" customFormat="1" ht="15.75" x14ac:dyDescent="0.25">
      <c r="A286" s="113" t="s">
        <v>888</v>
      </c>
      <c r="B286" s="102">
        <v>44193</v>
      </c>
      <c r="C286" s="9" t="s">
        <v>763</v>
      </c>
      <c r="D286" s="30">
        <v>13</v>
      </c>
      <c r="E286" s="13">
        <v>13.87</v>
      </c>
      <c r="F286" s="50">
        <f t="shared" si="33"/>
        <v>180.31</v>
      </c>
      <c r="G286" s="103"/>
      <c r="H286" s="103"/>
      <c r="I286" s="104"/>
      <c r="J286" s="103"/>
      <c r="K286" s="103"/>
      <c r="L286" s="103">
        <f t="shared" si="30"/>
        <v>13</v>
      </c>
      <c r="M286" s="103"/>
      <c r="N286" s="103" t="s">
        <v>947</v>
      </c>
      <c r="O286" s="104">
        <f t="shared" si="34"/>
        <v>180.31</v>
      </c>
    </row>
    <row r="287" spans="1:15" s="8" customFormat="1" ht="15.75" x14ac:dyDescent="0.25">
      <c r="A287" s="113" t="s">
        <v>889</v>
      </c>
      <c r="B287" s="102"/>
      <c r="C287" s="25" t="s">
        <v>814</v>
      </c>
      <c r="D287" s="38">
        <v>5</v>
      </c>
      <c r="E287" s="13"/>
      <c r="F287" s="50"/>
      <c r="G287" s="103"/>
      <c r="H287" s="103"/>
      <c r="I287" s="104"/>
      <c r="J287" s="103"/>
      <c r="K287" s="103"/>
      <c r="L287" s="103">
        <f t="shared" si="30"/>
        <v>5</v>
      </c>
      <c r="M287" s="103"/>
      <c r="N287" s="103" t="s">
        <v>946</v>
      </c>
      <c r="O287" s="104">
        <f>+L287*E287</f>
        <v>0</v>
      </c>
    </row>
    <row r="288" spans="1:15" s="8" customFormat="1" ht="15.75" x14ac:dyDescent="0.25">
      <c r="A288" s="113" t="s">
        <v>890</v>
      </c>
      <c r="B288" s="102"/>
      <c r="C288" s="25" t="s">
        <v>805</v>
      </c>
      <c r="D288" s="38">
        <v>9</v>
      </c>
      <c r="E288" s="13"/>
      <c r="F288" s="50"/>
      <c r="G288" s="103"/>
      <c r="H288" s="103"/>
      <c r="I288" s="104"/>
      <c r="J288" s="103"/>
      <c r="K288" s="103"/>
      <c r="L288" s="103">
        <f t="shared" si="30"/>
        <v>9</v>
      </c>
      <c r="M288" s="103"/>
      <c r="N288" s="103" t="s">
        <v>946</v>
      </c>
      <c r="O288" s="104">
        <f t="shared" si="34"/>
        <v>0</v>
      </c>
    </row>
    <row r="289" spans="1:15" s="105" customFormat="1" ht="15.75" x14ac:dyDescent="0.25">
      <c r="A289" s="113" t="s">
        <v>891</v>
      </c>
      <c r="B289" s="102"/>
      <c r="C289" s="25" t="s">
        <v>784</v>
      </c>
      <c r="D289" s="38">
        <v>29</v>
      </c>
      <c r="E289" s="13"/>
      <c r="F289" s="50"/>
      <c r="G289" s="107">
        <v>44852</v>
      </c>
      <c r="H289" s="103">
        <v>15</v>
      </c>
      <c r="I289" s="104">
        <v>25.52</v>
      </c>
      <c r="J289" s="108">
        <f>+H289*I289</f>
        <v>382.8</v>
      </c>
      <c r="K289" s="103">
        <v>1</v>
      </c>
      <c r="L289" s="103">
        <f t="shared" si="30"/>
        <v>43</v>
      </c>
      <c r="M289" s="103" t="s">
        <v>1037</v>
      </c>
      <c r="N289" s="103" t="s">
        <v>947</v>
      </c>
      <c r="O289" s="104">
        <f>+L289*I289</f>
        <v>1097.3599999999999</v>
      </c>
    </row>
    <row r="290" spans="1:15" s="105" customFormat="1" ht="15.75" x14ac:dyDescent="0.25">
      <c r="A290" s="113" t="s">
        <v>892</v>
      </c>
      <c r="B290" s="102">
        <v>44729</v>
      </c>
      <c r="C290" s="25" t="s">
        <v>860</v>
      </c>
      <c r="D290" s="38">
        <v>12</v>
      </c>
      <c r="E290" s="13">
        <v>1637.5</v>
      </c>
      <c r="F290" s="50">
        <f>+D290*E290</f>
        <v>19650</v>
      </c>
      <c r="G290" s="103"/>
      <c r="H290" s="103"/>
      <c r="I290" s="104"/>
      <c r="J290" s="103"/>
      <c r="K290" s="103"/>
      <c r="L290" s="103">
        <f t="shared" si="30"/>
        <v>12</v>
      </c>
      <c r="M290" s="103"/>
      <c r="N290" s="103" t="s">
        <v>946</v>
      </c>
      <c r="O290" s="104">
        <f t="shared" ref="O290" si="35">+L290*E290</f>
        <v>19650</v>
      </c>
    </row>
    <row r="291" spans="1:15" s="92" customFormat="1" x14ac:dyDescent="0.3">
      <c r="A291" s="113" t="s">
        <v>893</v>
      </c>
      <c r="B291" s="102">
        <v>44652</v>
      </c>
      <c r="C291" s="25" t="s">
        <v>859</v>
      </c>
      <c r="D291" s="38">
        <f>11+6+12+11</f>
        <v>40</v>
      </c>
      <c r="E291" s="13">
        <v>159</v>
      </c>
      <c r="F291" s="50">
        <f>+D291*E291</f>
        <v>6360</v>
      </c>
      <c r="G291" s="103"/>
      <c r="H291" s="103"/>
      <c r="I291" s="104"/>
      <c r="J291" s="103"/>
      <c r="K291" s="103">
        <f>3+1+1+1</f>
        <v>6</v>
      </c>
      <c r="L291" s="103">
        <f t="shared" si="30"/>
        <v>34</v>
      </c>
      <c r="M291" s="103"/>
      <c r="N291" s="103" t="s">
        <v>945</v>
      </c>
      <c r="O291" s="104">
        <f t="shared" si="34"/>
        <v>5406</v>
      </c>
    </row>
    <row r="292" spans="1:15" s="92" customFormat="1" x14ac:dyDescent="0.3">
      <c r="A292" s="113" t="s">
        <v>894</v>
      </c>
      <c r="B292" s="102">
        <v>44652</v>
      </c>
      <c r="C292" s="25" t="s">
        <v>858</v>
      </c>
      <c r="D292" s="38">
        <v>11</v>
      </c>
      <c r="E292" s="13"/>
      <c r="F292" s="50">
        <f>+D292*E292</f>
        <v>0</v>
      </c>
      <c r="G292" s="103"/>
      <c r="H292" s="103"/>
      <c r="I292" s="104"/>
      <c r="J292" s="103"/>
      <c r="K292" s="103"/>
      <c r="L292" s="103">
        <f t="shared" si="30"/>
        <v>11</v>
      </c>
      <c r="M292" s="103"/>
      <c r="N292" s="103" t="s">
        <v>945</v>
      </c>
      <c r="O292" s="104">
        <f t="shared" si="34"/>
        <v>0</v>
      </c>
    </row>
    <row r="293" spans="1:15" s="92" customFormat="1" x14ac:dyDescent="0.3">
      <c r="A293" s="113" t="s">
        <v>895</v>
      </c>
      <c r="B293" s="102">
        <v>44652</v>
      </c>
      <c r="C293" s="25" t="s">
        <v>920</v>
      </c>
      <c r="D293" s="38">
        <f>9+11+7</f>
        <v>27</v>
      </c>
      <c r="E293" s="13">
        <v>145</v>
      </c>
      <c r="F293" s="50">
        <f>+D293*E293</f>
        <v>3915</v>
      </c>
      <c r="G293" s="103"/>
      <c r="H293" s="103"/>
      <c r="I293" s="104"/>
      <c r="J293" s="103"/>
      <c r="K293" s="103">
        <v>1</v>
      </c>
      <c r="L293" s="103">
        <f t="shared" si="30"/>
        <v>26</v>
      </c>
      <c r="M293" s="103"/>
      <c r="N293" s="103" t="s">
        <v>945</v>
      </c>
      <c r="O293" s="104">
        <f t="shared" si="34"/>
        <v>3770</v>
      </c>
    </row>
    <row r="294" spans="1:15" s="8" customFormat="1" ht="15.75" x14ac:dyDescent="0.25">
      <c r="A294" s="113" t="s">
        <v>896</v>
      </c>
      <c r="B294" s="102"/>
      <c r="C294" s="25" t="s">
        <v>795</v>
      </c>
      <c r="D294" s="38">
        <v>29</v>
      </c>
      <c r="E294" s="13">
        <v>29.35</v>
      </c>
      <c r="F294" s="50">
        <f t="shared" ref="F294:F310" si="36">+D294*E294</f>
        <v>851.15000000000009</v>
      </c>
      <c r="G294" s="103"/>
      <c r="H294" s="103"/>
      <c r="I294" s="104"/>
      <c r="J294" s="103"/>
      <c r="K294" s="103"/>
      <c r="L294" s="103">
        <f t="shared" si="30"/>
        <v>29</v>
      </c>
      <c r="M294" s="103"/>
      <c r="N294" s="103" t="s">
        <v>946</v>
      </c>
      <c r="O294" s="104">
        <f t="shared" si="34"/>
        <v>851.15000000000009</v>
      </c>
    </row>
    <row r="295" spans="1:15" s="8" customFormat="1" ht="15.75" x14ac:dyDescent="0.25">
      <c r="A295" s="113" t="s">
        <v>897</v>
      </c>
      <c r="B295" s="102"/>
      <c r="C295" s="25" t="s">
        <v>843</v>
      </c>
      <c r="D295" s="38">
        <v>8</v>
      </c>
      <c r="E295" s="13"/>
      <c r="F295" s="50">
        <f t="shared" si="36"/>
        <v>0</v>
      </c>
      <c r="G295" s="103"/>
      <c r="H295" s="103"/>
      <c r="I295" s="104"/>
      <c r="J295" s="103"/>
      <c r="K295" s="103"/>
      <c r="L295" s="103">
        <f t="shared" si="30"/>
        <v>8</v>
      </c>
      <c r="M295" s="103"/>
      <c r="N295" s="103" t="s">
        <v>946</v>
      </c>
      <c r="O295" s="104">
        <f t="shared" si="34"/>
        <v>0</v>
      </c>
    </row>
    <row r="296" spans="1:15" s="8" customFormat="1" ht="15.75" x14ac:dyDescent="0.25">
      <c r="A296" s="113" t="s">
        <v>898</v>
      </c>
      <c r="B296" s="102"/>
      <c r="C296" s="25" t="s">
        <v>793</v>
      </c>
      <c r="D296" s="38">
        <f>3+1</f>
        <v>4</v>
      </c>
      <c r="E296" s="13"/>
      <c r="F296" s="50">
        <f t="shared" si="36"/>
        <v>0</v>
      </c>
      <c r="G296" s="103"/>
      <c r="H296" s="103"/>
      <c r="I296" s="104"/>
      <c r="J296" s="103"/>
      <c r="K296" s="103">
        <v>1</v>
      </c>
      <c r="L296" s="103">
        <f t="shared" si="30"/>
        <v>3</v>
      </c>
      <c r="M296" s="103"/>
      <c r="N296" s="103" t="s">
        <v>946</v>
      </c>
      <c r="O296" s="104">
        <f t="shared" si="34"/>
        <v>0</v>
      </c>
    </row>
    <row r="297" spans="1:15" s="8" customFormat="1" ht="15.75" x14ac:dyDescent="0.25">
      <c r="A297" s="113" t="s">
        <v>899</v>
      </c>
      <c r="B297" s="102"/>
      <c r="C297" s="25" t="s">
        <v>842</v>
      </c>
      <c r="D297" s="38">
        <v>2</v>
      </c>
      <c r="E297" s="13"/>
      <c r="F297" s="50">
        <f t="shared" si="36"/>
        <v>0</v>
      </c>
      <c r="G297" s="103"/>
      <c r="H297" s="103"/>
      <c r="I297" s="104"/>
      <c r="J297" s="103"/>
      <c r="K297" s="103"/>
      <c r="L297" s="103">
        <f t="shared" si="30"/>
        <v>2</v>
      </c>
      <c r="M297" s="103"/>
      <c r="N297" s="103" t="s">
        <v>946</v>
      </c>
      <c r="O297" s="104">
        <f t="shared" si="34"/>
        <v>0</v>
      </c>
    </row>
    <row r="298" spans="1:15" s="8" customFormat="1" ht="15.75" x14ac:dyDescent="0.25">
      <c r="A298" s="113" t="s">
        <v>900</v>
      </c>
      <c r="B298" s="102">
        <v>44193</v>
      </c>
      <c r="C298" s="25" t="s">
        <v>841</v>
      </c>
      <c r="D298" s="38">
        <v>1</v>
      </c>
      <c r="E298" s="13">
        <v>18.86</v>
      </c>
      <c r="F298" s="50">
        <f t="shared" si="36"/>
        <v>18.86</v>
      </c>
      <c r="G298" s="103"/>
      <c r="H298" s="103"/>
      <c r="I298" s="104"/>
      <c r="J298" s="103"/>
      <c r="K298" s="103"/>
      <c r="L298" s="103">
        <f t="shared" si="30"/>
        <v>1</v>
      </c>
      <c r="M298" s="103"/>
      <c r="N298" s="103" t="s">
        <v>946</v>
      </c>
      <c r="O298" s="104">
        <f>+L298*E298</f>
        <v>18.86</v>
      </c>
    </row>
    <row r="299" spans="1:15" s="8" customFormat="1" ht="15.75" x14ac:dyDescent="0.25">
      <c r="A299" s="113" t="s">
        <v>901</v>
      </c>
      <c r="B299" s="102">
        <v>44193</v>
      </c>
      <c r="C299" s="25" t="s">
        <v>848</v>
      </c>
      <c r="D299" s="38">
        <v>1</v>
      </c>
      <c r="E299" s="13"/>
      <c r="F299" s="50">
        <f t="shared" si="36"/>
        <v>0</v>
      </c>
      <c r="G299" s="103"/>
      <c r="H299" s="103"/>
      <c r="I299" s="104"/>
      <c r="J299" s="103"/>
      <c r="K299" s="103"/>
      <c r="L299" s="103">
        <f t="shared" si="30"/>
        <v>1</v>
      </c>
      <c r="M299" s="103"/>
      <c r="N299" s="103" t="s">
        <v>946</v>
      </c>
      <c r="O299" s="104">
        <f t="shared" si="34"/>
        <v>0</v>
      </c>
    </row>
    <row r="300" spans="1:15" s="8" customFormat="1" ht="15.75" x14ac:dyDescent="0.25">
      <c r="A300" s="113" t="s">
        <v>902</v>
      </c>
      <c r="B300" s="102">
        <v>44193</v>
      </c>
      <c r="C300" s="25" t="s">
        <v>839</v>
      </c>
      <c r="D300" s="38">
        <v>7</v>
      </c>
      <c r="E300" s="13"/>
      <c r="F300" s="50">
        <f t="shared" si="36"/>
        <v>0</v>
      </c>
      <c r="G300" s="103"/>
      <c r="H300" s="103"/>
      <c r="I300" s="104"/>
      <c r="J300" s="103"/>
      <c r="K300" s="103"/>
      <c r="L300" s="103">
        <f t="shared" si="30"/>
        <v>7</v>
      </c>
      <c r="M300" s="103"/>
      <c r="N300" s="103" t="s">
        <v>946</v>
      </c>
      <c r="O300" s="104">
        <f t="shared" si="34"/>
        <v>0</v>
      </c>
    </row>
    <row r="301" spans="1:15" s="8" customFormat="1" ht="15.75" x14ac:dyDescent="0.25">
      <c r="A301" s="113" t="s">
        <v>903</v>
      </c>
      <c r="B301" s="102">
        <v>44193</v>
      </c>
      <c r="C301" s="25" t="s">
        <v>867</v>
      </c>
      <c r="D301" s="38">
        <v>6</v>
      </c>
      <c r="E301" s="13">
        <v>176</v>
      </c>
      <c r="F301" s="50">
        <f t="shared" si="36"/>
        <v>1056</v>
      </c>
      <c r="G301" s="103"/>
      <c r="H301" s="103"/>
      <c r="I301" s="104"/>
      <c r="J301" s="103"/>
      <c r="K301" s="103"/>
      <c r="L301" s="103">
        <f t="shared" si="30"/>
        <v>6</v>
      </c>
      <c r="M301" s="103"/>
      <c r="N301" s="103" t="s">
        <v>947</v>
      </c>
      <c r="O301" s="104">
        <f t="shared" si="34"/>
        <v>1056</v>
      </c>
    </row>
    <row r="302" spans="1:15" s="8" customFormat="1" ht="15.75" x14ac:dyDescent="0.25">
      <c r="A302" s="113" t="s">
        <v>904</v>
      </c>
      <c r="B302" s="102">
        <v>44193</v>
      </c>
      <c r="C302" s="25" t="s">
        <v>798</v>
      </c>
      <c r="D302" s="38">
        <v>3</v>
      </c>
      <c r="E302" s="13">
        <v>234</v>
      </c>
      <c r="F302" s="50">
        <f t="shared" si="36"/>
        <v>702</v>
      </c>
      <c r="G302" s="103"/>
      <c r="H302" s="103"/>
      <c r="I302" s="104"/>
      <c r="J302" s="103"/>
      <c r="K302" s="103"/>
      <c r="L302" s="103">
        <f t="shared" si="30"/>
        <v>3</v>
      </c>
      <c r="M302" s="103"/>
      <c r="N302" s="103" t="s">
        <v>946</v>
      </c>
      <c r="O302" s="104">
        <f t="shared" si="34"/>
        <v>702</v>
      </c>
    </row>
    <row r="303" spans="1:15" s="92" customFormat="1" x14ac:dyDescent="0.3">
      <c r="A303" s="113" t="s">
        <v>905</v>
      </c>
      <c r="B303" s="102">
        <v>44193</v>
      </c>
      <c r="C303" s="25" t="s">
        <v>764</v>
      </c>
      <c r="D303" s="38">
        <v>0</v>
      </c>
      <c r="E303" s="13">
        <v>39</v>
      </c>
      <c r="F303" s="50">
        <f t="shared" si="36"/>
        <v>0</v>
      </c>
      <c r="G303" s="107">
        <v>44755</v>
      </c>
      <c r="H303" s="103">
        <v>25</v>
      </c>
      <c r="I303" s="104">
        <v>50.84</v>
      </c>
      <c r="J303" s="108">
        <f>+H303*I303</f>
        <v>1271</v>
      </c>
      <c r="K303" s="38">
        <f>1+1+2+1+1</f>
        <v>6</v>
      </c>
      <c r="L303" s="103">
        <f t="shared" si="30"/>
        <v>19</v>
      </c>
      <c r="M303" s="103" t="s">
        <v>928</v>
      </c>
      <c r="N303" s="103" t="s">
        <v>945</v>
      </c>
      <c r="O303" s="104">
        <f>+L303*I303</f>
        <v>965.96</v>
      </c>
    </row>
    <row r="304" spans="1:15" s="8" customFormat="1" ht="15.75" x14ac:dyDescent="0.25">
      <c r="A304" s="113" t="s">
        <v>906</v>
      </c>
      <c r="B304" s="102"/>
      <c r="C304" s="25" t="s">
        <v>799</v>
      </c>
      <c r="D304" s="38">
        <v>120</v>
      </c>
      <c r="E304" s="13"/>
      <c r="F304" s="50">
        <f t="shared" si="36"/>
        <v>0</v>
      </c>
      <c r="G304" s="103"/>
      <c r="H304" s="103"/>
      <c r="I304" s="104"/>
      <c r="J304" s="103"/>
      <c r="K304" s="103"/>
      <c r="L304" s="103">
        <f t="shared" ref="L304:L367" si="37">+D304+H304-K304</f>
        <v>120</v>
      </c>
      <c r="M304" s="103"/>
      <c r="N304" s="103" t="s">
        <v>946</v>
      </c>
      <c r="O304" s="104">
        <f>+L304*E304</f>
        <v>0</v>
      </c>
    </row>
    <row r="305" spans="1:15" s="8" customFormat="1" ht="15.75" x14ac:dyDescent="0.25">
      <c r="A305" s="113" t="s">
        <v>907</v>
      </c>
      <c r="B305" s="102"/>
      <c r="C305" s="25" t="s">
        <v>824</v>
      </c>
      <c r="D305" s="38">
        <v>15</v>
      </c>
      <c r="E305" s="13"/>
      <c r="F305" s="50">
        <f t="shared" si="36"/>
        <v>0</v>
      </c>
      <c r="G305" s="107"/>
      <c r="H305" s="103"/>
      <c r="I305" s="104"/>
      <c r="J305" s="108"/>
      <c r="K305" s="108"/>
      <c r="L305" s="103">
        <f t="shared" si="37"/>
        <v>15</v>
      </c>
      <c r="M305" s="103"/>
      <c r="N305" s="103" t="s">
        <v>946</v>
      </c>
      <c r="O305" s="104">
        <f t="shared" ref="O305:O322" si="38">+L305*E305</f>
        <v>0</v>
      </c>
    </row>
    <row r="306" spans="1:15" s="8" customFormat="1" ht="15.75" x14ac:dyDescent="0.25">
      <c r="A306" s="113" t="s">
        <v>908</v>
      </c>
      <c r="B306" s="102"/>
      <c r="C306" s="25" t="s">
        <v>837</v>
      </c>
      <c r="D306" s="38">
        <v>9</v>
      </c>
      <c r="E306" s="13"/>
      <c r="F306" s="50">
        <f t="shared" si="36"/>
        <v>0</v>
      </c>
      <c r="G306" s="103"/>
      <c r="H306" s="103"/>
      <c r="I306" s="104"/>
      <c r="J306" s="103"/>
      <c r="K306" s="103"/>
      <c r="L306" s="103">
        <f t="shared" si="37"/>
        <v>9</v>
      </c>
      <c r="M306" s="103"/>
      <c r="N306" s="103" t="s">
        <v>946</v>
      </c>
      <c r="O306" s="104">
        <f t="shared" si="38"/>
        <v>0</v>
      </c>
    </row>
    <row r="307" spans="1:15" s="8" customFormat="1" ht="15.75" x14ac:dyDescent="0.25">
      <c r="A307" s="113" t="s">
        <v>909</v>
      </c>
      <c r="B307" s="102"/>
      <c r="C307" s="25" t="s">
        <v>792</v>
      </c>
      <c r="D307" s="38">
        <v>19</v>
      </c>
      <c r="E307" s="13"/>
      <c r="F307" s="50">
        <f t="shared" si="36"/>
        <v>0</v>
      </c>
      <c r="G307" s="103"/>
      <c r="H307" s="103"/>
      <c r="I307" s="104"/>
      <c r="J307" s="103"/>
      <c r="K307" s="103"/>
      <c r="L307" s="103">
        <f t="shared" si="37"/>
        <v>19</v>
      </c>
      <c r="M307" s="103"/>
      <c r="N307" s="103" t="s">
        <v>946</v>
      </c>
      <c r="O307" s="104">
        <f t="shared" si="38"/>
        <v>0</v>
      </c>
    </row>
    <row r="308" spans="1:15" s="8" customFormat="1" ht="15.75" x14ac:dyDescent="0.25">
      <c r="A308" s="113" t="s">
        <v>910</v>
      </c>
      <c r="B308" s="102"/>
      <c r="C308" s="25" t="s">
        <v>329</v>
      </c>
      <c r="D308" s="38">
        <v>21</v>
      </c>
      <c r="E308" s="13"/>
      <c r="F308" s="50">
        <f t="shared" si="36"/>
        <v>0</v>
      </c>
      <c r="G308" s="103"/>
      <c r="H308" s="103"/>
      <c r="I308" s="104"/>
      <c r="J308" s="103"/>
      <c r="K308" s="103"/>
      <c r="L308" s="103">
        <f t="shared" si="37"/>
        <v>21</v>
      </c>
      <c r="M308" s="103"/>
      <c r="N308" s="103" t="s">
        <v>946</v>
      </c>
      <c r="O308" s="104">
        <f t="shared" si="38"/>
        <v>0</v>
      </c>
    </row>
    <row r="309" spans="1:15" s="8" customFormat="1" ht="15.75" x14ac:dyDescent="0.25">
      <c r="A309" s="113" t="s">
        <v>911</v>
      </c>
      <c r="B309" s="102"/>
      <c r="C309" s="25" t="s">
        <v>330</v>
      </c>
      <c r="D309" s="38">
        <f>2+18</f>
        <v>20</v>
      </c>
      <c r="E309" s="13"/>
      <c r="F309" s="50">
        <f t="shared" si="36"/>
        <v>0</v>
      </c>
      <c r="G309" s="103"/>
      <c r="H309" s="103"/>
      <c r="I309" s="104"/>
      <c r="J309" s="103"/>
      <c r="K309" s="103"/>
      <c r="L309" s="103">
        <f t="shared" si="37"/>
        <v>20</v>
      </c>
      <c r="M309" s="103"/>
      <c r="N309" s="103" t="s">
        <v>946</v>
      </c>
      <c r="O309" s="104">
        <f t="shared" si="38"/>
        <v>0</v>
      </c>
    </row>
    <row r="310" spans="1:15" s="8" customFormat="1" ht="15.75" x14ac:dyDescent="0.25">
      <c r="A310" s="113" t="s">
        <v>912</v>
      </c>
      <c r="B310" s="102">
        <v>44193</v>
      </c>
      <c r="C310" s="25" t="s">
        <v>836</v>
      </c>
      <c r="D310" s="38">
        <v>19</v>
      </c>
      <c r="E310" s="13">
        <v>30</v>
      </c>
      <c r="F310" s="50">
        <f t="shared" si="36"/>
        <v>570</v>
      </c>
      <c r="G310" s="103"/>
      <c r="H310" s="103"/>
      <c r="I310" s="104"/>
      <c r="J310" s="103"/>
      <c r="K310" s="103"/>
      <c r="L310" s="103">
        <f t="shared" si="37"/>
        <v>19</v>
      </c>
      <c r="M310" s="103"/>
      <c r="N310" s="103" t="s">
        <v>946</v>
      </c>
      <c r="O310" s="104">
        <f t="shared" si="38"/>
        <v>570</v>
      </c>
    </row>
    <row r="311" spans="1:15" s="8" customFormat="1" ht="15.75" x14ac:dyDescent="0.25">
      <c r="A311" s="113" t="s">
        <v>530</v>
      </c>
      <c r="B311" s="102">
        <v>44193</v>
      </c>
      <c r="C311" s="25" t="s">
        <v>810</v>
      </c>
      <c r="D311" s="38">
        <v>6</v>
      </c>
      <c r="E311" s="13">
        <v>299.72000000000003</v>
      </c>
      <c r="F311" s="50">
        <f>+D311*E311</f>
        <v>1798.3200000000002</v>
      </c>
      <c r="G311" s="103"/>
      <c r="H311" s="103"/>
      <c r="I311" s="104"/>
      <c r="J311" s="103"/>
      <c r="K311" s="103"/>
      <c r="L311" s="103">
        <f t="shared" si="37"/>
        <v>6</v>
      </c>
      <c r="M311" s="103"/>
      <c r="N311" s="103" t="s">
        <v>946</v>
      </c>
      <c r="O311" s="104">
        <f t="shared" si="38"/>
        <v>1798.3200000000002</v>
      </c>
    </row>
    <row r="312" spans="1:15" s="8" customFormat="1" ht="15.75" x14ac:dyDescent="0.25">
      <c r="A312" s="113" t="s">
        <v>916</v>
      </c>
      <c r="B312" s="102"/>
      <c r="C312" s="25" t="s">
        <v>836</v>
      </c>
      <c r="D312" s="38">
        <v>19</v>
      </c>
      <c r="E312" s="13"/>
      <c r="F312" s="50"/>
      <c r="G312" s="103"/>
      <c r="H312" s="103"/>
      <c r="I312" s="104"/>
      <c r="J312" s="103"/>
      <c r="K312" s="103"/>
      <c r="L312" s="103">
        <f t="shared" si="37"/>
        <v>19</v>
      </c>
      <c r="M312" s="103"/>
      <c r="N312" s="103" t="s">
        <v>946</v>
      </c>
      <c r="O312" s="104">
        <f t="shared" si="38"/>
        <v>0</v>
      </c>
    </row>
    <row r="313" spans="1:15" s="92" customFormat="1" x14ac:dyDescent="0.3">
      <c r="A313" s="113" t="s">
        <v>917</v>
      </c>
      <c r="B313" s="102"/>
      <c r="C313" s="25" t="s">
        <v>918</v>
      </c>
      <c r="D313" s="38">
        <v>5</v>
      </c>
      <c r="E313" s="13"/>
      <c r="F313" s="50"/>
      <c r="G313" s="103"/>
      <c r="H313" s="103"/>
      <c r="I313" s="104"/>
      <c r="J313" s="103"/>
      <c r="K313" s="103"/>
      <c r="L313" s="103">
        <f t="shared" si="37"/>
        <v>5</v>
      </c>
      <c r="M313" s="103"/>
      <c r="N313" s="103" t="s">
        <v>945</v>
      </c>
      <c r="O313" s="104">
        <f t="shared" si="38"/>
        <v>0</v>
      </c>
    </row>
    <row r="314" spans="1:15" s="92" customFormat="1" x14ac:dyDescent="0.3">
      <c r="A314" s="113" t="s">
        <v>921</v>
      </c>
      <c r="B314" s="102"/>
      <c r="C314" s="25" t="s">
        <v>919</v>
      </c>
      <c r="D314" s="38">
        <f>12+10+11</f>
        <v>33</v>
      </c>
      <c r="E314" s="13">
        <v>150</v>
      </c>
      <c r="F314" s="50"/>
      <c r="G314" s="103"/>
      <c r="H314" s="103"/>
      <c r="I314" s="104"/>
      <c r="J314" s="103"/>
      <c r="K314" s="103"/>
      <c r="L314" s="103">
        <f t="shared" si="37"/>
        <v>33</v>
      </c>
      <c r="M314" s="103"/>
      <c r="N314" s="103" t="s">
        <v>945</v>
      </c>
      <c r="O314" s="104">
        <f t="shared" si="38"/>
        <v>4950</v>
      </c>
    </row>
    <row r="315" spans="1:15" s="92" customFormat="1" x14ac:dyDescent="0.3">
      <c r="A315" s="113" t="s">
        <v>922</v>
      </c>
      <c r="B315" s="102"/>
      <c r="C315" s="25" t="s">
        <v>926</v>
      </c>
      <c r="D315" s="38">
        <v>1</v>
      </c>
      <c r="E315" s="13"/>
      <c r="F315" s="50"/>
      <c r="G315" s="103"/>
      <c r="H315" s="103"/>
      <c r="I315" s="104"/>
      <c r="J315" s="103"/>
      <c r="K315" s="103"/>
      <c r="L315" s="103">
        <f t="shared" si="37"/>
        <v>1</v>
      </c>
      <c r="M315" s="103"/>
      <c r="N315" s="103" t="s">
        <v>945</v>
      </c>
      <c r="O315" s="104">
        <f t="shared" si="38"/>
        <v>0</v>
      </c>
    </row>
    <row r="316" spans="1:15" s="92" customFormat="1" x14ac:dyDescent="0.3">
      <c r="A316" s="113" t="s">
        <v>923</v>
      </c>
      <c r="B316" s="102"/>
      <c r="C316" s="25" t="s">
        <v>930</v>
      </c>
      <c r="D316" s="38"/>
      <c r="E316" s="13"/>
      <c r="F316" s="50"/>
      <c r="G316" s="103"/>
      <c r="H316" s="103"/>
      <c r="I316" s="104"/>
      <c r="J316" s="103"/>
      <c r="K316" s="103">
        <f>2+2+2+2</f>
        <v>8</v>
      </c>
      <c r="L316" s="103">
        <f t="shared" si="37"/>
        <v>-8</v>
      </c>
      <c r="M316" s="103"/>
      <c r="N316" s="103" t="s">
        <v>945</v>
      </c>
      <c r="O316" s="104">
        <f t="shared" si="38"/>
        <v>0</v>
      </c>
    </row>
    <row r="317" spans="1:15" s="8" customFormat="1" ht="15.75" x14ac:dyDescent="0.25">
      <c r="A317" s="113" t="s">
        <v>932</v>
      </c>
      <c r="B317" s="102"/>
      <c r="C317" s="25" t="s">
        <v>931</v>
      </c>
      <c r="D317" s="38"/>
      <c r="E317" s="13"/>
      <c r="F317" s="50"/>
      <c r="G317" s="103"/>
      <c r="H317" s="103"/>
      <c r="I317" s="104"/>
      <c r="J317" s="103"/>
      <c r="K317" s="103">
        <f>1+1</f>
        <v>2</v>
      </c>
      <c r="L317" s="103">
        <f t="shared" si="37"/>
        <v>-2</v>
      </c>
      <c r="M317" s="103"/>
      <c r="N317" s="103" t="s">
        <v>947</v>
      </c>
      <c r="O317" s="104">
        <f t="shared" si="38"/>
        <v>0</v>
      </c>
    </row>
    <row r="318" spans="1:15" s="8" customFormat="1" ht="15.75" x14ac:dyDescent="0.25">
      <c r="A318" s="113" t="s">
        <v>933</v>
      </c>
      <c r="B318" s="102"/>
      <c r="C318" s="68" t="s">
        <v>934</v>
      </c>
      <c r="D318" s="38"/>
      <c r="E318" s="13"/>
      <c r="F318" s="50"/>
      <c r="G318" s="103"/>
      <c r="H318" s="103"/>
      <c r="I318" s="104"/>
      <c r="J318" s="103"/>
      <c r="K318" s="103">
        <f>1+1+15+1</f>
        <v>18</v>
      </c>
      <c r="L318" s="103">
        <f t="shared" si="37"/>
        <v>-18</v>
      </c>
      <c r="M318" s="103"/>
      <c r="N318" s="103" t="s">
        <v>946</v>
      </c>
      <c r="O318" s="104">
        <f t="shared" si="38"/>
        <v>0</v>
      </c>
    </row>
    <row r="319" spans="1:15" s="8" customFormat="1" ht="15.75" x14ac:dyDescent="0.25">
      <c r="A319" s="113" t="s">
        <v>936</v>
      </c>
      <c r="B319" s="102">
        <v>44193</v>
      </c>
      <c r="C319" s="25" t="s">
        <v>613</v>
      </c>
      <c r="D319" s="38">
        <v>25</v>
      </c>
      <c r="E319" s="13">
        <v>5.78</v>
      </c>
      <c r="F319" s="50">
        <f>+D319*E319</f>
        <v>144.5</v>
      </c>
      <c r="G319" s="103"/>
      <c r="H319" s="103"/>
      <c r="I319" s="104"/>
      <c r="J319" s="103"/>
      <c r="K319" s="103">
        <v>1</v>
      </c>
      <c r="L319" s="103">
        <f t="shared" si="37"/>
        <v>24</v>
      </c>
      <c r="M319" s="103"/>
      <c r="N319" s="103" t="s">
        <v>946</v>
      </c>
      <c r="O319" s="104">
        <f t="shared" si="38"/>
        <v>138.72</v>
      </c>
    </row>
    <row r="320" spans="1:15" s="8" customFormat="1" ht="15.75" x14ac:dyDescent="0.25">
      <c r="A320" s="113" t="s">
        <v>937</v>
      </c>
      <c r="B320" s="102"/>
      <c r="C320" s="25" t="s">
        <v>935</v>
      </c>
      <c r="D320" s="38"/>
      <c r="E320" s="13"/>
      <c r="F320" s="50"/>
      <c r="G320" s="103"/>
      <c r="H320" s="103"/>
      <c r="I320" s="104"/>
      <c r="J320" s="103"/>
      <c r="K320" s="103">
        <v>2</v>
      </c>
      <c r="L320" s="103">
        <f t="shared" si="37"/>
        <v>-2</v>
      </c>
      <c r="M320" s="103"/>
      <c r="N320" s="103" t="s">
        <v>946</v>
      </c>
      <c r="O320" s="104">
        <f t="shared" si="38"/>
        <v>0</v>
      </c>
    </row>
    <row r="321" spans="1:15" s="8" customFormat="1" ht="15.75" x14ac:dyDescent="0.25">
      <c r="A321" s="113" t="s">
        <v>938</v>
      </c>
      <c r="B321" s="102"/>
      <c r="C321" s="25" t="s">
        <v>939</v>
      </c>
      <c r="D321" s="38"/>
      <c r="E321" s="13"/>
      <c r="F321" s="50"/>
      <c r="G321" s="103"/>
      <c r="H321" s="103"/>
      <c r="I321" s="104"/>
      <c r="J321" s="103"/>
      <c r="K321" s="103">
        <v>1</v>
      </c>
      <c r="L321" s="103">
        <f t="shared" si="37"/>
        <v>-1</v>
      </c>
      <c r="M321" s="103"/>
      <c r="N321" s="103" t="s">
        <v>946</v>
      </c>
      <c r="O321" s="104">
        <f t="shared" si="38"/>
        <v>0</v>
      </c>
    </row>
    <row r="322" spans="1:15" s="8" customFormat="1" ht="15.75" x14ac:dyDescent="0.25">
      <c r="A322" s="113" t="s">
        <v>941</v>
      </c>
      <c r="B322" s="102"/>
      <c r="C322" s="25" t="s">
        <v>940</v>
      </c>
      <c r="D322" s="38"/>
      <c r="E322" s="13"/>
      <c r="F322" s="50"/>
      <c r="G322" s="103"/>
      <c r="H322" s="103"/>
      <c r="I322" s="104"/>
      <c r="J322" s="103"/>
      <c r="K322" s="103">
        <v>1</v>
      </c>
      <c r="L322" s="103">
        <f t="shared" si="37"/>
        <v>-1</v>
      </c>
      <c r="M322" s="103"/>
      <c r="N322" s="103" t="s">
        <v>946</v>
      </c>
      <c r="O322" s="104">
        <f t="shared" si="38"/>
        <v>0</v>
      </c>
    </row>
    <row r="323" spans="1:15" s="8" customFormat="1" ht="15.75" x14ac:dyDescent="0.25">
      <c r="A323" s="113" t="s">
        <v>948</v>
      </c>
      <c r="B323" s="102"/>
      <c r="C323" s="25" t="s">
        <v>942</v>
      </c>
      <c r="D323" s="38"/>
      <c r="E323" s="13"/>
      <c r="F323" s="50"/>
      <c r="G323" s="107">
        <v>44778</v>
      </c>
      <c r="H323" s="103">
        <f>120*12</f>
        <v>1440</v>
      </c>
      <c r="I323" s="104">
        <f>111864/H323</f>
        <v>77.683333333333337</v>
      </c>
      <c r="J323" s="104">
        <f>+I323*H323</f>
        <v>111864</v>
      </c>
      <c r="K323" s="103">
        <f>1+4+3+12+12+3+12+4+4+3+12+4+5+4+4+36+36+24+18</f>
        <v>201</v>
      </c>
      <c r="L323" s="103">
        <f t="shared" si="37"/>
        <v>1239</v>
      </c>
      <c r="M323" s="103"/>
      <c r="N323" s="103" t="s">
        <v>946</v>
      </c>
      <c r="O323" s="104">
        <f>+L323*I323</f>
        <v>96249.650000000009</v>
      </c>
    </row>
    <row r="324" spans="1:15" s="8" customFormat="1" ht="15.75" x14ac:dyDescent="0.25">
      <c r="A324" s="113" t="s">
        <v>953</v>
      </c>
      <c r="B324" s="102"/>
      <c r="C324" s="25" t="s">
        <v>949</v>
      </c>
      <c r="D324" s="38"/>
      <c r="E324" s="13"/>
      <c r="F324" s="50"/>
      <c r="G324" s="103"/>
      <c r="H324" s="103"/>
      <c r="I324" s="104"/>
      <c r="J324" s="103"/>
      <c r="K324" s="103">
        <v>1</v>
      </c>
      <c r="L324" s="103">
        <f t="shared" si="37"/>
        <v>-1</v>
      </c>
      <c r="M324" s="103"/>
      <c r="N324" s="103" t="s">
        <v>946</v>
      </c>
      <c r="O324" s="104">
        <f>+L324*I324</f>
        <v>0</v>
      </c>
    </row>
    <row r="325" spans="1:15" s="92" customFormat="1" x14ac:dyDescent="0.3">
      <c r="A325" s="113" t="s">
        <v>954</v>
      </c>
      <c r="B325" s="102"/>
      <c r="C325" s="25" t="s">
        <v>952</v>
      </c>
      <c r="D325" s="38"/>
      <c r="E325" s="13"/>
      <c r="F325" s="50"/>
      <c r="G325" s="103"/>
      <c r="H325" s="103"/>
      <c r="I325" s="104"/>
      <c r="J325" s="103"/>
      <c r="K325" s="103">
        <f>1+1+2</f>
        <v>4</v>
      </c>
      <c r="L325" s="103">
        <f t="shared" si="37"/>
        <v>-4</v>
      </c>
      <c r="M325" s="103"/>
      <c r="N325" s="103" t="s">
        <v>945</v>
      </c>
      <c r="O325" s="104">
        <f t="shared" ref="O325:O330" si="39">+L325*I325</f>
        <v>0</v>
      </c>
    </row>
    <row r="326" spans="1:15" s="92" customFormat="1" x14ac:dyDescent="0.3">
      <c r="A326" s="113" t="s">
        <v>957</v>
      </c>
      <c r="B326" s="102"/>
      <c r="C326" s="25" t="s">
        <v>958</v>
      </c>
      <c r="D326" s="38"/>
      <c r="E326" s="13"/>
      <c r="F326" s="50"/>
      <c r="G326" s="103"/>
      <c r="H326" s="103"/>
      <c r="I326" s="104"/>
      <c r="J326" s="103"/>
      <c r="K326" s="103">
        <f>1+1+2+2+1+1</f>
        <v>8</v>
      </c>
      <c r="L326" s="103">
        <f t="shared" si="37"/>
        <v>-8</v>
      </c>
      <c r="M326" s="103"/>
      <c r="N326" s="103" t="s">
        <v>945</v>
      </c>
      <c r="O326" s="104">
        <f t="shared" si="39"/>
        <v>0</v>
      </c>
    </row>
    <row r="327" spans="1:15" s="105" customFormat="1" ht="15.75" x14ac:dyDescent="0.25">
      <c r="A327" s="113" t="s">
        <v>972</v>
      </c>
      <c r="B327" s="102"/>
      <c r="C327" s="25" t="s">
        <v>959</v>
      </c>
      <c r="D327" s="38"/>
      <c r="E327" s="13"/>
      <c r="F327" s="50"/>
      <c r="G327" s="107">
        <v>44852</v>
      </c>
      <c r="H327" s="103">
        <v>20</v>
      </c>
      <c r="I327" s="104">
        <v>19.329999999999998</v>
      </c>
      <c r="J327" s="108">
        <f>+H327*I327</f>
        <v>386.59999999999997</v>
      </c>
      <c r="K327" s="103">
        <f>1+1+2+2</f>
        <v>6</v>
      </c>
      <c r="L327" s="103">
        <f t="shared" si="37"/>
        <v>14</v>
      </c>
      <c r="M327" s="103" t="s">
        <v>1037</v>
      </c>
      <c r="N327" s="103" t="s">
        <v>947</v>
      </c>
      <c r="O327" s="104">
        <f t="shared" si="39"/>
        <v>270.62</v>
      </c>
    </row>
    <row r="328" spans="1:15" s="105" customFormat="1" ht="15.75" x14ac:dyDescent="0.25">
      <c r="A328" s="113" t="s">
        <v>973</v>
      </c>
      <c r="B328" s="102"/>
      <c r="C328" s="25" t="s">
        <v>1036</v>
      </c>
      <c r="D328" s="38"/>
      <c r="E328" s="13"/>
      <c r="F328" s="50"/>
      <c r="G328" s="107">
        <v>44852</v>
      </c>
      <c r="H328" s="103">
        <v>10</v>
      </c>
      <c r="I328" s="104">
        <v>145.80000000000001</v>
      </c>
      <c r="J328" s="108">
        <f>+H328*I328</f>
        <v>1458</v>
      </c>
      <c r="K328" s="103">
        <f>1+1+2+1</f>
        <v>5</v>
      </c>
      <c r="L328" s="103">
        <f t="shared" si="37"/>
        <v>5</v>
      </c>
      <c r="M328" s="103" t="s">
        <v>1037</v>
      </c>
      <c r="N328" s="103" t="s">
        <v>947</v>
      </c>
      <c r="O328" s="104">
        <f t="shared" si="39"/>
        <v>729</v>
      </c>
    </row>
    <row r="329" spans="1:15" s="105" customFormat="1" ht="15.75" x14ac:dyDescent="0.25">
      <c r="A329" s="113" t="s">
        <v>974</v>
      </c>
      <c r="B329" s="102"/>
      <c r="C329" s="25" t="s">
        <v>1040</v>
      </c>
      <c r="D329" s="38"/>
      <c r="E329" s="13"/>
      <c r="F329" s="50"/>
      <c r="G329" s="107">
        <v>44852</v>
      </c>
      <c r="H329" s="103">
        <v>30</v>
      </c>
      <c r="I329" s="104">
        <v>97.59</v>
      </c>
      <c r="J329" s="108">
        <f>+H329*I329</f>
        <v>2927.7000000000003</v>
      </c>
      <c r="K329" s="103">
        <f t="shared" ref="K329" si="40">1+1+2</f>
        <v>4</v>
      </c>
      <c r="L329" s="103">
        <f t="shared" si="37"/>
        <v>26</v>
      </c>
      <c r="M329" s="103" t="s">
        <v>1037</v>
      </c>
      <c r="N329" s="103" t="s">
        <v>947</v>
      </c>
      <c r="O329" s="104">
        <f t="shared" si="39"/>
        <v>2537.34</v>
      </c>
    </row>
    <row r="330" spans="1:15" s="92" customFormat="1" x14ac:dyDescent="0.3">
      <c r="A330" s="113" t="s">
        <v>975</v>
      </c>
      <c r="B330" s="102"/>
      <c r="C330" s="25" t="s">
        <v>960</v>
      </c>
      <c r="D330" s="38"/>
      <c r="E330" s="13"/>
      <c r="F330" s="50"/>
      <c r="G330" s="103"/>
      <c r="H330" s="103"/>
      <c r="I330" s="104"/>
      <c r="J330" s="103"/>
      <c r="K330" s="103">
        <v>2</v>
      </c>
      <c r="L330" s="103">
        <f t="shared" si="37"/>
        <v>-2</v>
      </c>
      <c r="M330" s="103"/>
      <c r="N330" s="103" t="s">
        <v>946</v>
      </c>
      <c r="O330" s="104">
        <f t="shared" si="39"/>
        <v>0</v>
      </c>
    </row>
    <row r="331" spans="1:15" s="92" customFormat="1" ht="32.25" x14ac:dyDescent="0.3">
      <c r="A331" s="113" t="s">
        <v>976</v>
      </c>
      <c r="B331" s="102"/>
      <c r="C331" s="25" t="s">
        <v>961</v>
      </c>
      <c r="D331" s="38"/>
      <c r="E331" s="13"/>
      <c r="F331" s="50"/>
      <c r="G331" s="107">
        <v>44851</v>
      </c>
      <c r="H331" s="103">
        <v>25</v>
      </c>
      <c r="I331" s="104">
        <v>672.78</v>
      </c>
      <c r="J331" s="108">
        <f>+H331*I331</f>
        <v>16819.5</v>
      </c>
      <c r="K331" s="103">
        <f>1+1</f>
        <v>2</v>
      </c>
      <c r="L331" s="103">
        <f t="shared" si="37"/>
        <v>23</v>
      </c>
      <c r="M331" s="121" t="s">
        <v>1006</v>
      </c>
      <c r="N331" s="103" t="s">
        <v>946</v>
      </c>
      <c r="O331" s="104">
        <f>+L331*I331</f>
        <v>15473.939999999999</v>
      </c>
    </row>
    <row r="332" spans="1:15" s="92" customFormat="1" x14ac:dyDescent="0.3">
      <c r="A332" s="113" t="s">
        <v>977</v>
      </c>
      <c r="B332" s="102"/>
      <c r="C332" s="25" t="s">
        <v>962</v>
      </c>
      <c r="D332" s="38"/>
      <c r="E332" s="13"/>
      <c r="F332" s="50"/>
      <c r="G332" s="107">
        <v>44852</v>
      </c>
      <c r="H332" s="103">
        <v>12</v>
      </c>
      <c r="I332" s="104">
        <f>1452+261.36</f>
        <v>1713.3600000000001</v>
      </c>
      <c r="J332" s="108">
        <f>+H332*I332</f>
        <v>20560.32</v>
      </c>
      <c r="K332" s="103">
        <v>1</v>
      </c>
      <c r="L332" s="103">
        <f t="shared" si="37"/>
        <v>11</v>
      </c>
      <c r="M332" s="103"/>
      <c r="N332" s="103" t="s">
        <v>946</v>
      </c>
      <c r="O332" s="104">
        <f t="shared" ref="O332:O404" si="41">+L332*I332</f>
        <v>18846.960000000003</v>
      </c>
    </row>
    <row r="333" spans="1:15" s="92" customFormat="1" x14ac:dyDescent="0.3">
      <c r="A333" s="113" t="s">
        <v>978</v>
      </c>
      <c r="B333" s="102"/>
      <c r="C333" s="25" t="s">
        <v>963</v>
      </c>
      <c r="D333" s="38"/>
      <c r="E333" s="13"/>
      <c r="F333" s="50"/>
      <c r="G333" s="107">
        <v>44852</v>
      </c>
      <c r="H333" s="103">
        <v>15</v>
      </c>
      <c r="I333" s="104">
        <f>4210+757.8</f>
        <v>4967.8</v>
      </c>
      <c r="J333" s="108">
        <f>+H333*I333</f>
        <v>74517</v>
      </c>
      <c r="K333" s="103"/>
      <c r="L333" s="103">
        <f t="shared" si="37"/>
        <v>15</v>
      </c>
      <c r="M333" s="103"/>
      <c r="N333" s="103" t="s">
        <v>946</v>
      </c>
      <c r="O333" s="104">
        <f t="shared" si="41"/>
        <v>74517</v>
      </c>
    </row>
    <row r="334" spans="1:15" s="92" customFormat="1" x14ac:dyDescent="0.3">
      <c r="A334" s="113" t="s">
        <v>979</v>
      </c>
      <c r="B334" s="102"/>
      <c r="C334" s="25" t="s">
        <v>964</v>
      </c>
      <c r="D334" s="38"/>
      <c r="E334" s="13"/>
      <c r="F334" s="50"/>
      <c r="G334" s="107">
        <v>44852</v>
      </c>
      <c r="H334" s="103">
        <v>16</v>
      </c>
      <c r="I334" s="104">
        <f>3200+576</f>
        <v>3776</v>
      </c>
      <c r="J334" s="108">
        <f>+H334*I334</f>
        <v>60416</v>
      </c>
      <c r="K334" s="103"/>
      <c r="L334" s="103">
        <f t="shared" si="37"/>
        <v>16</v>
      </c>
      <c r="M334" s="103"/>
      <c r="N334" s="103" t="s">
        <v>946</v>
      </c>
      <c r="O334" s="104">
        <f t="shared" si="41"/>
        <v>60416</v>
      </c>
    </row>
    <row r="335" spans="1:15" s="92" customFormat="1" x14ac:dyDescent="0.3">
      <c r="A335" s="113" t="s">
        <v>980</v>
      </c>
      <c r="B335" s="102"/>
      <c r="C335" s="25" t="s">
        <v>965</v>
      </c>
      <c r="D335" s="38"/>
      <c r="E335" s="13"/>
      <c r="F335" s="50"/>
      <c r="G335" s="107">
        <v>44852</v>
      </c>
      <c r="H335" s="103">
        <v>5</v>
      </c>
      <c r="I335" s="104">
        <f>1911+343.98</f>
        <v>2254.98</v>
      </c>
      <c r="J335" s="108">
        <f t="shared" ref="J335:J345" si="42">+H335*I335</f>
        <v>11274.9</v>
      </c>
      <c r="K335" s="103"/>
      <c r="L335" s="103">
        <f t="shared" si="37"/>
        <v>5</v>
      </c>
      <c r="M335" s="103"/>
      <c r="N335" s="103" t="s">
        <v>946</v>
      </c>
      <c r="O335" s="104">
        <f t="shared" si="41"/>
        <v>11274.9</v>
      </c>
    </row>
    <row r="336" spans="1:15" s="92" customFormat="1" x14ac:dyDescent="0.3">
      <c r="A336" s="113" t="s">
        <v>981</v>
      </c>
      <c r="B336" s="102"/>
      <c r="C336" s="25" t="s">
        <v>966</v>
      </c>
      <c r="D336" s="38"/>
      <c r="E336" s="13"/>
      <c r="F336" s="50"/>
      <c r="G336" s="107">
        <v>44852</v>
      </c>
      <c r="H336" s="103">
        <v>20</v>
      </c>
      <c r="I336" s="104">
        <f>3200+576</f>
        <v>3776</v>
      </c>
      <c r="J336" s="108">
        <f t="shared" si="42"/>
        <v>75520</v>
      </c>
      <c r="K336" s="103"/>
      <c r="L336" s="103">
        <f t="shared" si="37"/>
        <v>20</v>
      </c>
      <c r="M336" s="103"/>
      <c r="N336" s="103" t="s">
        <v>946</v>
      </c>
      <c r="O336" s="104">
        <f t="shared" si="41"/>
        <v>75520</v>
      </c>
    </row>
    <row r="337" spans="1:15" s="92" customFormat="1" x14ac:dyDescent="0.3">
      <c r="A337" s="113" t="s">
        <v>982</v>
      </c>
      <c r="B337" s="102"/>
      <c r="C337" s="25" t="s">
        <v>967</v>
      </c>
      <c r="D337" s="38"/>
      <c r="E337" s="13"/>
      <c r="F337" s="50"/>
      <c r="G337" s="107">
        <v>44852</v>
      </c>
      <c r="H337" s="103">
        <v>10</v>
      </c>
      <c r="I337" s="104">
        <f>4800+864</f>
        <v>5664</v>
      </c>
      <c r="J337" s="108">
        <f t="shared" si="42"/>
        <v>56640</v>
      </c>
      <c r="K337" s="103"/>
      <c r="L337" s="103">
        <f t="shared" si="37"/>
        <v>10</v>
      </c>
      <c r="M337" s="103"/>
      <c r="N337" s="103" t="s">
        <v>946</v>
      </c>
      <c r="O337" s="104">
        <f t="shared" si="41"/>
        <v>56640</v>
      </c>
    </row>
    <row r="338" spans="1:15" s="92" customFormat="1" x14ac:dyDescent="0.3">
      <c r="A338" s="113" t="s">
        <v>983</v>
      </c>
      <c r="B338" s="102"/>
      <c r="C338" s="25" t="s">
        <v>968</v>
      </c>
      <c r="D338" s="38"/>
      <c r="E338" s="13"/>
      <c r="F338" s="50"/>
      <c r="G338" s="107">
        <v>44852</v>
      </c>
      <c r="H338" s="103">
        <v>35</v>
      </c>
      <c r="I338" s="104">
        <f>2050+369</f>
        <v>2419</v>
      </c>
      <c r="J338" s="108">
        <f t="shared" si="42"/>
        <v>84665</v>
      </c>
      <c r="K338" s="103">
        <v>1</v>
      </c>
      <c r="L338" s="103">
        <f t="shared" si="37"/>
        <v>34</v>
      </c>
      <c r="M338" s="103"/>
      <c r="N338" s="103" t="s">
        <v>946</v>
      </c>
      <c r="O338" s="104">
        <f t="shared" si="41"/>
        <v>82246</v>
      </c>
    </row>
    <row r="339" spans="1:15" s="92" customFormat="1" x14ac:dyDescent="0.3">
      <c r="A339" s="113" t="s">
        <v>984</v>
      </c>
      <c r="B339" s="102"/>
      <c r="C339" s="25" t="s">
        <v>969</v>
      </c>
      <c r="D339" s="38"/>
      <c r="E339" s="13"/>
      <c r="F339" s="50"/>
      <c r="G339" s="107">
        <v>44852</v>
      </c>
      <c r="H339" s="103">
        <v>5</v>
      </c>
      <c r="I339" s="104">
        <f>3737+672.66</f>
        <v>4409.66</v>
      </c>
      <c r="J339" s="108">
        <f t="shared" si="42"/>
        <v>22048.3</v>
      </c>
      <c r="K339" s="103"/>
      <c r="L339" s="103">
        <f t="shared" si="37"/>
        <v>5</v>
      </c>
      <c r="M339" s="103"/>
      <c r="N339" s="103" t="s">
        <v>946</v>
      </c>
      <c r="O339" s="104">
        <f t="shared" si="41"/>
        <v>22048.3</v>
      </c>
    </row>
    <row r="340" spans="1:15" s="92" customFormat="1" x14ac:dyDescent="0.3">
      <c r="A340" s="113" t="s">
        <v>985</v>
      </c>
      <c r="B340" s="102"/>
      <c r="C340" s="25" t="s">
        <v>994</v>
      </c>
      <c r="D340" s="38"/>
      <c r="E340" s="13"/>
      <c r="F340" s="50"/>
      <c r="G340" s="107">
        <v>44862</v>
      </c>
      <c r="H340" s="103">
        <v>40</v>
      </c>
      <c r="I340" s="104">
        <f>8750+1575</f>
        <v>10325</v>
      </c>
      <c r="J340" s="108">
        <f t="shared" si="42"/>
        <v>413000</v>
      </c>
      <c r="K340" s="103">
        <v>17</v>
      </c>
      <c r="L340" s="103">
        <f t="shared" si="37"/>
        <v>23</v>
      </c>
      <c r="M340" s="103"/>
      <c r="N340" s="103" t="s">
        <v>946</v>
      </c>
      <c r="O340" s="104">
        <f t="shared" si="41"/>
        <v>237475</v>
      </c>
    </row>
    <row r="341" spans="1:15" s="92" customFormat="1" x14ac:dyDescent="0.3">
      <c r="A341" s="113" t="s">
        <v>986</v>
      </c>
      <c r="B341" s="102"/>
      <c r="C341" s="25" t="s">
        <v>995</v>
      </c>
      <c r="D341" s="38"/>
      <c r="E341" s="13"/>
      <c r="F341" s="50"/>
      <c r="G341" s="107">
        <v>44862</v>
      </c>
      <c r="H341" s="103">
        <v>4</v>
      </c>
      <c r="I341" s="104">
        <f>1311+235.98</f>
        <v>1546.98</v>
      </c>
      <c r="J341" s="108">
        <f t="shared" si="42"/>
        <v>6187.92</v>
      </c>
      <c r="K341" s="103"/>
      <c r="L341" s="103">
        <f t="shared" si="37"/>
        <v>4</v>
      </c>
      <c r="M341" s="103"/>
      <c r="N341" s="103" t="s">
        <v>946</v>
      </c>
      <c r="O341" s="104">
        <f t="shared" si="41"/>
        <v>6187.92</v>
      </c>
    </row>
    <row r="342" spans="1:15" s="92" customFormat="1" x14ac:dyDescent="0.3">
      <c r="A342" s="113" t="s">
        <v>987</v>
      </c>
      <c r="B342" s="102"/>
      <c r="C342" s="25" t="s">
        <v>295</v>
      </c>
      <c r="D342" s="38"/>
      <c r="E342" s="13"/>
      <c r="F342" s="50"/>
      <c r="G342" s="103"/>
      <c r="H342" s="103"/>
      <c r="I342" s="104"/>
      <c r="J342" s="108">
        <f t="shared" si="42"/>
        <v>0</v>
      </c>
      <c r="K342" s="103">
        <v>1</v>
      </c>
      <c r="L342" s="103">
        <f t="shared" si="37"/>
        <v>-1</v>
      </c>
      <c r="M342" s="103"/>
      <c r="N342" s="103" t="s">
        <v>946</v>
      </c>
      <c r="O342" s="104">
        <f t="shared" si="41"/>
        <v>0</v>
      </c>
    </row>
    <row r="343" spans="1:15" s="92" customFormat="1" x14ac:dyDescent="0.3">
      <c r="A343" s="113" t="s">
        <v>988</v>
      </c>
      <c r="B343" s="102"/>
      <c r="C343" s="25" t="s">
        <v>970</v>
      </c>
      <c r="D343" s="38"/>
      <c r="E343" s="13"/>
      <c r="F343" s="50"/>
      <c r="G343" s="103"/>
      <c r="H343" s="103"/>
      <c r="I343" s="104"/>
      <c r="J343" s="108">
        <f t="shared" si="42"/>
        <v>0</v>
      </c>
      <c r="K343" s="103">
        <f>2+2</f>
        <v>4</v>
      </c>
      <c r="L343" s="103">
        <f t="shared" si="37"/>
        <v>-4</v>
      </c>
      <c r="M343" s="103"/>
      <c r="N343" s="103" t="s">
        <v>946</v>
      </c>
      <c r="O343" s="104">
        <f t="shared" si="41"/>
        <v>0</v>
      </c>
    </row>
    <row r="344" spans="1:15" s="92" customFormat="1" x14ac:dyDescent="0.3">
      <c r="A344" s="113" t="s">
        <v>989</v>
      </c>
      <c r="B344" s="102"/>
      <c r="C344" s="25" t="s">
        <v>971</v>
      </c>
      <c r="D344" s="38"/>
      <c r="E344" s="13"/>
      <c r="F344" s="50"/>
      <c r="G344" s="107">
        <v>44903</v>
      </c>
      <c r="H344" s="103">
        <f>2*12</f>
        <v>24</v>
      </c>
      <c r="I344" s="104">
        <v>118.15</v>
      </c>
      <c r="J344" s="108">
        <f t="shared" si="42"/>
        <v>2835.6000000000004</v>
      </c>
      <c r="K344" s="103">
        <f>3+3</f>
        <v>6</v>
      </c>
      <c r="L344" s="103">
        <f t="shared" si="37"/>
        <v>18</v>
      </c>
      <c r="M344" s="103"/>
      <c r="N344" s="103" t="s">
        <v>946</v>
      </c>
      <c r="O344" s="104">
        <f t="shared" si="41"/>
        <v>2126.7000000000003</v>
      </c>
    </row>
    <row r="345" spans="1:15" s="92" customFormat="1" ht="32.25" x14ac:dyDescent="0.3">
      <c r="A345" s="113" t="s">
        <v>990</v>
      </c>
      <c r="B345" s="102"/>
      <c r="C345" s="123" t="s">
        <v>996</v>
      </c>
      <c r="D345" s="38"/>
      <c r="E345" s="13"/>
      <c r="F345" s="50"/>
      <c r="G345" s="107">
        <v>44851</v>
      </c>
      <c r="H345" s="103">
        <v>30</v>
      </c>
      <c r="I345" s="104">
        <v>240.72</v>
      </c>
      <c r="J345" s="108">
        <f t="shared" si="42"/>
        <v>7221.6</v>
      </c>
      <c r="K345" s="103"/>
      <c r="L345" s="103">
        <f t="shared" si="37"/>
        <v>30</v>
      </c>
      <c r="M345" s="121" t="s">
        <v>1006</v>
      </c>
      <c r="N345" s="103" t="s">
        <v>946</v>
      </c>
      <c r="O345" s="104">
        <f>+L345*I345</f>
        <v>7221.6</v>
      </c>
    </row>
    <row r="346" spans="1:15" s="92" customFormat="1" ht="32.25" x14ac:dyDescent="0.3">
      <c r="A346" s="113" t="s">
        <v>991</v>
      </c>
      <c r="B346" s="102"/>
      <c r="C346" s="25" t="s">
        <v>997</v>
      </c>
      <c r="D346" s="38"/>
      <c r="E346" s="13"/>
      <c r="F346" s="50"/>
      <c r="G346" s="107">
        <v>44851</v>
      </c>
      <c r="H346" s="103">
        <v>10</v>
      </c>
      <c r="I346" s="104">
        <v>40.119999999999997</v>
      </c>
      <c r="J346" s="108">
        <f>+H346*I346</f>
        <v>401.2</v>
      </c>
      <c r="K346" s="103"/>
      <c r="L346" s="103">
        <f t="shared" si="37"/>
        <v>10</v>
      </c>
      <c r="M346" s="121" t="s">
        <v>1006</v>
      </c>
      <c r="N346" s="103" t="s">
        <v>946</v>
      </c>
      <c r="O346" s="104">
        <f t="shared" si="41"/>
        <v>401.2</v>
      </c>
    </row>
    <row r="347" spans="1:15" s="92" customFormat="1" ht="32.25" x14ac:dyDescent="0.3">
      <c r="A347" s="113" t="s">
        <v>992</v>
      </c>
      <c r="B347" s="102"/>
      <c r="C347" s="25" t="s">
        <v>998</v>
      </c>
      <c r="D347" s="38"/>
      <c r="E347" s="13"/>
      <c r="F347" s="50"/>
      <c r="G347" s="107">
        <v>44851</v>
      </c>
      <c r="H347" s="103">
        <v>25</v>
      </c>
      <c r="I347" s="104">
        <v>141.6</v>
      </c>
      <c r="J347" s="108">
        <f t="shared" ref="J347:J365" si="43">+H347*I347</f>
        <v>3540</v>
      </c>
      <c r="K347" s="103"/>
      <c r="L347" s="103">
        <f t="shared" si="37"/>
        <v>25</v>
      </c>
      <c r="M347" s="121" t="s">
        <v>1006</v>
      </c>
      <c r="N347" s="103" t="s">
        <v>946</v>
      </c>
      <c r="O347" s="104">
        <f t="shared" si="41"/>
        <v>3540</v>
      </c>
    </row>
    <row r="348" spans="1:15" s="92" customFormat="1" ht="32.25" x14ac:dyDescent="0.3">
      <c r="A348" s="113" t="s">
        <v>993</v>
      </c>
      <c r="B348" s="102"/>
      <c r="C348" s="25" t="s">
        <v>999</v>
      </c>
      <c r="D348" s="38"/>
      <c r="E348" s="13"/>
      <c r="F348" s="50"/>
      <c r="G348" s="107">
        <v>44851</v>
      </c>
      <c r="H348" s="103">
        <v>4</v>
      </c>
      <c r="I348" s="104">
        <v>1443.73</v>
      </c>
      <c r="J348" s="104">
        <f t="shared" si="43"/>
        <v>5774.92</v>
      </c>
      <c r="K348" s="103"/>
      <c r="L348" s="103">
        <f t="shared" si="37"/>
        <v>4</v>
      </c>
      <c r="M348" s="121" t="s">
        <v>1006</v>
      </c>
      <c r="N348" s="103" t="s">
        <v>946</v>
      </c>
      <c r="O348" s="104">
        <f t="shared" si="41"/>
        <v>5774.92</v>
      </c>
    </row>
    <row r="349" spans="1:15" s="92" customFormat="1" ht="32.25" x14ac:dyDescent="0.3">
      <c r="A349" s="113" t="s">
        <v>1015</v>
      </c>
      <c r="B349" s="102"/>
      <c r="C349" s="25" t="s">
        <v>1000</v>
      </c>
      <c r="D349" s="38"/>
      <c r="E349" s="13"/>
      <c r="F349" s="50"/>
      <c r="G349" s="107">
        <v>44851</v>
      </c>
      <c r="H349" s="103">
        <v>10</v>
      </c>
      <c r="I349" s="104">
        <v>1177.05</v>
      </c>
      <c r="J349" s="104">
        <f t="shared" si="43"/>
        <v>11770.5</v>
      </c>
      <c r="K349" s="103"/>
      <c r="L349" s="103">
        <f t="shared" si="37"/>
        <v>10</v>
      </c>
      <c r="M349" s="121" t="s">
        <v>1006</v>
      </c>
      <c r="N349" s="103" t="s">
        <v>946</v>
      </c>
      <c r="O349" s="104">
        <f t="shared" si="41"/>
        <v>11770.5</v>
      </c>
    </row>
    <row r="350" spans="1:15" s="92" customFormat="1" ht="32.25" x14ac:dyDescent="0.3">
      <c r="A350" s="113" t="s">
        <v>1016</v>
      </c>
      <c r="B350" s="102"/>
      <c r="C350" s="25" t="s">
        <v>1001</v>
      </c>
      <c r="D350" s="38"/>
      <c r="E350" s="13"/>
      <c r="F350" s="50"/>
      <c r="G350" s="107">
        <v>44851</v>
      </c>
      <c r="H350" s="103">
        <v>4</v>
      </c>
      <c r="I350" s="104">
        <v>1330.45</v>
      </c>
      <c r="J350" s="104">
        <f t="shared" si="43"/>
        <v>5321.8</v>
      </c>
      <c r="K350" s="103"/>
      <c r="L350" s="103">
        <f t="shared" si="37"/>
        <v>4</v>
      </c>
      <c r="M350" s="121" t="s">
        <v>1006</v>
      </c>
      <c r="N350" s="103" t="s">
        <v>946</v>
      </c>
      <c r="O350" s="104">
        <f t="shared" si="41"/>
        <v>5321.8</v>
      </c>
    </row>
    <row r="351" spans="1:15" s="92" customFormat="1" ht="32.25" x14ac:dyDescent="0.3">
      <c r="A351" s="113" t="s">
        <v>1017</v>
      </c>
      <c r="B351" s="102"/>
      <c r="C351" s="25" t="s">
        <v>1002</v>
      </c>
      <c r="D351" s="38"/>
      <c r="E351" s="13"/>
      <c r="F351" s="50"/>
      <c r="G351" s="107">
        <v>44851</v>
      </c>
      <c r="H351" s="103">
        <v>4</v>
      </c>
      <c r="I351" s="104">
        <v>676.14</v>
      </c>
      <c r="J351" s="104">
        <f t="shared" si="43"/>
        <v>2704.56</v>
      </c>
      <c r="K351" s="103"/>
      <c r="L351" s="103">
        <f t="shared" si="37"/>
        <v>4</v>
      </c>
      <c r="M351" s="121" t="s">
        <v>1006</v>
      </c>
      <c r="N351" s="103" t="s">
        <v>946</v>
      </c>
      <c r="O351" s="104">
        <f t="shared" si="41"/>
        <v>2704.56</v>
      </c>
    </row>
    <row r="352" spans="1:15" s="92" customFormat="1" ht="32.25" x14ac:dyDescent="0.3">
      <c r="A352" s="113" t="s">
        <v>1018</v>
      </c>
      <c r="B352" s="102"/>
      <c r="C352" s="25" t="s">
        <v>1003</v>
      </c>
      <c r="D352" s="38"/>
      <c r="E352" s="13"/>
      <c r="F352" s="50"/>
      <c r="G352" s="107">
        <v>44851</v>
      </c>
      <c r="H352" s="103">
        <v>4</v>
      </c>
      <c r="I352" s="104">
        <v>693.84</v>
      </c>
      <c r="J352" s="104">
        <f t="shared" si="43"/>
        <v>2775.36</v>
      </c>
      <c r="K352" s="103"/>
      <c r="L352" s="103">
        <f t="shared" si="37"/>
        <v>4</v>
      </c>
      <c r="M352" s="121" t="s">
        <v>1006</v>
      </c>
      <c r="N352" s="103" t="s">
        <v>946</v>
      </c>
      <c r="O352" s="104">
        <f t="shared" si="41"/>
        <v>2775.36</v>
      </c>
    </row>
    <row r="353" spans="1:15" customFormat="1" ht="31.5" x14ac:dyDescent="0.25">
      <c r="A353" s="113" t="s">
        <v>1019</v>
      </c>
      <c r="B353" s="102"/>
      <c r="C353" s="25" t="s">
        <v>1004</v>
      </c>
      <c r="D353" s="38"/>
      <c r="E353" s="13"/>
      <c r="F353" s="50"/>
      <c r="G353" s="107">
        <v>44851</v>
      </c>
      <c r="H353" s="103">
        <v>4</v>
      </c>
      <c r="I353" s="104">
        <v>1632.53</v>
      </c>
      <c r="J353" s="104">
        <f t="shared" si="43"/>
        <v>6530.12</v>
      </c>
      <c r="K353" s="117"/>
      <c r="L353" s="103">
        <f t="shared" si="37"/>
        <v>4</v>
      </c>
      <c r="M353" s="121" t="s">
        <v>1006</v>
      </c>
      <c r="N353" s="117" t="s">
        <v>946</v>
      </c>
      <c r="O353" s="104">
        <f t="shared" si="41"/>
        <v>6530.12</v>
      </c>
    </row>
    <row r="354" spans="1:15" s="2" customFormat="1" ht="31.5" x14ac:dyDescent="0.25">
      <c r="A354" s="113" t="s">
        <v>1020</v>
      </c>
      <c r="B354" s="102"/>
      <c r="C354" s="25" t="s">
        <v>1005</v>
      </c>
      <c r="D354" s="38"/>
      <c r="E354" s="13"/>
      <c r="F354" s="50"/>
      <c r="G354" s="107">
        <v>44851</v>
      </c>
      <c r="H354" s="103">
        <v>1</v>
      </c>
      <c r="I354" s="104">
        <v>3268.6</v>
      </c>
      <c r="J354" s="104">
        <f t="shared" si="43"/>
        <v>3268.6</v>
      </c>
      <c r="K354" s="117"/>
      <c r="L354" s="103">
        <f t="shared" si="37"/>
        <v>1</v>
      </c>
      <c r="M354" s="121" t="s">
        <v>1006</v>
      </c>
      <c r="N354" s="117" t="s">
        <v>946</v>
      </c>
      <c r="O354" s="104">
        <f t="shared" si="41"/>
        <v>3268.6</v>
      </c>
    </row>
    <row r="355" spans="1:15" ht="32.25" x14ac:dyDescent="0.3">
      <c r="A355" s="113" t="s">
        <v>1021</v>
      </c>
      <c r="B355" s="102"/>
      <c r="C355" s="25" t="s">
        <v>1007</v>
      </c>
      <c r="D355" s="38"/>
      <c r="E355" s="13"/>
      <c r="F355" s="50"/>
      <c r="G355" s="107">
        <v>44851</v>
      </c>
      <c r="H355" s="103">
        <v>15</v>
      </c>
      <c r="I355" s="104">
        <v>3908.16</v>
      </c>
      <c r="J355" s="104">
        <f t="shared" si="43"/>
        <v>58622.399999999994</v>
      </c>
      <c r="K355" s="117"/>
      <c r="L355" s="103">
        <f t="shared" si="37"/>
        <v>15</v>
      </c>
      <c r="M355" s="121" t="s">
        <v>1006</v>
      </c>
      <c r="N355" s="117" t="s">
        <v>946</v>
      </c>
      <c r="O355" s="118">
        <f t="shared" si="41"/>
        <v>58622.399999999994</v>
      </c>
    </row>
    <row r="356" spans="1:15" ht="23.25" customHeight="1" x14ac:dyDescent="0.3">
      <c r="A356" s="113" t="s">
        <v>1022</v>
      </c>
      <c r="B356" s="102"/>
      <c r="C356" s="25" t="s">
        <v>1008</v>
      </c>
      <c r="D356" s="38"/>
      <c r="E356" s="13"/>
      <c r="F356" s="50"/>
      <c r="G356" s="107">
        <v>44851</v>
      </c>
      <c r="H356" s="103">
        <v>20</v>
      </c>
      <c r="I356" s="104">
        <v>1711</v>
      </c>
      <c r="J356" s="104">
        <f t="shared" si="43"/>
        <v>34220</v>
      </c>
      <c r="K356" s="117">
        <v>1</v>
      </c>
      <c r="L356" s="103">
        <f t="shared" si="37"/>
        <v>19</v>
      </c>
      <c r="M356" s="121" t="s">
        <v>1006</v>
      </c>
      <c r="N356" s="117" t="s">
        <v>946</v>
      </c>
      <c r="O356" s="118">
        <f t="shared" si="41"/>
        <v>32509</v>
      </c>
    </row>
    <row r="357" spans="1:15" ht="32.25" x14ac:dyDescent="0.3">
      <c r="A357" s="113" t="s">
        <v>1023</v>
      </c>
      <c r="B357" s="102"/>
      <c r="C357" s="25" t="s">
        <v>1009</v>
      </c>
      <c r="D357" s="38"/>
      <c r="E357" s="13"/>
      <c r="F357" s="50"/>
      <c r="G357" s="107">
        <v>44851</v>
      </c>
      <c r="H357" s="103">
        <v>5</v>
      </c>
      <c r="I357" s="104">
        <v>1165.8399999999999</v>
      </c>
      <c r="J357" s="104">
        <f t="shared" si="43"/>
        <v>5829.2</v>
      </c>
      <c r="K357" s="117"/>
      <c r="L357" s="103">
        <f t="shared" si="37"/>
        <v>5</v>
      </c>
      <c r="M357" s="121" t="s">
        <v>1006</v>
      </c>
      <c r="N357" s="117" t="s">
        <v>946</v>
      </c>
      <c r="O357" s="118">
        <f t="shared" si="41"/>
        <v>5829.2</v>
      </c>
    </row>
    <row r="358" spans="1:15" ht="23.25" customHeight="1" x14ac:dyDescent="0.3">
      <c r="A358" s="113" t="s">
        <v>1024</v>
      </c>
      <c r="B358" s="102"/>
      <c r="C358" s="25" t="s">
        <v>1010</v>
      </c>
      <c r="D358" s="38"/>
      <c r="E358" s="13"/>
      <c r="F358" s="50"/>
      <c r="G358" s="107">
        <v>44851</v>
      </c>
      <c r="H358" s="103">
        <v>5</v>
      </c>
      <c r="I358" s="104">
        <v>4399.04</v>
      </c>
      <c r="J358" s="104">
        <f t="shared" si="43"/>
        <v>21995.200000000001</v>
      </c>
      <c r="K358" s="117"/>
      <c r="L358" s="103">
        <f t="shared" si="37"/>
        <v>5</v>
      </c>
      <c r="M358" s="121" t="s">
        <v>1006</v>
      </c>
      <c r="N358" s="117" t="s">
        <v>946</v>
      </c>
      <c r="O358" s="118">
        <f t="shared" si="41"/>
        <v>21995.200000000001</v>
      </c>
    </row>
    <row r="359" spans="1:15" ht="32.25" x14ac:dyDescent="0.3">
      <c r="A359" s="113" t="s">
        <v>1025</v>
      </c>
      <c r="B359" s="102"/>
      <c r="C359" s="25" t="s">
        <v>1011</v>
      </c>
      <c r="D359" s="38"/>
      <c r="E359" s="13"/>
      <c r="F359" s="50"/>
      <c r="G359" s="107">
        <v>44851</v>
      </c>
      <c r="H359" s="117">
        <v>5</v>
      </c>
      <c r="I359" s="118">
        <v>4399.04</v>
      </c>
      <c r="J359" s="118">
        <f t="shared" si="43"/>
        <v>21995.200000000001</v>
      </c>
      <c r="K359" s="117"/>
      <c r="L359" s="103">
        <f t="shared" si="37"/>
        <v>5</v>
      </c>
      <c r="M359" s="121" t="s">
        <v>1006</v>
      </c>
      <c r="N359" s="117" t="s">
        <v>946</v>
      </c>
      <c r="O359" s="118">
        <f t="shared" si="41"/>
        <v>21995.200000000001</v>
      </c>
    </row>
    <row r="360" spans="1:15" ht="32.25" x14ac:dyDescent="0.3">
      <c r="A360" s="113" t="s">
        <v>1026</v>
      </c>
      <c r="B360" s="102"/>
      <c r="C360" s="25" t="s">
        <v>1012</v>
      </c>
      <c r="D360" s="38"/>
      <c r="E360" s="13"/>
      <c r="F360" s="50"/>
      <c r="G360" s="107">
        <v>44851</v>
      </c>
      <c r="H360" s="117">
        <v>5</v>
      </c>
      <c r="I360" s="118">
        <v>4399.04</v>
      </c>
      <c r="J360" s="118">
        <f t="shared" si="43"/>
        <v>21995.200000000001</v>
      </c>
      <c r="K360" s="117"/>
      <c r="L360" s="103">
        <f t="shared" si="37"/>
        <v>5</v>
      </c>
      <c r="M360" s="121" t="s">
        <v>1006</v>
      </c>
      <c r="N360" s="117" t="s">
        <v>946</v>
      </c>
      <c r="O360" s="118">
        <f t="shared" si="41"/>
        <v>21995.200000000001</v>
      </c>
    </row>
    <row r="361" spans="1:15" ht="32.25" x14ac:dyDescent="0.3">
      <c r="A361" s="113" t="s">
        <v>1027</v>
      </c>
      <c r="B361" s="102"/>
      <c r="C361" s="25" t="s">
        <v>1013</v>
      </c>
      <c r="D361" s="38"/>
      <c r="E361" s="13"/>
      <c r="F361" s="50"/>
      <c r="G361" s="107">
        <v>44851</v>
      </c>
      <c r="H361" s="117">
        <v>12</v>
      </c>
      <c r="I361" s="118">
        <v>1869.12</v>
      </c>
      <c r="J361" s="118">
        <f t="shared" si="43"/>
        <v>22429.439999999999</v>
      </c>
      <c r="K361" s="117"/>
      <c r="L361" s="103">
        <f t="shared" si="37"/>
        <v>12</v>
      </c>
      <c r="M361" s="121" t="s">
        <v>1006</v>
      </c>
      <c r="N361" s="117" t="s">
        <v>946</v>
      </c>
      <c r="O361" s="118">
        <f t="shared" si="41"/>
        <v>22429.439999999999</v>
      </c>
    </row>
    <row r="362" spans="1:15" ht="32.25" x14ac:dyDescent="0.3">
      <c r="A362" s="113" t="s">
        <v>1028</v>
      </c>
      <c r="B362" s="102"/>
      <c r="C362" s="25" t="s">
        <v>1014</v>
      </c>
      <c r="D362" s="38"/>
      <c r="E362" s="13"/>
      <c r="F362" s="50"/>
      <c r="G362" s="107">
        <v>44851</v>
      </c>
      <c r="H362" s="117">
        <v>30</v>
      </c>
      <c r="I362" s="118">
        <v>41.3</v>
      </c>
      <c r="J362" s="118">
        <f t="shared" si="43"/>
        <v>1239</v>
      </c>
      <c r="K362" s="117"/>
      <c r="L362" s="103">
        <f t="shared" si="37"/>
        <v>30</v>
      </c>
      <c r="M362" s="121" t="s">
        <v>1006</v>
      </c>
      <c r="N362" s="117" t="s">
        <v>946</v>
      </c>
      <c r="O362" s="118">
        <f t="shared" si="41"/>
        <v>1239</v>
      </c>
    </row>
    <row r="363" spans="1:15" s="105" customFormat="1" ht="15.75" x14ac:dyDescent="0.25">
      <c r="A363" s="113" t="s">
        <v>1029</v>
      </c>
      <c r="B363" s="102"/>
      <c r="C363" s="25" t="s">
        <v>1038</v>
      </c>
      <c r="D363" s="38"/>
      <c r="E363" s="13"/>
      <c r="F363" s="50"/>
      <c r="G363" s="107">
        <v>44852</v>
      </c>
      <c r="H363" s="103">
        <v>10</v>
      </c>
      <c r="I363" s="104">
        <v>18.77</v>
      </c>
      <c r="J363" s="104">
        <f t="shared" si="43"/>
        <v>187.7</v>
      </c>
      <c r="K363" s="103"/>
      <c r="L363" s="103">
        <f t="shared" si="37"/>
        <v>10</v>
      </c>
      <c r="M363" s="121" t="s">
        <v>1037</v>
      </c>
      <c r="N363" s="103" t="s">
        <v>947</v>
      </c>
      <c r="O363" s="104">
        <f t="shared" si="41"/>
        <v>187.7</v>
      </c>
    </row>
    <row r="364" spans="1:15" s="105" customFormat="1" ht="15.75" x14ac:dyDescent="0.25">
      <c r="A364" s="113" t="s">
        <v>1030</v>
      </c>
      <c r="B364" s="102"/>
      <c r="C364" s="25" t="s">
        <v>1041</v>
      </c>
      <c r="D364" s="38"/>
      <c r="E364" s="13"/>
      <c r="F364" s="50"/>
      <c r="G364" s="107">
        <v>44852</v>
      </c>
      <c r="H364" s="103">
        <v>40</v>
      </c>
      <c r="I364" s="104">
        <v>44.55</v>
      </c>
      <c r="J364" s="104">
        <f t="shared" si="43"/>
        <v>1782</v>
      </c>
      <c r="K364" s="103"/>
      <c r="L364" s="103">
        <f t="shared" si="37"/>
        <v>40</v>
      </c>
      <c r="M364" s="121" t="s">
        <v>1037</v>
      </c>
      <c r="N364" s="103" t="s">
        <v>947</v>
      </c>
      <c r="O364" s="104">
        <f t="shared" si="41"/>
        <v>1782</v>
      </c>
    </row>
    <row r="365" spans="1:15" s="105" customFormat="1" ht="15.75" x14ac:dyDescent="0.25">
      <c r="A365" s="113" t="s">
        <v>1031</v>
      </c>
      <c r="B365" s="102"/>
      <c r="C365" s="25" t="s">
        <v>1042</v>
      </c>
      <c r="D365" s="38"/>
      <c r="E365" s="13"/>
      <c r="F365" s="50"/>
      <c r="G365" s="107">
        <v>44851</v>
      </c>
      <c r="H365" s="103">
        <v>2</v>
      </c>
      <c r="I365" s="104">
        <v>650</v>
      </c>
      <c r="J365" s="104">
        <f t="shared" si="43"/>
        <v>1300</v>
      </c>
      <c r="K365" s="103"/>
      <c r="L365" s="103">
        <f t="shared" si="37"/>
        <v>2</v>
      </c>
      <c r="M365" s="121" t="s">
        <v>1037</v>
      </c>
      <c r="N365" s="103" t="s">
        <v>947</v>
      </c>
      <c r="O365" s="104">
        <f t="shared" si="41"/>
        <v>1300</v>
      </c>
    </row>
    <row r="366" spans="1:15" s="105" customFormat="1" ht="15.75" x14ac:dyDescent="0.25">
      <c r="A366" s="113" t="s">
        <v>1032</v>
      </c>
      <c r="B366" s="102"/>
      <c r="C366" s="25" t="s">
        <v>1043</v>
      </c>
      <c r="D366" s="38"/>
      <c r="E366" s="13"/>
      <c r="F366" s="50"/>
      <c r="G366" s="107">
        <v>44852</v>
      </c>
      <c r="H366" s="103">
        <f>10*12</f>
        <v>120</v>
      </c>
      <c r="I366" s="104">
        <v>27</v>
      </c>
      <c r="J366" s="104">
        <f>+I366*H366</f>
        <v>3240</v>
      </c>
      <c r="K366" s="103"/>
      <c r="L366" s="103">
        <f t="shared" si="37"/>
        <v>120</v>
      </c>
      <c r="M366" s="121" t="s">
        <v>1037</v>
      </c>
      <c r="N366" s="103" t="s">
        <v>947</v>
      </c>
      <c r="O366" s="104">
        <f t="shared" si="41"/>
        <v>3240</v>
      </c>
    </row>
    <row r="367" spans="1:15" s="105" customFormat="1" ht="15.75" x14ac:dyDescent="0.25">
      <c r="A367" s="113" t="s">
        <v>1033</v>
      </c>
      <c r="B367" s="102"/>
      <c r="C367" s="25" t="s">
        <v>1044</v>
      </c>
      <c r="D367" s="38"/>
      <c r="E367" s="13"/>
      <c r="F367" s="50"/>
      <c r="G367" s="107">
        <v>44852</v>
      </c>
      <c r="H367" s="103">
        <v>120</v>
      </c>
      <c r="I367" s="104">
        <v>45.89</v>
      </c>
      <c r="J367" s="104">
        <f>+I367*H367</f>
        <v>5506.8</v>
      </c>
      <c r="K367" s="103"/>
      <c r="L367" s="103">
        <f t="shared" si="37"/>
        <v>120</v>
      </c>
      <c r="M367" s="121" t="s">
        <v>1037</v>
      </c>
      <c r="N367" s="103" t="s">
        <v>947</v>
      </c>
      <c r="O367" s="104">
        <f t="shared" si="41"/>
        <v>5506.8</v>
      </c>
    </row>
    <row r="368" spans="1:15" s="105" customFormat="1" ht="15.75" x14ac:dyDescent="0.25">
      <c r="A368" s="113" t="s">
        <v>1034</v>
      </c>
      <c r="B368" s="102"/>
      <c r="C368" s="25" t="s">
        <v>1045</v>
      </c>
      <c r="D368" s="38"/>
      <c r="E368" s="13"/>
      <c r="F368" s="50"/>
      <c r="G368" s="107">
        <v>44852</v>
      </c>
      <c r="H368" s="103">
        <v>120</v>
      </c>
      <c r="I368" s="104">
        <v>51.33</v>
      </c>
      <c r="J368" s="104">
        <f t="shared" ref="J368:J383" si="44">+I368*H368</f>
        <v>6159.5999999999995</v>
      </c>
      <c r="K368" s="103"/>
      <c r="L368" s="103">
        <f t="shared" ref="L368:L404" si="45">+D368+H368-K368</f>
        <v>120</v>
      </c>
      <c r="M368" s="121" t="s">
        <v>1037</v>
      </c>
      <c r="N368" s="103" t="s">
        <v>947</v>
      </c>
      <c r="O368" s="104">
        <f t="shared" si="41"/>
        <v>6159.5999999999995</v>
      </c>
    </row>
    <row r="369" spans="1:15" s="105" customFormat="1" ht="15.75" x14ac:dyDescent="0.25">
      <c r="A369" s="113" t="s">
        <v>1057</v>
      </c>
      <c r="B369" s="102"/>
      <c r="C369" s="25" t="s">
        <v>1046</v>
      </c>
      <c r="D369" s="38"/>
      <c r="E369" s="13"/>
      <c r="F369" s="50"/>
      <c r="G369" s="107">
        <v>44852</v>
      </c>
      <c r="H369" s="103">
        <v>120</v>
      </c>
      <c r="I369" s="104">
        <v>127.65</v>
      </c>
      <c r="J369" s="104">
        <f t="shared" si="44"/>
        <v>15318</v>
      </c>
      <c r="K369" s="103"/>
      <c r="L369" s="103">
        <f t="shared" si="45"/>
        <v>120</v>
      </c>
      <c r="M369" s="121" t="s">
        <v>1037</v>
      </c>
      <c r="N369" s="103" t="s">
        <v>947</v>
      </c>
      <c r="O369" s="104">
        <f t="shared" si="41"/>
        <v>15318</v>
      </c>
    </row>
    <row r="370" spans="1:15" s="105" customFormat="1" ht="15.75" x14ac:dyDescent="0.25">
      <c r="A370" s="113" t="s">
        <v>1058</v>
      </c>
      <c r="B370" s="102"/>
      <c r="C370" s="25" t="s">
        <v>1047</v>
      </c>
      <c r="D370" s="38"/>
      <c r="E370" s="13"/>
      <c r="F370" s="50"/>
      <c r="G370" s="107">
        <v>44852</v>
      </c>
      <c r="H370" s="103">
        <v>5</v>
      </c>
      <c r="I370" s="104">
        <v>5442.16</v>
      </c>
      <c r="J370" s="104">
        <f t="shared" si="44"/>
        <v>27210.799999999999</v>
      </c>
      <c r="K370" s="103"/>
      <c r="L370" s="103">
        <f t="shared" si="45"/>
        <v>5</v>
      </c>
      <c r="M370" s="121" t="s">
        <v>1037</v>
      </c>
      <c r="N370" s="103" t="s">
        <v>947</v>
      </c>
      <c r="O370" s="104">
        <f t="shared" si="41"/>
        <v>27210.799999999999</v>
      </c>
    </row>
    <row r="371" spans="1:15" s="105" customFormat="1" ht="15.75" x14ac:dyDescent="0.25">
      <c r="A371" s="113" t="s">
        <v>1059</v>
      </c>
      <c r="B371" s="102"/>
      <c r="C371" s="25" t="s">
        <v>1048</v>
      </c>
      <c r="D371" s="38"/>
      <c r="E371" s="13"/>
      <c r="F371" s="50"/>
      <c r="G371" s="107">
        <v>44852</v>
      </c>
      <c r="H371" s="103">
        <v>1</v>
      </c>
      <c r="I371" s="104">
        <v>5330</v>
      </c>
      <c r="J371" s="104">
        <f t="shared" si="44"/>
        <v>5330</v>
      </c>
      <c r="K371" s="103">
        <v>1</v>
      </c>
      <c r="L371" s="103">
        <f t="shared" si="45"/>
        <v>0</v>
      </c>
      <c r="M371" s="121" t="s">
        <v>1037</v>
      </c>
      <c r="N371" s="103" t="s">
        <v>947</v>
      </c>
      <c r="O371" s="104">
        <f t="shared" si="41"/>
        <v>0</v>
      </c>
    </row>
    <row r="372" spans="1:15" s="105" customFormat="1" ht="15.75" x14ac:dyDescent="0.25">
      <c r="A372" s="113" t="s">
        <v>1060</v>
      </c>
      <c r="B372" s="102"/>
      <c r="C372" s="25" t="s">
        <v>1049</v>
      </c>
      <c r="D372" s="38"/>
      <c r="E372" s="13"/>
      <c r="F372" s="50"/>
      <c r="G372" s="107">
        <v>44852</v>
      </c>
      <c r="H372" s="103">
        <v>5</v>
      </c>
      <c r="I372" s="104">
        <v>678.24</v>
      </c>
      <c r="J372" s="104">
        <f t="shared" si="44"/>
        <v>3391.2</v>
      </c>
      <c r="K372" s="103"/>
      <c r="L372" s="103">
        <f t="shared" si="45"/>
        <v>5</v>
      </c>
      <c r="M372" s="121" t="s">
        <v>1037</v>
      </c>
      <c r="N372" s="103" t="s">
        <v>947</v>
      </c>
      <c r="O372" s="104">
        <f t="shared" si="41"/>
        <v>3391.2</v>
      </c>
    </row>
    <row r="373" spans="1:15" s="105" customFormat="1" ht="15.75" x14ac:dyDescent="0.25">
      <c r="A373" s="113" t="s">
        <v>1061</v>
      </c>
      <c r="B373" s="102"/>
      <c r="C373" s="25" t="s">
        <v>1050</v>
      </c>
      <c r="D373" s="38"/>
      <c r="E373" s="13"/>
      <c r="F373" s="50"/>
      <c r="G373" s="107">
        <v>44852</v>
      </c>
      <c r="H373" s="103">
        <v>5</v>
      </c>
      <c r="I373" s="104">
        <v>678.24</v>
      </c>
      <c r="J373" s="104">
        <f t="shared" si="44"/>
        <v>3391.2</v>
      </c>
      <c r="K373" s="103"/>
      <c r="L373" s="103">
        <f t="shared" si="45"/>
        <v>5</v>
      </c>
      <c r="M373" s="121" t="s">
        <v>1037</v>
      </c>
      <c r="N373" s="103" t="s">
        <v>947</v>
      </c>
      <c r="O373" s="104">
        <f t="shared" si="41"/>
        <v>3391.2</v>
      </c>
    </row>
    <row r="374" spans="1:15" s="105" customFormat="1" ht="15.75" x14ac:dyDescent="0.25">
      <c r="A374" s="113" t="s">
        <v>1062</v>
      </c>
      <c r="B374" s="102"/>
      <c r="C374" s="25" t="s">
        <v>1051</v>
      </c>
      <c r="D374" s="38"/>
      <c r="E374" s="13"/>
      <c r="F374" s="50"/>
      <c r="G374" s="107">
        <v>44852</v>
      </c>
      <c r="H374" s="103">
        <v>3</v>
      </c>
      <c r="I374" s="104">
        <v>511</v>
      </c>
      <c r="J374" s="104">
        <f t="shared" si="44"/>
        <v>1533</v>
      </c>
      <c r="K374" s="103">
        <v>1</v>
      </c>
      <c r="L374" s="103">
        <f t="shared" si="45"/>
        <v>2</v>
      </c>
      <c r="M374" s="121" t="s">
        <v>1037</v>
      </c>
      <c r="N374" s="103" t="s">
        <v>947</v>
      </c>
      <c r="O374" s="104">
        <f t="shared" si="41"/>
        <v>1022</v>
      </c>
    </row>
    <row r="375" spans="1:15" s="105" customFormat="1" ht="15.75" x14ac:dyDescent="0.25">
      <c r="A375" s="113" t="s">
        <v>1063</v>
      </c>
      <c r="B375" s="102"/>
      <c r="C375" s="25" t="s">
        <v>1052</v>
      </c>
      <c r="D375" s="38"/>
      <c r="E375" s="13"/>
      <c r="F375" s="50"/>
      <c r="G375" s="107">
        <v>44852</v>
      </c>
      <c r="H375" s="103">
        <v>3</v>
      </c>
      <c r="I375" s="104">
        <v>511</v>
      </c>
      <c r="J375" s="104">
        <f t="shared" si="44"/>
        <v>1533</v>
      </c>
      <c r="K375" s="103"/>
      <c r="L375" s="103">
        <f t="shared" si="45"/>
        <v>3</v>
      </c>
      <c r="M375" s="121" t="s">
        <v>1037</v>
      </c>
      <c r="N375" s="103" t="s">
        <v>947</v>
      </c>
      <c r="O375" s="104">
        <f t="shared" si="41"/>
        <v>1533</v>
      </c>
    </row>
    <row r="376" spans="1:15" s="105" customFormat="1" ht="15.75" x14ac:dyDescent="0.25">
      <c r="A376" s="113" t="s">
        <v>1064</v>
      </c>
      <c r="B376" s="102"/>
      <c r="C376" s="25" t="s">
        <v>1053</v>
      </c>
      <c r="D376" s="38"/>
      <c r="E376" s="13"/>
      <c r="F376" s="50"/>
      <c r="G376" s="107">
        <v>44852</v>
      </c>
      <c r="H376" s="103">
        <v>3</v>
      </c>
      <c r="I376" s="104">
        <v>511</v>
      </c>
      <c r="J376" s="104">
        <f t="shared" si="44"/>
        <v>1533</v>
      </c>
      <c r="K376" s="103"/>
      <c r="L376" s="103">
        <f t="shared" si="45"/>
        <v>3</v>
      </c>
      <c r="M376" s="121" t="s">
        <v>1037</v>
      </c>
      <c r="N376" s="103" t="s">
        <v>947</v>
      </c>
      <c r="O376" s="104">
        <f t="shared" si="41"/>
        <v>1533</v>
      </c>
    </row>
    <row r="377" spans="1:15" s="105" customFormat="1" ht="15.75" x14ac:dyDescent="0.25">
      <c r="A377" s="113" t="s">
        <v>1065</v>
      </c>
      <c r="B377" s="102"/>
      <c r="C377" s="25" t="s">
        <v>1054</v>
      </c>
      <c r="D377" s="38"/>
      <c r="E377" s="13"/>
      <c r="F377" s="50"/>
      <c r="G377" s="107">
        <v>44852</v>
      </c>
      <c r="H377" s="103">
        <v>3</v>
      </c>
      <c r="I377" s="104">
        <v>511</v>
      </c>
      <c r="J377" s="104">
        <f t="shared" si="44"/>
        <v>1533</v>
      </c>
      <c r="K377" s="103"/>
      <c r="L377" s="103">
        <f t="shared" si="45"/>
        <v>3</v>
      </c>
      <c r="M377" s="121" t="s">
        <v>1037</v>
      </c>
      <c r="N377" s="103" t="s">
        <v>947</v>
      </c>
      <c r="O377" s="104">
        <f t="shared" si="41"/>
        <v>1533</v>
      </c>
    </row>
    <row r="378" spans="1:15" s="105" customFormat="1" ht="15.75" x14ac:dyDescent="0.25">
      <c r="A378" s="113" t="s">
        <v>1066</v>
      </c>
      <c r="B378" s="102"/>
      <c r="C378" s="25" t="s">
        <v>1055</v>
      </c>
      <c r="D378" s="38"/>
      <c r="E378" s="13"/>
      <c r="F378" s="50"/>
      <c r="G378" s="107">
        <v>44852</v>
      </c>
      <c r="H378" s="103">
        <v>20</v>
      </c>
      <c r="I378" s="104">
        <v>3.32</v>
      </c>
      <c r="J378" s="104">
        <f t="shared" si="44"/>
        <v>66.399999999999991</v>
      </c>
      <c r="K378" s="103"/>
      <c r="L378" s="103">
        <f t="shared" si="45"/>
        <v>20</v>
      </c>
      <c r="M378" s="121" t="s">
        <v>1037</v>
      </c>
      <c r="N378" s="103" t="s">
        <v>947</v>
      </c>
      <c r="O378" s="104">
        <f t="shared" si="41"/>
        <v>66.399999999999991</v>
      </c>
    </row>
    <row r="379" spans="1:15" s="105" customFormat="1" ht="15.75" x14ac:dyDescent="0.25">
      <c r="A379" s="113" t="s">
        <v>1067</v>
      </c>
      <c r="B379" s="102"/>
      <c r="C379" s="25" t="s">
        <v>1056</v>
      </c>
      <c r="D379" s="38"/>
      <c r="E379" s="13"/>
      <c r="F379" s="50"/>
      <c r="G379" s="107">
        <v>44852</v>
      </c>
      <c r="H379" s="103">
        <v>5</v>
      </c>
      <c r="I379" s="104">
        <v>64.900000000000006</v>
      </c>
      <c r="J379" s="104">
        <f t="shared" si="44"/>
        <v>324.5</v>
      </c>
      <c r="K379" s="103"/>
      <c r="L379" s="103">
        <f t="shared" si="45"/>
        <v>5</v>
      </c>
      <c r="M379" s="121" t="s">
        <v>1037</v>
      </c>
      <c r="N379" s="103" t="s">
        <v>947</v>
      </c>
      <c r="O379" s="104">
        <f t="shared" si="41"/>
        <v>324.5</v>
      </c>
    </row>
    <row r="380" spans="1:15" s="105" customFormat="1" ht="15.75" x14ac:dyDescent="0.25">
      <c r="A380" s="113" t="s">
        <v>1067</v>
      </c>
      <c r="B380" s="102"/>
      <c r="C380" s="25" t="s">
        <v>1056</v>
      </c>
      <c r="D380" s="38"/>
      <c r="E380" s="13"/>
      <c r="F380" s="50"/>
      <c r="G380" s="107">
        <v>44852</v>
      </c>
      <c r="H380" s="103">
        <v>5</v>
      </c>
      <c r="I380" s="104">
        <v>64.900000000000006</v>
      </c>
      <c r="J380" s="104">
        <f t="shared" si="44"/>
        <v>324.5</v>
      </c>
      <c r="K380" s="103"/>
      <c r="L380" s="103">
        <f t="shared" si="45"/>
        <v>5</v>
      </c>
      <c r="M380" s="121" t="s">
        <v>1037</v>
      </c>
      <c r="N380" s="103" t="s">
        <v>947</v>
      </c>
      <c r="O380" s="104">
        <f t="shared" si="41"/>
        <v>324.5</v>
      </c>
    </row>
    <row r="381" spans="1:15" s="105" customFormat="1" ht="15.75" x14ac:dyDescent="0.25">
      <c r="A381" s="113" t="s">
        <v>1068</v>
      </c>
      <c r="B381" s="102"/>
      <c r="C381" s="25" t="s">
        <v>1077</v>
      </c>
      <c r="D381" s="38"/>
      <c r="E381" s="13"/>
      <c r="F381" s="50"/>
      <c r="G381" s="107">
        <v>44865</v>
      </c>
      <c r="H381" s="103">
        <v>5</v>
      </c>
      <c r="I381" s="104">
        <v>8720.2000000000007</v>
      </c>
      <c r="J381" s="104">
        <f t="shared" si="44"/>
        <v>43601</v>
      </c>
      <c r="K381" s="103"/>
      <c r="L381" s="103">
        <f t="shared" si="45"/>
        <v>5</v>
      </c>
      <c r="M381" s="121" t="s">
        <v>1078</v>
      </c>
      <c r="N381" s="103" t="s">
        <v>947</v>
      </c>
      <c r="O381" s="104">
        <f t="shared" si="41"/>
        <v>43601</v>
      </c>
    </row>
    <row r="382" spans="1:15" s="105" customFormat="1" ht="15.75" x14ac:dyDescent="0.25">
      <c r="A382" s="113" t="s">
        <v>1073</v>
      </c>
      <c r="B382" s="102"/>
      <c r="C382" s="25" t="s">
        <v>1079</v>
      </c>
      <c r="D382" s="38"/>
      <c r="E382" s="13"/>
      <c r="F382" s="50"/>
      <c r="G382" s="107">
        <v>44865</v>
      </c>
      <c r="H382" s="103">
        <v>5</v>
      </c>
      <c r="I382" s="104">
        <v>7729</v>
      </c>
      <c r="J382" s="104">
        <f t="shared" si="44"/>
        <v>38645</v>
      </c>
      <c r="K382" s="103"/>
      <c r="L382" s="103">
        <f t="shared" si="45"/>
        <v>5</v>
      </c>
      <c r="M382" s="121" t="s">
        <v>1078</v>
      </c>
      <c r="N382" s="103" t="s">
        <v>947</v>
      </c>
      <c r="O382" s="104">
        <f t="shared" si="41"/>
        <v>38645</v>
      </c>
    </row>
    <row r="383" spans="1:15" s="105" customFormat="1" ht="15.75" x14ac:dyDescent="0.25">
      <c r="A383" s="113" t="s">
        <v>1074</v>
      </c>
      <c r="B383" s="102"/>
      <c r="C383" s="25" t="s">
        <v>1080</v>
      </c>
      <c r="D383" s="38"/>
      <c r="E383" s="13"/>
      <c r="F383" s="50"/>
      <c r="G383" s="107">
        <v>44865</v>
      </c>
      <c r="H383" s="103">
        <v>10</v>
      </c>
      <c r="I383" s="104">
        <v>4897</v>
      </c>
      <c r="J383" s="104">
        <f t="shared" si="44"/>
        <v>48970</v>
      </c>
      <c r="K383" s="103"/>
      <c r="L383" s="103">
        <f t="shared" si="45"/>
        <v>10</v>
      </c>
      <c r="M383" s="121" t="s">
        <v>1078</v>
      </c>
      <c r="N383" s="103" t="s">
        <v>947</v>
      </c>
      <c r="O383" s="104">
        <f t="shared" si="41"/>
        <v>48970</v>
      </c>
    </row>
    <row r="384" spans="1:15" s="105" customFormat="1" ht="15.75" x14ac:dyDescent="0.25">
      <c r="A384" s="113" t="s">
        <v>1075</v>
      </c>
      <c r="B384" s="102"/>
      <c r="C384" s="25" t="s">
        <v>1072</v>
      </c>
      <c r="D384" s="38"/>
      <c r="E384" s="13"/>
      <c r="F384" s="50"/>
      <c r="G384" s="107">
        <v>44879</v>
      </c>
      <c r="H384" s="103">
        <v>10</v>
      </c>
      <c r="I384" s="104">
        <v>3717</v>
      </c>
      <c r="J384" s="104">
        <f>+I384*H384</f>
        <v>37170</v>
      </c>
      <c r="K384" s="103"/>
      <c r="L384" s="103">
        <f t="shared" si="45"/>
        <v>10</v>
      </c>
      <c r="M384" s="121"/>
      <c r="N384" s="103" t="s">
        <v>946</v>
      </c>
      <c r="O384" s="104">
        <f t="shared" si="41"/>
        <v>37170</v>
      </c>
    </row>
    <row r="385" spans="1:15" s="105" customFormat="1" ht="15.75" x14ac:dyDescent="0.25">
      <c r="A385" s="113" t="s">
        <v>1076</v>
      </c>
      <c r="B385" s="102"/>
      <c r="C385" s="25" t="s">
        <v>1070</v>
      </c>
      <c r="D385" s="38"/>
      <c r="E385" s="13"/>
      <c r="F385" s="50"/>
      <c r="G385" s="107"/>
      <c r="H385" s="103"/>
      <c r="I385" s="104"/>
      <c r="J385" s="104"/>
      <c r="K385" s="103">
        <v>1</v>
      </c>
      <c r="L385" s="103">
        <f t="shared" si="45"/>
        <v>-1</v>
      </c>
      <c r="M385" s="121"/>
      <c r="N385" s="103" t="s">
        <v>947</v>
      </c>
      <c r="O385" s="104">
        <f t="shared" si="41"/>
        <v>0</v>
      </c>
    </row>
    <row r="386" spans="1:15" s="105" customFormat="1" ht="15.75" x14ac:dyDescent="0.25">
      <c r="A386" s="113" t="s">
        <v>1081</v>
      </c>
      <c r="B386" s="102"/>
      <c r="C386" s="25" t="s">
        <v>1071</v>
      </c>
      <c r="D386" s="38"/>
      <c r="E386" s="13"/>
      <c r="F386" s="50"/>
      <c r="G386" s="107"/>
      <c r="H386" s="103"/>
      <c r="I386" s="104"/>
      <c r="J386" s="104"/>
      <c r="K386" s="103">
        <v>1</v>
      </c>
      <c r="L386" s="103">
        <f t="shared" si="45"/>
        <v>-1</v>
      </c>
      <c r="M386" s="121"/>
      <c r="N386" s="103" t="s">
        <v>947</v>
      </c>
      <c r="O386" s="104">
        <f t="shared" si="41"/>
        <v>0</v>
      </c>
    </row>
    <row r="387" spans="1:15" s="105" customFormat="1" ht="15.75" x14ac:dyDescent="0.25">
      <c r="A387" s="113" t="s">
        <v>1082</v>
      </c>
      <c r="B387" s="102"/>
      <c r="C387" s="25" t="s">
        <v>1069</v>
      </c>
      <c r="D387" s="38"/>
      <c r="E387" s="13"/>
      <c r="F387" s="50"/>
      <c r="G387" s="107"/>
      <c r="H387" s="103"/>
      <c r="I387" s="104"/>
      <c r="J387" s="104"/>
      <c r="K387" s="103">
        <v>1</v>
      </c>
      <c r="L387" s="103">
        <f t="shared" si="45"/>
        <v>-1</v>
      </c>
      <c r="M387" s="121"/>
      <c r="N387" s="103" t="s">
        <v>946</v>
      </c>
      <c r="O387" s="104">
        <f t="shared" si="41"/>
        <v>0</v>
      </c>
    </row>
    <row r="388" spans="1:15" s="105" customFormat="1" ht="31.5" x14ac:dyDescent="0.25">
      <c r="A388" s="113" t="s">
        <v>1083</v>
      </c>
      <c r="B388" s="102"/>
      <c r="C388" s="25" t="s">
        <v>1084</v>
      </c>
      <c r="D388" s="38"/>
      <c r="E388" s="13"/>
      <c r="F388" s="50"/>
      <c r="G388" s="107">
        <v>44903</v>
      </c>
      <c r="H388" s="103">
        <f>25*12</f>
        <v>300</v>
      </c>
      <c r="I388" s="104">
        <v>81.13</v>
      </c>
      <c r="J388" s="104">
        <f>+I388*H388</f>
        <v>24339</v>
      </c>
      <c r="K388" s="103">
        <f>8+2+24</f>
        <v>34</v>
      </c>
      <c r="L388" s="103">
        <f t="shared" si="45"/>
        <v>266</v>
      </c>
      <c r="M388" s="121" t="s">
        <v>1006</v>
      </c>
      <c r="N388" s="103" t="s">
        <v>945</v>
      </c>
      <c r="O388" s="104">
        <f>+L388*I388</f>
        <v>21580.579999999998</v>
      </c>
    </row>
    <row r="389" spans="1:15" s="105" customFormat="1" ht="31.5" x14ac:dyDescent="0.25">
      <c r="A389" s="113" t="s">
        <v>1099</v>
      </c>
      <c r="B389" s="102"/>
      <c r="C389" s="25" t="s">
        <v>1085</v>
      </c>
      <c r="D389" s="38"/>
      <c r="E389" s="13"/>
      <c r="F389" s="50"/>
      <c r="G389" s="107">
        <v>44903</v>
      </c>
      <c r="H389" s="103">
        <f>40*6</f>
        <v>240</v>
      </c>
      <c r="I389" s="104">
        <v>81.13</v>
      </c>
      <c r="J389" s="104">
        <f t="shared" ref="J389:J402" si="46">+I389*H389</f>
        <v>19471.199999999997</v>
      </c>
      <c r="K389" s="103">
        <f>4+4</f>
        <v>8</v>
      </c>
      <c r="L389" s="103">
        <f t="shared" si="45"/>
        <v>232</v>
      </c>
      <c r="M389" s="121" t="s">
        <v>1006</v>
      </c>
      <c r="N389" s="103" t="s">
        <v>945</v>
      </c>
      <c r="O389" s="104">
        <f t="shared" ref="O389:O402" si="47">+L389*I389</f>
        <v>18822.16</v>
      </c>
    </row>
    <row r="390" spans="1:15" s="105" customFormat="1" ht="31.5" x14ac:dyDescent="0.25">
      <c r="A390" s="113" t="s">
        <v>1100</v>
      </c>
      <c r="B390" s="102"/>
      <c r="C390" s="25" t="s">
        <v>1086</v>
      </c>
      <c r="D390" s="38"/>
      <c r="E390" s="13"/>
      <c r="F390" s="50"/>
      <c r="G390" s="107">
        <v>44903</v>
      </c>
      <c r="H390" s="103">
        <f>20*4</f>
        <v>80</v>
      </c>
      <c r="I390" s="104">
        <v>408.28</v>
      </c>
      <c r="J390" s="104">
        <f t="shared" si="46"/>
        <v>32662.399999999998</v>
      </c>
      <c r="K390" s="103">
        <f>2+1</f>
        <v>3</v>
      </c>
      <c r="L390" s="103">
        <f t="shared" si="45"/>
        <v>77</v>
      </c>
      <c r="M390" s="121" t="s">
        <v>1006</v>
      </c>
      <c r="N390" s="103" t="s">
        <v>945</v>
      </c>
      <c r="O390" s="104">
        <f t="shared" si="47"/>
        <v>31437.559999999998</v>
      </c>
    </row>
    <row r="391" spans="1:15" s="105" customFormat="1" ht="31.5" x14ac:dyDescent="0.25">
      <c r="A391" s="113" t="s">
        <v>1101</v>
      </c>
      <c r="B391" s="102"/>
      <c r="C391" s="25" t="s">
        <v>1087</v>
      </c>
      <c r="D391" s="38"/>
      <c r="E391" s="13"/>
      <c r="F391" s="50"/>
      <c r="G391" s="107">
        <v>44903</v>
      </c>
      <c r="H391" s="103">
        <f>20*4</f>
        <v>80</v>
      </c>
      <c r="I391" s="104">
        <v>116.53</v>
      </c>
      <c r="J391" s="104">
        <f t="shared" si="46"/>
        <v>9322.4</v>
      </c>
      <c r="K391" s="103">
        <f>2+1+1+1+1+1+1</f>
        <v>8</v>
      </c>
      <c r="L391" s="103">
        <f t="shared" si="45"/>
        <v>72</v>
      </c>
      <c r="M391" s="121" t="s">
        <v>1006</v>
      </c>
      <c r="N391" s="103" t="s">
        <v>945</v>
      </c>
      <c r="O391" s="104">
        <f t="shared" si="47"/>
        <v>8390.16</v>
      </c>
    </row>
    <row r="392" spans="1:15" s="105" customFormat="1" ht="31.5" x14ac:dyDescent="0.25">
      <c r="A392" s="113" t="s">
        <v>1102</v>
      </c>
      <c r="B392" s="102"/>
      <c r="C392" s="25" t="s">
        <v>1088</v>
      </c>
      <c r="D392" s="38"/>
      <c r="E392" s="13"/>
      <c r="F392" s="50"/>
      <c r="G392" s="107">
        <v>44903</v>
      </c>
      <c r="H392" s="103">
        <f>2*12</f>
        <v>24</v>
      </c>
      <c r="I392" s="104">
        <v>101.33</v>
      </c>
      <c r="J392" s="104">
        <f t="shared" si="46"/>
        <v>2431.92</v>
      </c>
      <c r="K392" s="103"/>
      <c r="L392" s="103">
        <f t="shared" si="45"/>
        <v>24</v>
      </c>
      <c r="M392" s="121" t="s">
        <v>1006</v>
      </c>
      <c r="N392" s="103" t="s">
        <v>945</v>
      </c>
      <c r="O392" s="104">
        <f t="shared" si="47"/>
        <v>2431.92</v>
      </c>
    </row>
    <row r="393" spans="1:15" s="105" customFormat="1" ht="31.5" x14ac:dyDescent="0.25">
      <c r="A393" s="113" t="s">
        <v>1103</v>
      </c>
      <c r="B393" s="102"/>
      <c r="C393" s="25" t="s">
        <v>1089</v>
      </c>
      <c r="D393" s="38"/>
      <c r="E393" s="13"/>
      <c r="F393" s="50"/>
      <c r="G393" s="107">
        <v>44903</v>
      </c>
      <c r="H393" s="103">
        <f>2*12</f>
        <v>24</v>
      </c>
      <c r="I393" s="104">
        <v>101.33</v>
      </c>
      <c r="J393" s="104">
        <f t="shared" si="46"/>
        <v>2431.92</v>
      </c>
      <c r="K393" s="103"/>
      <c r="L393" s="103">
        <f t="shared" si="45"/>
        <v>24</v>
      </c>
      <c r="M393" s="121" t="s">
        <v>1006</v>
      </c>
      <c r="N393" s="103" t="s">
        <v>945</v>
      </c>
      <c r="O393" s="104">
        <f t="shared" si="47"/>
        <v>2431.92</v>
      </c>
    </row>
    <row r="394" spans="1:15" s="105" customFormat="1" ht="31.5" x14ac:dyDescent="0.25">
      <c r="A394" s="113" t="s">
        <v>1104</v>
      </c>
      <c r="B394" s="102"/>
      <c r="C394" s="25" t="s">
        <v>1090</v>
      </c>
      <c r="D394" s="38"/>
      <c r="E394" s="13"/>
      <c r="F394" s="50"/>
      <c r="G394" s="107">
        <v>44903</v>
      </c>
      <c r="H394" s="103">
        <v>24</v>
      </c>
      <c r="I394" s="104">
        <v>79.010000000000005</v>
      </c>
      <c r="J394" s="104">
        <f t="shared" si="46"/>
        <v>1896.2400000000002</v>
      </c>
      <c r="K394" s="103"/>
      <c r="L394" s="103">
        <f t="shared" si="45"/>
        <v>24</v>
      </c>
      <c r="M394" s="121" t="s">
        <v>1006</v>
      </c>
      <c r="N394" s="103" t="s">
        <v>945</v>
      </c>
      <c r="O394" s="104">
        <f>+L394*I394</f>
        <v>1896.2400000000002</v>
      </c>
    </row>
    <row r="395" spans="1:15" s="105" customFormat="1" ht="31.5" x14ac:dyDescent="0.25">
      <c r="A395" s="113" t="s">
        <v>1105</v>
      </c>
      <c r="B395" s="102"/>
      <c r="C395" s="25" t="s">
        <v>1091</v>
      </c>
      <c r="D395" s="38"/>
      <c r="E395" s="13"/>
      <c r="F395" s="50"/>
      <c r="G395" s="107">
        <v>44903</v>
      </c>
      <c r="H395" s="103">
        <v>24</v>
      </c>
      <c r="I395" s="104">
        <v>67.7</v>
      </c>
      <c r="J395" s="104">
        <f t="shared" si="46"/>
        <v>1624.8000000000002</v>
      </c>
      <c r="K395" s="103"/>
      <c r="L395" s="103">
        <f t="shared" si="45"/>
        <v>24</v>
      </c>
      <c r="M395" s="121" t="s">
        <v>1006</v>
      </c>
      <c r="N395" s="103" t="s">
        <v>945</v>
      </c>
      <c r="O395" s="104">
        <f t="shared" si="47"/>
        <v>1624.8000000000002</v>
      </c>
    </row>
    <row r="396" spans="1:15" s="105" customFormat="1" ht="31.5" x14ac:dyDescent="0.25">
      <c r="A396" s="113" t="s">
        <v>1106</v>
      </c>
      <c r="B396" s="102"/>
      <c r="C396" s="25" t="s">
        <v>1092</v>
      </c>
      <c r="D396" s="38"/>
      <c r="E396" s="13"/>
      <c r="F396" s="50"/>
      <c r="G396" s="107">
        <v>44903</v>
      </c>
      <c r="H396" s="103">
        <v>24</v>
      </c>
      <c r="I396" s="104">
        <v>195.83</v>
      </c>
      <c r="J396" s="104">
        <f t="shared" si="46"/>
        <v>4699.92</v>
      </c>
      <c r="K396" s="103"/>
      <c r="L396" s="103">
        <f t="shared" si="45"/>
        <v>24</v>
      </c>
      <c r="M396" s="121" t="s">
        <v>1006</v>
      </c>
      <c r="N396" s="103" t="s">
        <v>945</v>
      </c>
      <c r="O396" s="104">
        <f t="shared" si="47"/>
        <v>4699.92</v>
      </c>
    </row>
    <row r="397" spans="1:15" s="105" customFormat="1" ht="31.5" x14ac:dyDescent="0.25">
      <c r="A397" s="113" t="s">
        <v>1107</v>
      </c>
      <c r="B397" s="102"/>
      <c r="C397" s="25" t="s">
        <v>1093</v>
      </c>
      <c r="D397" s="38"/>
      <c r="E397" s="13"/>
      <c r="F397" s="50"/>
      <c r="G397" s="107">
        <v>44903</v>
      </c>
      <c r="H397" s="103">
        <v>24</v>
      </c>
      <c r="I397" s="104">
        <v>126.8</v>
      </c>
      <c r="J397" s="104">
        <f t="shared" si="46"/>
        <v>3043.2</v>
      </c>
      <c r="K397" s="103"/>
      <c r="L397" s="103">
        <f t="shared" si="45"/>
        <v>24</v>
      </c>
      <c r="M397" s="121" t="s">
        <v>1006</v>
      </c>
      <c r="N397" s="103" t="s">
        <v>945</v>
      </c>
      <c r="O397" s="104">
        <f t="shared" si="47"/>
        <v>3043.2</v>
      </c>
    </row>
    <row r="398" spans="1:15" s="105" customFormat="1" ht="31.5" x14ac:dyDescent="0.25">
      <c r="A398" s="113" t="s">
        <v>1108</v>
      </c>
      <c r="B398" s="102"/>
      <c r="C398" s="25" t="s">
        <v>1094</v>
      </c>
      <c r="D398" s="38"/>
      <c r="E398" s="13"/>
      <c r="F398" s="50"/>
      <c r="G398" s="107">
        <v>44903</v>
      </c>
      <c r="H398" s="103">
        <v>24</v>
      </c>
      <c r="I398" s="104">
        <v>129.85</v>
      </c>
      <c r="J398" s="104">
        <f t="shared" si="46"/>
        <v>3116.3999999999996</v>
      </c>
      <c r="K398" s="103"/>
      <c r="L398" s="103">
        <f t="shared" si="45"/>
        <v>24</v>
      </c>
      <c r="M398" s="121" t="s">
        <v>1006</v>
      </c>
      <c r="N398" s="103" t="s">
        <v>945</v>
      </c>
      <c r="O398" s="104">
        <f t="shared" si="47"/>
        <v>3116.3999999999996</v>
      </c>
    </row>
    <row r="399" spans="1:15" s="105" customFormat="1" ht="31.5" x14ac:dyDescent="0.25">
      <c r="A399" s="113" t="s">
        <v>1109</v>
      </c>
      <c r="B399" s="102"/>
      <c r="C399" s="25" t="s">
        <v>1095</v>
      </c>
      <c r="D399" s="38"/>
      <c r="E399" s="13"/>
      <c r="F399" s="50"/>
      <c r="G399" s="107">
        <v>44903</v>
      </c>
      <c r="H399" s="103">
        <v>4</v>
      </c>
      <c r="I399" s="104">
        <v>1606.5</v>
      </c>
      <c r="J399" s="104">
        <f t="shared" si="46"/>
        <v>6426</v>
      </c>
      <c r="K399" s="103"/>
      <c r="L399" s="103">
        <f t="shared" si="45"/>
        <v>4</v>
      </c>
      <c r="M399" s="121" t="s">
        <v>1006</v>
      </c>
      <c r="N399" s="103" t="s">
        <v>945</v>
      </c>
      <c r="O399" s="104">
        <f>+L399*I399</f>
        <v>6426</v>
      </c>
    </row>
    <row r="400" spans="1:15" s="105" customFormat="1" ht="31.5" x14ac:dyDescent="0.25">
      <c r="A400" s="113" t="s">
        <v>1110</v>
      </c>
      <c r="B400" s="102"/>
      <c r="C400" s="25" t="s">
        <v>1096</v>
      </c>
      <c r="D400" s="38"/>
      <c r="E400" s="13"/>
      <c r="F400" s="50"/>
      <c r="G400" s="107">
        <v>44903</v>
      </c>
      <c r="H400" s="103">
        <v>24</v>
      </c>
      <c r="I400" s="104">
        <v>134.13</v>
      </c>
      <c r="J400" s="104">
        <f t="shared" si="46"/>
        <v>3219.12</v>
      </c>
      <c r="K400" s="103"/>
      <c r="L400" s="103">
        <f t="shared" si="45"/>
        <v>24</v>
      </c>
      <c r="M400" s="121" t="s">
        <v>1006</v>
      </c>
      <c r="N400" s="103" t="s">
        <v>945</v>
      </c>
      <c r="O400" s="104">
        <f t="shared" si="47"/>
        <v>3219.12</v>
      </c>
    </row>
    <row r="401" spans="1:15" s="105" customFormat="1" ht="31.5" x14ac:dyDescent="0.25">
      <c r="A401" s="113" t="s">
        <v>1111</v>
      </c>
      <c r="B401" s="102"/>
      <c r="C401" s="25" t="s">
        <v>1097</v>
      </c>
      <c r="D401" s="38"/>
      <c r="E401" s="13"/>
      <c r="F401" s="50"/>
      <c r="G401" s="107">
        <v>44903</v>
      </c>
      <c r="H401" s="103">
        <v>24</v>
      </c>
      <c r="I401" s="104">
        <v>147.35</v>
      </c>
      <c r="J401" s="104">
        <f t="shared" si="46"/>
        <v>3536.3999999999996</v>
      </c>
      <c r="K401" s="103"/>
      <c r="L401" s="103">
        <f t="shared" si="45"/>
        <v>24</v>
      </c>
      <c r="M401" s="121" t="s">
        <v>1006</v>
      </c>
      <c r="N401" s="103" t="s">
        <v>945</v>
      </c>
      <c r="O401" s="104">
        <f t="shared" si="47"/>
        <v>3536.3999999999996</v>
      </c>
    </row>
    <row r="402" spans="1:15" s="105" customFormat="1" ht="31.5" x14ac:dyDescent="0.25">
      <c r="A402" s="113" t="s">
        <v>1112</v>
      </c>
      <c r="B402" s="102"/>
      <c r="C402" s="25" t="s">
        <v>1098</v>
      </c>
      <c r="D402" s="38"/>
      <c r="E402" s="13"/>
      <c r="F402" s="50"/>
      <c r="G402" s="107">
        <v>44903</v>
      </c>
      <c r="H402" s="103">
        <v>2</v>
      </c>
      <c r="I402" s="104">
        <v>1100.5</v>
      </c>
      <c r="J402" s="104">
        <f t="shared" si="46"/>
        <v>2201</v>
      </c>
      <c r="K402" s="103"/>
      <c r="L402" s="103">
        <f t="shared" si="45"/>
        <v>2</v>
      </c>
      <c r="M402" s="121" t="s">
        <v>1006</v>
      </c>
      <c r="N402" s="103" t="s">
        <v>945</v>
      </c>
      <c r="O402" s="104">
        <f t="shared" si="47"/>
        <v>2201</v>
      </c>
    </row>
    <row r="403" spans="1:15" s="105" customFormat="1" ht="15.75" x14ac:dyDescent="0.25">
      <c r="A403" s="113"/>
      <c r="B403" s="102"/>
      <c r="C403" s="25" t="s">
        <v>1114</v>
      </c>
      <c r="D403" s="38"/>
      <c r="E403" s="13"/>
      <c r="F403" s="50"/>
      <c r="G403" s="107"/>
      <c r="H403" s="103"/>
      <c r="I403" s="104"/>
      <c r="J403" s="104"/>
      <c r="K403" s="103">
        <v>22</v>
      </c>
      <c r="L403" s="103">
        <f t="shared" si="45"/>
        <v>-22</v>
      </c>
      <c r="M403" s="121"/>
      <c r="N403" s="103"/>
      <c r="O403" s="104"/>
    </row>
    <row r="404" spans="1:15" s="105" customFormat="1" ht="15.75" x14ac:dyDescent="0.25">
      <c r="A404" s="113"/>
      <c r="B404" s="102"/>
      <c r="C404" s="25"/>
      <c r="D404" s="38"/>
      <c r="E404" s="13"/>
      <c r="F404" s="50"/>
      <c r="G404" s="107"/>
      <c r="H404" s="103"/>
      <c r="I404" s="104"/>
      <c r="J404" s="104"/>
      <c r="K404" s="103"/>
      <c r="L404" s="103">
        <f t="shared" si="45"/>
        <v>0</v>
      </c>
      <c r="M404" s="121"/>
      <c r="N404" s="103"/>
      <c r="O404" s="104">
        <f t="shared" si="41"/>
        <v>0</v>
      </c>
    </row>
    <row r="405" spans="1:15" x14ac:dyDescent="0.3">
      <c r="A405" s="69" t="s">
        <v>98</v>
      </c>
      <c r="B405" s="241"/>
      <c r="C405" s="242"/>
      <c r="D405" s="242"/>
      <c r="E405" s="243"/>
      <c r="F405" s="70">
        <f>SUM(F8:F378)</f>
        <v>1580249.4203600003</v>
      </c>
      <c r="G405" s="70"/>
      <c r="H405" s="70"/>
      <c r="I405" s="70">
        <f>SUM(I8:I378)</f>
        <v>98535.988666666672</v>
      </c>
      <c r="J405" s="70">
        <f>SUM(J8:J378)</f>
        <v>1514186.35</v>
      </c>
      <c r="K405" s="70"/>
      <c r="L405" s="70"/>
      <c r="M405" s="70">
        <f>SUM(M8:M378)</f>
        <v>0</v>
      </c>
      <c r="N405" s="70">
        <f>SUM(N8:N378)</f>
        <v>0</v>
      </c>
      <c r="O405" s="70">
        <f>SUM(O8:O404)</f>
        <v>3403300.4868866671</v>
      </c>
    </row>
    <row r="406" spans="1:15" x14ac:dyDescent="0.3">
      <c r="A406" s="2"/>
      <c r="B406" s="2"/>
      <c r="C406" s="43"/>
      <c r="D406" s="2"/>
      <c r="E406" s="2"/>
      <c r="F406" s="2"/>
      <c r="G406" s="2"/>
      <c r="H406" s="2"/>
      <c r="I406" s="65"/>
      <c r="J406" s="2"/>
      <c r="K406" s="2"/>
      <c r="L406" s="2"/>
      <c r="M406" s="2"/>
      <c r="N406" s="2"/>
      <c r="O406" s="2"/>
    </row>
    <row r="407" spans="1:15" x14ac:dyDescent="0.3">
      <c r="C407" s="96"/>
      <c r="F407" s="63"/>
      <c r="O407" s="50"/>
    </row>
    <row r="408" spans="1:15" x14ac:dyDescent="0.3">
      <c r="A408" s="85" t="s">
        <v>7</v>
      </c>
      <c r="C408" s="96"/>
    </row>
    <row r="409" spans="1:15" x14ac:dyDescent="0.3">
      <c r="C409" s="96"/>
    </row>
    <row r="410" spans="1:15" x14ac:dyDescent="0.3">
      <c r="B410" s="85" t="s">
        <v>531</v>
      </c>
      <c r="C410" s="96"/>
    </row>
    <row r="411" spans="1:15" x14ac:dyDescent="0.3">
      <c r="C411" s="96"/>
    </row>
    <row r="412" spans="1:15" x14ac:dyDescent="0.3">
      <c r="A412" s="97" t="s">
        <v>5</v>
      </c>
      <c r="C412" s="96"/>
    </row>
    <row r="413" spans="1:15" x14ac:dyDescent="0.3">
      <c r="C413" s="96"/>
    </row>
    <row r="414" spans="1:15" x14ac:dyDescent="0.3">
      <c r="A414" s="97"/>
      <c r="C414" s="96"/>
    </row>
    <row r="415" spans="1:15" x14ac:dyDescent="0.3">
      <c r="A415" s="98" t="s">
        <v>924</v>
      </c>
      <c r="C415" s="96"/>
    </row>
    <row r="416" spans="1:15" x14ac:dyDescent="0.3">
      <c r="A416" s="85" t="s">
        <v>925</v>
      </c>
      <c r="C416" s="96"/>
    </row>
    <row r="417" spans="3:3" x14ac:dyDescent="0.3">
      <c r="C417" s="96" t="s">
        <v>506</v>
      </c>
    </row>
    <row r="418" spans="3:3" x14ac:dyDescent="0.3">
      <c r="C418" s="96"/>
    </row>
    <row r="419" spans="3:3" x14ac:dyDescent="0.3">
      <c r="C419" s="96"/>
    </row>
    <row r="420" spans="3:3" x14ac:dyDescent="0.3">
      <c r="C420" s="96"/>
    </row>
    <row r="421" spans="3:3" x14ac:dyDescent="0.3">
      <c r="C421" s="96"/>
    </row>
    <row r="422" spans="3:3" x14ac:dyDescent="0.3">
      <c r="C422" s="96"/>
    </row>
    <row r="423" spans="3:3" x14ac:dyDescent="0.3">
      <c r="C423" s="96"/>
    </row>
    <row r="424" spans="3:3" x14ac:dyDescent="0.3">
      <c r="C424" s="96"/>
    </row>
  </sheetData>
  <mergeCells count="4">
    <mergeCell ref="A3:F3"/>
    <mergeCell ref="A4:F4"/>
    <mergeCell ref="A5:F5"/>
    <mergeCell ref="B405:E40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24"/>
  <sheetViews>
    <sheetView topLeftCell="D258" workbookViewId="0">
      <selection activeCell="K269" sqref="K269"/>
    </sheetView>
  </sheetViews>
  <sheetFormatPr baseColWidth="10" defaultColWidth="11.42578125" defaultRowHeight="18.75" x14ac:dyDescent="0.3"/>
  <cols>
    <col min="1" max="1" width="16" style="85" customWidth="1"/>
    <col min="2" max="2" width="19.28515625" style="85" customWidth="1"/>
    <col min="3" max="3" width="51.28515625" style="85" customWidth="1"/>
    <col min="4" max="4" width="14.140625" customWidth="1"/>
    <col min="5" max="5" width="17.140625" customWidth="1"/>
    <col min="6" max="6" width="22.42578125" customWidth="1"/>
    <col min="7" max="7" width="18.5703125" customWidth="1"/>
    <col min="8" max="8" width="11.140625" customWidth="1"/>
    <col min="9" max="9" width="16.85546875" style="63" customWidth="1"/>
    <col min="10" max="11" width="13.140625" customWidth="1"/>
    <col min="12" max="12" width="12.7109375" style="85" bestFit="1" customWidth="1"/>
    <col min="13" max="13" width="13.42578125" customWidth="1"/>
    <col min="14" max="14" width="17.7109375" style="85" bestFit="1" customWidth="1"/>
    <col min="15" max="15" width="14.42578125" style="85" bestFit="1" customWidth="1"/>
    <col min="16" max="16384" width="11.42578125" style="85"/>
  </cols>
  <sheetData>
    <row r="3" spans="1:15" ht="26.25" x14ac:dyDescent="0.4">
      <c r="A3" s="244" t="s">
        <v>0</v>
      </c>
      <c r="B3" s="244"/>
      <c r="C3" s="244"/>
      <c r="D3" s="234"/>
      <c r="E3" s="234"/>
      <c r="F3" s="234"/>
    </row>
    <row r="4" spans="1:15" x14ac:dyDescent="0.3">
      <c r="A4" s="245" t="s">
        <v>1</v>
      </c>
      <c r="B4" s="246"/>
      <c r="C4" s="246"/>
      <c r="D4" s="236"/>
      <c r="E4" s="236"/>
      <c r="F4" s="236"/>
    </row>
    <row r="5" spans="1:15" x14ac:dyDescent="0.3">
      <c r="A5" s="237" t="s">
        <v>1117</v>
      </c>
      <c r="B5" s="237"/>
      <c r="C5" s="237"/>
      <c r="D5" s="237"/>
      <c r="E5" s="237"/>
      <c r="F5" s="237"/>
    </row>
    <row r="7" spans="1:15" ht="56.25" x14ac:dyDescent="0.3">
      <c r="A7" s="86" t="s">
        <v>118</v>
      </c>
      <c r="B7" s="86" t="s">
        <v>9</v>
      </c>
      <c r="C7" s="87" t="s">
        <v>2</v>
      </c>
      <c r="D7" s="83" t="s">
        <v>3</v>
      </c>
      <c r="E7" s="83" t="s">
        <v>117</v>
      </c>
      <c r="F7" s="83" t="s">
        <v>4</v>
      </c>
      <c r="G7" s="82" t="s">
        <v>9</v>
      </c>
      <c r="H7" s="83" t="s">
        <v>915</v>
      </c>
      <c r="I7" s="84" t="s">
        <v>117</v>
      </c>
      <c r="J7" s="83" t="s">
        <v>4</v>
      </c>
      <c r="K7" s="83" t="s">
        <v>929</v>
      </c>
      <c r="L7" s="87" t="s">
        <v>914</v>
      </c>
      <c r="M7" s="83" t="s">
        <v>927</v>
      </c>
      <c r="N7" s="87" t="s">
        <v>944</v>
      </c>
      <c r="O7" s="83" t="s">
        <v>4</v>
      </c>
    </row>
    <row r="8" spans="1:15" s="92" customFormat="1" x14ac:dyDescent="0.3">
      <c r="A8" s="113" t="s">
        <v>11</v>
      </c>
      <c r="B8" s="102">
        <v>44652</v>
      </c>
      <c r="C8" s="25" t="s">
        <v>857</v>
      </c>
      <c r="D8" s="14">
        <f>18*30</f>
        <v>540</v>
      </c>
      <c r="E8" s="13">
        <v>850</v>
      </c>
      <c r="F8" s="50">
        <f>+E8*18</f>
        <v>15300</v>
      </c>
      <c r="G8" s="103"/>
      <c r="H8" s="103"/>
      <c r="I8" s="104"/>
      <c r="J8" s="103"/>
      <c r="K8" s="103">
        <v>28</v>
      </c>
      <c r="L8" s="103">
        <f>+D8+H8-K8</f>
        <v>512</v>
      </c>
      <c r="M8" s="103"/>
      <c r="N8" s="103" t="s">
        <v>945</v>
      </c>
      <c r="O8" s="104">
        <f>+E8*L8</f>
        <v>435200</v>
      </c>
    </row>
    <row r="9" spans="1:15" s="8" customFormat="1" ht="15.75" x14ac:dyDescent="0.25">
      <c r="A9" s="113" t="s">
        <v>120</v>
      </c>
      <c r="B9" s="102">
        <v>44193</v>
      </c>
      <c r="C9" s="25" t="s">
        <v>533</v>
      </c>
      <c r="D9" s="14">
        <v>43</v>
      </c>
      <c r="E9" s="13">
        <v>215</v>
      </c>
      <c r="F9" s="50">
        <f>D9*E9</f>
        <v>9245</v>
      </c>
      <c r="G9" s="103"/>
      <c r="H9" s="103"/>
      <c r="I9" s="104"/>
      <c r="J9" s="103"/>
      <c r="K9" s="103">
        <v>3</v>
      </c>
      <c r="L9" s="103">
        <f t="shared" ref="L9:L72" si="0">+D9+H9-K9</f>
        <v>40</v>
      </c>
      <c r="M9" s="103"/>
      <c r="N9" s="103" t="s">
        <v>946</v>
      </c>
      <c r="O9" s="104">
        <f t="shared" ref="O9:O33" si="1">+E9*L9</f>
        <v>8600</v>
      </c>
    </row>
    <row r="10" spans="1:15" s="8" customFormat="1" ht="14.25" customHeight="1" x14ac:dyDescent="0.25">
      <c r="A10" s="113" t="s">
        <v>12</v>
      </c>
      <c r="B10" s="102">
        <v>44453</v>
      </c>
      <c r="C10" s="25" t="s">
        <v>534</v>
      </c>
      <c r="D10" s="14">
        <f>2+9</f>
        <v>11</v>
      </c>
      <c r="E10" s="13">
        <v>1350</v>
      </c>
      <c r="F10" s="50">
        <f>D10*E10</f>
        <v>14850</v>
      </c>
      <c r="G10" s="103"/>
      <c r="H10" s="103"/>
      <c r="I10" s="104"/>
      <c r="J10" s="103"/>
      <c r="K10" s="103"/>
      <c r="L10" s="103">
        <f t="shared" si="0"/>
        <v>11</v>
      </c>
      <c r="M10" s="103"/>
      <c r="N10" s="103" t="s">
        <v>946</v>
      </c>
      <c r="O10" s="104">
        <f t="shared" si="1"/>
        <v>14850</v>
      </c>
    </row>
    <row r="11" spans="1:15" s="8" customFormat="1" ht="15.75" x14ac:dyDescent="0.25">
      <c r="A11" s="113" t="s">
        <v>121</v>
      </c>
      <c r="B11" s="102">
        <v>44193</v>
      </c>
      <c r="C11" s="25" t="s">
        <v>535</v>
      </c>
      <c r="D11" s="30">
        <v>0</v>
      </c>
      <c r="E11" s="13">
        <v>127.12</v>
      </c>
      <c r="F11" s="50">
        <f t="shared" ref="F11:F23" si="2">D11*E11</f>
        <v>0</v>
      </c>
      <c r="G11" s="103"/>
      <c r="H11" s="103"/>
      <c r="I11" s="104"/>
      <c r="J11" s="103"/>
      <c r="K11" s="103"/>
      <c r="L11" s="103">
        <f t="shared" si="0"/>
        <v>0</v>
      </c>
      <c r="M11" s="103"/>
      <c r="N11" s="103" t="s">
        <v>946</v>
      </c>
      <c r="O11" s="104">
        <f t="shared" si="1"/>
        <v>0</v>
      </c>
    </row>
    <row r="12" spans="1:15" s="8" customFormat="1" ht="15.75" x14ac:dyDescent="0.25">
      <c r="A12" s="113" t="s">
        <v>122</v>
      </c>
      <c r="B12" s="102">
        <v>44193</v>
      </c>
      <c r="C12" s="25" t="s">
        <v>838</v>
      </c>
      <c r="D12" s="38">
        <v>1</v>
      </c>
      <c r="E12" s="13">
        <v>30</v>
      </c>
      <c r="F12" s="50">
        <f t="shared" si="2"/>
        <v>30</v>
      </c>
      <c r="G12" s="103"/>
      <c r="H12" s="103"/>
      <c r="I12" s="104"/>
      <c r="J12" s="103"/>
      <c r="K12" s="103"/>
      <c r="L12" s="103">
        <f t="shared" si="0"/>
        <v>1</v>
      </c>
      <c r="M12" s="103"/>
      <c r="N12" s="103" t="s">
        <v>946</v>
      </c>
      <c r="O12" s="104">
        <f t="shared" si="1"/>
        <v>30</v>
      </c>
    </row>
    <row r="13" spans="1:15" s="8" customFormat="1" ht="15.75" x14ac:dyDescent="0.25">
      <c r="A13" s="113" t="s">
        <v>123</v>
      </c>
      <c r="B13" s="102">
        <v>44193</v>
      </c>
      <c r="C13" s="25" t="s">
        <v>840</v>
      </c>
      <c r="D13" s="14">
        <v>10</v>
      </c>
      <c r="E13" s="13">
        <v>11</v>
      </c>
      <c r="F13" s="50">
        <f t="shared" si="2"/>
        <v>110</v>
      </c>
      <c r="G13" s="103"/>
      <c r="H13" s="103"/>
      <c r="I13" s="104"/>
      <c r="J13" s="103"/>
      <c r="K13" s="103"/>
      <c r="L13" s="103">
        <f t="shared" si="0"/>
        <v>10</v>
      </c>
      <c r="M13" s="103"/>
      <c r="N13" s="103" t="s">
        <v>946</v>
      </c>
      <c r="O13" s="104">
        <f t="shared" si="1"/>
        <v>110</v>
      </c>
    </row>
    <row r="14" spans="1:15" s="8" customFormat="1" ht="15.75" x14ac:dyDescent="0.25">
      <c r="A14" s="113" t="s">
        <v>13</v>
      </c>
      <c r="B14" s="102">
        <v>44193</v>
      </c>
      <c r="C14" s="25" t="s">
        <v>536</v>
      </c>
      <c r="D14" s="14">
        <f>49+60+2</f>
        <v>111</v>
      </c>
      <c r="E14" s="13">
        <v>15.84</v>
      </c>
      <c r="F14" s="50">
        <f t="shared" si="2"/>
        <v>1758.24</v>
      </c>
      <c r="G14" s="103"/>
      <c r="H14" s="103"/>
      <c r="I14" s="104"/>
      <c r="J14" s="103"/>
      <c r="K14" s="103"/>
      <c r="L14" s="103">
        <f t="shared" si="0"/>
        <v>111</v>
      </c>
      <c r="M14" s="103"/>
      <c r="N14" s="103" t="s">
        <v>946</v>
      </c>
      <c r="O14" s="104">
        <f t="shared" si="1"/>
        <v>1758.24</v>
      </c>
    </row>
    <row r="15" spans="1:15" s="8" customFormat="1" ht="15.75" x14ac:dyDescent="0.25">
      <c r="A15" s="113" t="s">
        <v>14</v>
      </c>
      <c r="B15" s="102">
        <v>44193</v>
      </c>
      <c r="C15" s="25" t="s">
        <v>537</v>
      </c>
      <c r="D15" s="14">
        <v>52</v>
      </c>
      <c r="E15" s="13">
        <v>22.41</v>
      </c>
      <c r="F15" s="50">
        <f t="shared" si="2"/>
        <v>1165.32</v>
      </c>
      <c r="G15" s="103"/>
      <c r="H15" s="103"/>
      <c r="I15" s="104"/>
      <c r="J15" s="103"/>
      <c r="K15" s="103"/>
      <c r="L15" s="103">
        <f t="shared" si="0"/>
        <v>52</v>
      </c>
      <c r="M15" s="103"/>
      <c r="N15" s="103" t="s">
        <v>946</v>
      </c>
      <c r="O15" s="104">
        <f t="shared" si="1"/>
        <v>1165.32</v>
      </c>
    </row>
    <row r="16" spans="1:15" s="8" customFormat="1" ht="15.75" x14ac:dyDescent="0.25">
      <c r="A16" s="113" t="s">
        <v>15</v>
      </c>
      <c r="B16" s="102">
        <v>44193</v>
      </c>
      <c r="C16" s="25" t="s">
        <v>538</v>
      </c>
      <c r="D16" s="14">
        <v>42</v>
      </c>
      <c r="E16" s="13">
        <v>5.5</v>
      </c>
      <c r="F16" s="50">
        <f t="shared" si="2"/>
        <v>231</v>
      </c>
      <c r="G16" s="103"/>
      <c r="H16" s="103"/>
      <c r="I16" s="104"/>
      <c r="J16" s="103"/>
      <c r="K16" s="103"/>
      <c r="L16" s="103">
        <f t="shared" si="0"/>
        <v>42</v>
      </c>
      <c r="M16" s="103"/>
      <c r="N16" s="103" t="s">
        <v>946</v>
      </c>
      <c r="O16" s="104">
        <f t="shared" si="1"/>
        <v>231</v>
      </c>
    </row>
    <row r="17" spans="1:15" s="8" customFormat="1" ht="15.75" x14ac:dyDescent="0.25">
      <c r="A17" s="113" t="s">
        <v>124</v>
      </c>
      <c r="B17" s="102">
        <v>44193</v>
      </c>
      <c r="C17" s="25" t="s">
        <v>539</v>
      </c>
      <c r="D17" s="14">
        <v>32</v>
      </c>
      <c r="E17" s="13">
        <v>78.099999999999994</v>
      </c>
      <c r="F17" s="50">
        <f t="shared" si="2"/>
        <v>2499.1999999999998</v>
      </c>
      <c r="G17" s="103"/>
      <c r="H17" s="103"/>
      <c r="I17" s="104"/>
      <c r="J17" s="103"/>
      <c r="K17" s="103"/>
      <c r="L17" s="103">
        <f t="shared" si="0"/>
        <v>32</v>
      </c>
      <c r="M17" s="103"/>
      <c r="N17" s="103" t="s">
        <v>946</v>
      </c>
      <c r="O17" s="104">
        <f t="shared" si="1"/>
        <v>2499.1999999999998</v>
      </c>
    </row>
    <row r="18" spans="1:15" s="8" customFormat="1" ht="15.75" x14ac:dyDescent="0.25">
      <c r="A18" s="113" t="s">
        <v>16</v>
      </c>
      <c r="B18" s="102" t="s">
        <v>107</v>
      </c>
      <c r="C18" s="25" t="s">
        <v>540</v>
      </c>
      <c r="D18" s="14">
        <v>131</v>
      </c>
      <c r="E18" s="13">
        <v>5.17</v>
      </c>
      <c r="F18" s="50">
        <f t="shared" si="2"/>
        <v>677.27</v>
      </c>
      <c r="G18" s="103"/>
      <c r="H18" s="103"/>
      <c r="I18" s="104"/>
      <c r="J18" s="103"/>
      <c r="K18" s="103"/>
      <c r="L18" s="103">
        <f t="shared" si="0"/>
        <v>131</v>
      </c>
      <c r="M18" s="103"/>
      <c r="N18" s="103" t="s">
        <v>946</v>
      </c>
      <c r="O18" s="104">
        <f t="shared" si="1"/>
        <v>677.27</v>
      </c>
    </row>
    <row r="19" spans="1:15" s="8" customFormat="1" ht="15.75" x14ac:dyDescent="0.25">
      <c r="A19" s="113" t="s">
        <v>17</v>
      </c>
      <c r="B19" s="102" t="s">
        <v>107</v>
      </c>
      <c r="C19" s="25" t="s">
        <v>541</v>
      </c>
      <c r="D19" s="14">
        <v>10</v>
      </c>
      <c r="E19" s="51">
        <v>15</v>
      </c>
      <c r="F19" s="50">
        <f t="shared" si="2"/>
        <v>150</v>
      </c>
      <c r="G19" s="103"/>
      <c r="H19" s="103"/>
      <c r="I19" s="104"/>
      <c r="J19" s="103"/>
      <c r="K19" s="103"/>
      <c r="L19" s="103">
        <f t="shared" si="0"/>
        <v>10</v>
      </c>
      <c r="M19" s="103"/>
      <c r="N19" s="103" t="s">
        <v>946</v>
      </c>
      <c r="O19" s="104">
        <f t="shared" si="1"/>
        <v>150</v>
      </c>
    </row>
    <row r="20" spans="1:15" s="8" customFormat="1" ht="15.75" x14ac:dyDescent="0.25">
      <c r="A20" s="113" t="s">
        <v>18</v>
      </c>
      <c r="B20" s="102">
        <v>44193</v>
      </c>
      <c r="C20" s="25" t="s">
        <v>542</v>
      </c>
      <c r="D20" s="30">
        <f>4+7+1</f>
        <v>12</v>
      </c>
      <c r="E20" s="13">
        <v>15</v>
      </c>
      <c r="F20" s="50">
        <f t="shared" si="2"/>
        <v>180</v>
      </c>
      <c r="G20" s="103"/>
      <c r="H20" s="103"/>
      <c r="I20" s="104"/>
      <c r="J20" s="103"/>
      <c r="K20" s="103"/>
      <c r="L20" s="103">
        <f t="shared" si="0"/>
        <v>12</v>
      </c>
      <c r="M20" s="103"/>
      <c r="N20" s="103" t="s">
        <v>946</v>
      </c>
      <c r="O20" s="104">
        <f t="shared" si="1"/>
        <v>180</v>
      </c>
    </row>
    <row r="21" spans="1:15" s="8" customFormat="1" ht="15.75" x14ac:dyDescent="0.25">
      <c r="A21" s="113" t="s">
        <v>19</v>
      </c>
      <c r="B21" s="102">
        <v>44193</v>
      </c>
      <c r="C21" s="25" t="s">
        <v>543</v>
      </c>
      <c r="D21" s="30">
        <v>8</v>
      </c>
      <c r="E21" s="22">
        <v>15</v>
      </c>
      <c r="F21" s="50">
        <f t="shared" si="2"/>
        <v>120</v>
      </c>
      <c r="G21" s="103"/>
      <c r="H21" s="103"/>
      <c r="I21" s="104"/>
      <c r="J21" s="103"/>
      <c r="K21" s="103"/>
      <c r="L21" s="103">
        <f t="shared" si="0"/>
        <v>8</v>
      </c>
      <c r="M21" s="103"/>
      <c r="N21" s="103" t="s">
        <v>946</v>
      </c>
      <c r="O21" s="104">
        <f t="shared" si="1"/>
        <v>120</v>
      </c>
    </row>
    <row r="22" spans="1:15" s="8" customFormat="1" ht="15.75" x14ac:dyDescent="0.25">
      <c r="A22" s="113" t="s">
        <v>20</v>
      </c>
      <c r="B22" s="102">
        <v>44193</v>
      </c>
      <c r="C22" s="25" t="s">
        <v>835</v>
      </c>
      <c r="D22" s="30">
        <v>1</v>
      </c>
      <c r="E22" s="22">
        <v>15</v>
      </c>
      <c r="F22" s="50">
        <f t="shared" si="2"/>
        <v>15</v>
      </c>
      <c r="G22" s="103"/>
      <c r="H22" s="103"/>
      <c r="I22" s="104"/>
      <c r="J22" s="103"/>
      <c r="K22" s="103"/>
      <c r="L22" s="103">
        <f t="shared" si="0"/>
        <v>1</v>
      </c>
      <c r="M22" s="103"/>
      <c r="N22" s="103" t="s">
        <v>946</v>
      </c>
      <c r="O22" s="104">
        <f t="shared" si="1"/>
        <v>15</v>
      </c>
    </row>
    <row r="23" spans="1:15" s="8" customFormat="1" ht="15.75" x14ac:dyDescent="0.25">
      <c r="A23" s="113" t="s">
        <v>21</v>
      </c>
      <c r="B23" s="102" t="s">
        <v>107</v>
      </c>
      <c r="C23" s="25" t="s">
        <v>544</v>
      </c>
      <c r="D23" s="30">
        <v>32</v>
      </c>
      <c r="E23" s="51">
        <v>15</v>
      </c>
      <c r="F23" s="50">
        <f t="shared" si="2"/>
        <v>480</v>
      </c>
      <c r="G23" s="103"/>
      <c r="H23" s="103"/>
      <c r="I23" s="104"/>
      <c r="J23" s="103"/>
      <c r="K23" s="103"/>
      <c r="L23" s="103">
        <f t="shared" si="0"/>
        <v>32</v>
      </c>
      <c r="M23" s="103"/>
      <c r="N23" s="103" t="s">
        <v>946</v>
      </c>
      <c r="O23" s="104">
        <f t="shared" si="1"/>
        <v>480</v>
      </c>
    </row>
    <row r="24" spans="1:15" s="8" customFormat="1" ht="15.75" x14ac:dyDescent="0.25">
      <c r="A24" s="113" t="s">
        <v>23</v>
      </c>
      <c r="B24" s="102">
        <v>44193</v>
      </c>
      <c r="C24" s="25" t="s">
        <v>811</v>
      </c>
      <c r="D24" s="30">
        <v>24</v>
      </c>
      <c r="E24" s="51"/>
      <c r="F24" s="50"/>
      <c r="G24" s="103"/>
      <c r="H24" s="103"/>
      <c r="I24" s="104"/>
      <c r="J24" s="103"/>
      <c r="K24" s="103">
        <f>1+3+3+3</f>
        <v>10</v>
      </c>
      <c r="L24" s="103">
        <f t="shared" si="0"/>
        <v>14</v>
      </c>
      <c r="M24" s="103"/>
      <c r="N24" s="103" t="s">
        <v>946</v>
      </c>
      <c r="O24" s="104">
        <f t="shared" si="1"/>
        <v>0</v>
      </c>
    </row>
    <row r="25" spans="1:15" s="8" customFormat="1" ht="15.75" x14ac:dyDescent="0.25">
      <c r="A25" s="113" t="s">
        <v>24</v>
      </c>
      <c r="B25" s="102">
        <v>44193</v>
      </c>
      <c r="C25" s="25" t="s">
        <v>809</v>
      </c>
      <c r="D25" s="30">
        <v>12</v>
      </c>
      <c r="E25" s="51"/>
      <c r="F25" s="50"/>
      <c r="G25" s="103"/>
      <c r="H25" s="103"/>
      <c r="I25" s="104"/>
      <c r="J25" s="103"/>
      <c r="K25" s="103"/>
      <c r="L25" s="103">
        <f t="shared" si="0"/>
        <v>12</v>
      </c>
      <c r="M25" s="103"/>
      <c r="N25" s="103" t="s">
        <v>946</v>
      </c>
      <c r="O25" s="104">
        <f t="shared" si="1"/>
        <v>0</v>
      </c>
    </row>
    <row r="26" spans="1:15" s="92" customFormat="1" x14ac:dyDescent="0.3">
      <c r="A26" s="113" t="s">
        <v>110</v>
      </c>
      <c r="B26" s="102">
        <v>44193</v>
      </c>
      <c r="C26" s="9" t="s">
        <v>545</v>
      </c>
      <c r="D26" s="31">
        <v>10</v>
      </c>
      <c r="E26" s="13">
        <v>225</v>
      </c>
      <c r="F26" s="50">
        <f>D26*E26</f>
        <v>2250</v>
      </c>
      <c r="G26" s="103"/>
      <c r="H26" s="103"/>
      <c r="I26" s="104"/>
      <c r="J26" s="103"/>
      <c r="K26" s="103"/>
      <c r="L26" s="103">
        <f t="shared" si="0"/>
        <v>10</v>
      </c>
      <c r="M26" s="103"/>
      <c r="N26" s="103" t="s">
        <v>945</v>
      </c>
      <c r="O26" s="104">
        <f t="shared" si="1"/>
        <v>2250</v>
      </c>
    </row>
    <row r="27" spans="1:15" s="8" customFormat="1" ht="15.75" x14ac:dyDescent="0.25">
      <c r="A27" s="113" t="s">
        <v>125</v>
      </c>
      <c r="B27" s="102">
        <v>44193</v>
      </c>
      <c r="C27" s="25" t="s">
        <v>546</v>
      </c>
      <c r="D27" s="30">
        <v>0</v>
      </c>
      <c r="E27" s="13">
        <v>68</v>
      </c>
      <c r="F27" s="50">
        <f>D27*E27</f>
        <v>0</v>
      </c>
      <c r="G27" s="103"/>
      <c r="H27" s="103"/>
      <c r="I27" s="104"/>
      <c r="J27" s="103"/>
      <c r="K27" s="103"/>
      <c r="L27" s="103">
        <f t="shared" si="0"/>
        <v>0</v>
      </c>
      <c r="M27" s="103"/>
      <c r="N27" s="103" t="s">
        <v>946</v>
      </c>
      <c r="O27" s="104">
        <f>+E27*L27</f>
        <v>0</v>
      </c>
    </row>
    <row r="28" spans="1:15" s="92" customFormat="1" x14ac:dyDescent="0.3">
      <c r="A28" s="113" t="s">
        <v>25</v>
      </c>
      <c r="B28" s="102">
        <v>44193</v>
      </c>
      <c r="C28" s="25" t="s">
        <v>547</v>
      </c>
      <c r="D28" s="30">
        <v>4</v>
      </c>
      <c r="E28" s="13">
        <v>470</v>
      </c>
      <c r="F28" s="50">
        <f>D28*E28</f>
        <v>1880</v>
      </c>
      <c r="G28" s="103"/>
      <c r="H28" s="103"/>
      <c r="I28" s="104"/>
      <c r="J28" s="103"/>
      <c r="K28" s="103"/>
      <c r="L28" s="103">
        <f t="shared" si="0"/>
        <v>4</v>
      </c>
      <c r="M28" s="103"/>
      <c r="N28" s="103" t="s">
        <v>945</v>
      </c>
      <c r="O28" s="104">
        <f t="shared" si="1"/>
        <v>1880</v>
      </c>
    </row>
    <row r="29" spans="1:15" s="8" customFormat="1" ht="15.75" x14ac:dyDescent="0.25">
      <c r="A29" s="113" t="s">
        <v>126</v>
      </c>
      <c r="B29" s="102" t="s">
        <v>107</v>
      </c>
      <c r="C29" s="26" t="s">
        <v>807</v>
      </c>
      <c r="D29" s="30">
        <v>70</v>
      </c>
      <c r="E29" s="13">
        <v>16.46</v>
      </c>
      <c r="F29" s="50">
        <f>+D29*E29</f>
        <v>1152.2</v>
      </c>
      <c r="G29" s="103"/>
      <c r="H29" s="103"/>
      <c r="I29" s="104"/>
      <c r="J29" s="103"/>
      <c r="K29" s="103"/>
      <c r="L29" s="103">
        <f t="shared" si="0"/>
        <v>70</v>
      </c>
      <c r="M29" s="103"/>
      <c r="N29" s="103" t="s">
        <v>946</v>
      </c>
      <c r="O29" s="104">
        <f t="shared" si="1"/>
        <v>1152.2</v>
      </c>
    </row>
    <row r="30" spans="1:15" s="8" customFormat="1" ht="15.75" x14ac:dyDescent="0.25">
      <c r="A30" s="113" t="s">
        <v>26</v>
      </c>
      <c r="B30" s="102" t="s">
        <v>107</v>
      </c>
      <c r="C30" s="26" t="s">
        <v>549</v>
      </c>
      <c r="D30" s="30">
        <v>0</v>
      </c>
      <c r="E30" s="51">
        <v>6.4</v>
      </c>
      <c r="F30" s="50">
        <f>D30*E30</f>
        <v>0</v>
      </c>
      <c r="G30" s="103"/>
      <c r="H30" s="103"/>
      <c r="I30" s="104"/>
      <c r="J30" s="103"/>
      <c r="K30" s="103"/>
      <c r="L30" s="103">
        <f t="shared" si="0"/>
        <v>0</v>
      </c>
      <c r="M30" s="103"/>
      <c r="N30" s="103" t="s">
        <v>946</v>
      </c>
      <c r="O30" s="104">
        <f t="shared" si="1"/>
        <v>0</v>
      </c>
    </row>
    <row r="31" spans="1:15" s="8" customFormat="1" ht="15.75" x14ac:dyDescent="0.25">
      <c r="A31" s="113" t="s">
        <v>27</v>
      </c>
      <c r="B31" s="102">
        <v>44193</v>
      </c>
      <c r="C31" s="26" t="s">
        <v>550</v>
      </c>
      <c r="D31" s="30">
        <v>0</v>
      </c>
      <c r="E31" s="13">
        <v>105.93</v>
      </c>
      <c r="F31" s="50">
        <f>D31*E31</f>
        <v>0</v>
      </c>
      <c r="G31" s="103"/>
      <c r="H31" s="103"/>
      <c r="I31" s="104"/>
      <c r="J31" s="103"/>
      <c r="K31" s="103"/>
      <c r="L31" s="103">
        <f t="shared" si="0"/>
        <v>0</v>
      </c>
      <c r="M31" s="103"/>
      <c r="N31" s="103" t="s">
        <v>946</v>
      </c>
      <c r="O31" s="104">
        <f t="shared" si="1"/>
        <v>0</v>
      </c>
    </row>
    <row r="32" spans="1:15" s="8" customFormat="1" ht="15.75" x14ac:dyDescent="0.25">
      <c r="A32" s="113" t="s">
        <v>28</v>
      </c>
      <c r="B32" s="102">
        <v>44193</v>
      </c>
      <c r="C32" s="25" t="s">
        <v>806</v>
      </c>
      <c r="D32" s="38">
        <v>2</v>
      </c>
      <c r="E32" s="13">
        <v>160</v>
      </c>
      <c r="F32" s="50">
        <f>D32*E32</f>
        <v>320</v>
      </c>
      <c r="G32" s="103"/>
      <c r="H32" s="103"/>
      <c r="I32" s="104"/>
      <c r="J32" s="103"/>
      <c r="K32" s="103">
        <v>1</v>
      </c>
      <c r="L32" s="103">
        <f t="shared" si="0"/>
        <v>1</v>
      </c>
      <c r="M32" s="103"/>
      <c r="N32" s="103" t="s">
        <v>946</v>
      </c>
      <c r="O32" s="104">
        <f t="shared" si="1"/>
        <v>160</v>
      </c>
    </row>
    <row r="33" spans="1:15" s="92" customFormat="1" x14ac:dyDescent="0.3">
      <c r="A33" s="113" t="s">
        <v>127</v>
      </c>
      <c r="B33" s="102">
        <v>44449</v>
      </c>
      <c r="C33" s="25" t="s">
        <v>551</v>
      </c>
      <c r="D33" s="30">
        <v>9</v>
      </c>
      <c r="E33" s="13">
        <v>600</v>
      </c>
      <c r="F33" s="50">
        <f t="shared" ref="F33:F61" si="3">D33*E33</f>
        <v>5400</v>
      </c>
      <c r="G33" s="103"/>
      <c r="H33" s="103"/>
      <c r="I33" s="104"/>
      <c r="J33" s="103"/>
      <c r="K33" s="103">
        <v>1</v>
      </c>
      <c r="L33" s="103">
        <f t="shared" si="0"/>
        <v>8</v>
      </c>
      <c r="M33" s="103"/>
      <c r="N33" s="103" t="s">
        <v>945</v>
      </c>
      <c r="O33" s="104">
        <f t="shared" si="1"/>
        <v>4800</v>
      </c>
    </row>
    <row r="34" spans="1:15" s="8" customFormat="1" ht="15.75" x14ac:dyDescent="0.25">
      <c r="A34" s="113" t="s">
        <v>29</v>
      </c>
      <c r="B34" s="102">
        <v>44193</v>
      </c>
      <c r="C34" s="9" t="s">
        <v>552</v>
      </c>
      <c r="D34" s="30">
        <f>20+23</f>
        <v>43</v>
      </c>
      <c r="E34" s="13">
        <v>200</v>
      </c>
      <c r="F34" s="50">
        <f t="shared" si="3"/>
        <v>8600</v>
      </c>
      <c r="G34" s="103"/>
      <c r="H34" s="103"/>
      <c r="I34" s="104"/>
      <c r="J34" s="103"/>
      <c r="K34" s="103"/>
      <c r="L34" s="103">
        <f t="shared" si="0"/>
        <v>43</v>
      </c>
      <c r="M34" s="103"/>
      <c r="N34" s="103" t="s">
        <v>947</v>
      </c>
      <c r="O34" s="104">
        <f>+L34*E34</f>
        <v>8600</v>
      </c>
    </row>
    <row r="35" spans="1:15" s="8" customFormat="1" ht="15.75" x14ac:dyDescent="0.25">
      <c r="A35" s="113" t="s">
        <v>30</v>
      </c>
      <c r="B35" s="102">
        <v>44193</v>
      </c>
      <c r="C35" s="9" t="s">
        <v>553</v>
      </c>
      <c r="D35" s="30">
        <v>9</v>
      </c>
      <c r="E35" s="13">
        <v>200</v>
      </c>
      <c r="F35" s="50">
        <f t="shared" si="3"/>
        <v>1800</v>
      </c>
      <c r="G35" s="103"/>
      <c r="H35" s="103"/>
      <c r="I35" s="104"/>
      <c r="J35" s="103"/>
      <c r="K35" s="103"/>
      <c r="L35" s="103">
        <f t="shared" si="0"/>
        <v>9</v>
      </c>
      <c r="M35" s="103"/>
      <c r="N35" s="103" t="s">
        <v>947</v>
      </c>
      <c r="O35" s="104">
        <f>+L35*E35</f>
        <v>1800</v>
      </c>
    </row>
    <row r="36" spans="1:15" s="92" customFormat="1" x14ac:dyDescent="0.3">
      <c r="A36" s="113" t="s">
        <v>99</v>
      </c>
      <c r="B36" s="102">
        <v>44193</v>
      </c>
      <c r="C36" s="25" t="s">
        <v>548</v>
      </c>
      <c r="D36" s="30">
        <v>36</v>
      </c>
      <c r="E36" s="13">
        <v>75</v>
      </c>
      <c r="F36" s="50">
        <f t="shared" si="3"/>
        <v>2700</v>
      </c>
      <c r="G36" s="103"/>
      <c r="H36" s="103"/>
      <c r="I36" s="104"/>
      <c r="J36" s="103"/>
      <c r="K36" s="103"/>
      <c r="L36" s="103">
        <f t="shared" si="0"/>
        <v>36</v>
      </c>
      <c r="M36" s="103"/>
      <c r="N36" s="103" t="s">
        <v>945</v>
      </c>
      <c r="O36" s="104">
        <f t="shared" ref="O36:O40" si="4">+L36*E36</f>
        <v>2700</v>
      </c>
    </row>
    <row r="37" spans="1:15" s="8" customFormat="1" ht="15.75" x14ac:dyDescent="0.25">
      <c r="A37" s="113" t="s">
        <v>31</v>
      </c>
      <c r="B37" s="102">
        <v>44193</v>
      </c>
      <c r="C37" s="25" t="s">
        <v>554</v>
      </c>
      <c r="D37" s="30">
        <v>0</v>
      </c>
      <c r="E37" s="13">
        <v>4.24</v>
      </c>
      <c r="F37" s="50">
        <f t="shared" si="3"/>
        <v>0</v>
      </c>
      <c r="G37" s="103"/>
      <c r="H37" s="103"/>
      <c r="I37" s="104"/>
      <c r="J37" s="103"/>
      <c r="K37" s="103"/>
      <c r="L37" s="103">
        <f t="shared" si="0"/>
        <v>0</v>
      </c>
      <c r="M37" s="103"/>
      <c r="N37" s="103" t="s">
        <v>946</v>
      </c>
      <c r="O37" s="104">
        <f t="shared" si="4"/>
        <v>0</v>
      </c>
    </row>
    <row r="38" spans="1:15" s="8" customFormat="1" ht="15.75" x14ac:dyDescent="0.25">
      <c r="A38" s="113" t="s">
        <v>32</v>
      </c>
      <c r="B38" s="102">
        <v>44193</v>
      </c>
      <c r="C38" s="25" t="s">
        <v>555</v>
      </c>
      <c r="D38" s="30">
        <v>0</v>
      </c>
      <c r="E38" s="13">
        <v>3.39</v>
      </c>
      <c r="F38" s="50">
        <f t="shared" si="3"/>
        <v>0</v>
      </c>
      <c r="G38" s="103"/>
      <c r="H38" s="103"/>
      <c r="I38" s="104"/>
      <c r="J38" s="103"/>
      <c r="K38" s="103"/>
      <c r="L38" s="103">
        <f t="shared" si="0"/>
        <v>0</v>
      </c>
      <c r="M38" s="103"/>
      <c r="N38" s="103" t="s">
        <v>946</v>
      </c>
      <c r="O38" s="104">
        <f t="shared" si="4"/>
        <v>0</v>
      </c>
    </row>
    <row r="39" spans="1:15" s="8" customFormat="1" ht="15.75" x14ac:dyDescent="0.25">
      <c r="A39" s="113" t="s">
        <v>33</v>
      </c>
      <c r="B39" s="102">
        <v>44193</v>
      </c>
      <c r="C39" s="9" t="s">
        <v>556</v>
      </c>
      <c r="D39" s="30">
        <v>23</v>
      </c>
      <c r="E39" s="13">
        <v>1625</v>
      </c>
      <c r="F39" s="50">
        <f t="shared" si="3"/>
        <v>37375</v>
      </c>
      <c r="G39" s="103"/>
      <c r="H39" s="103"/>
      <c r="I39" s="104"/>
      <c r="J39" s="103"/>
      <c r="K39" s="103"/>
      <c r="L39" s="103">
        <f t="shared" si="0"/>
        <v>23</v>
      </c>
      <c r="M39" s="103"/>
      <c r="N39" s="103" t="s">
        <v>946</v>
      </c>
      <c r="O39" s="104">
        <f t="shared" si="4"/>
        <v>37375</v>
      </c>
    </row>
    <row r="40" spans="1:15" s="8" customFormat="1" ht="15.75" x14ac:dyDescent="0.25">
      <c r="A40" s="113" t="s">
        <v>34</v>
      </c>
      <c r="B40" s="102">
        <v>44193</v>
      </c>
      <c r="C40" s="9" t="s">
        <v>557</v>
      </c>
      <c r="D40" s="30">
        <v>0</v>
      </c>
      <c r="E40" s="13">
        <v>1625</v>
      </c>
      <c r="F40" s="50">
        <f t="shared" si="3"/>
        <v>0</v>
      </c>
      <c r="G40" s="103"/>
      <c r="H40" s="103"/>
      <c r="I40" s="104"/>
      <c r="J40" s="103"/>
      <c r="K40" s="103"/>
      <c r="L40" s="103">
        <f t="shared" si="0"/>
        <v>0</v>
      </c>
      <c r="M40" s="103"/>
      <c r="N40" s="103" t="s">
        <v>946</v>
      </c>
      <c r="O40" s="104">
        <f t="shared" si="4"/>
        <v>0</v>
      </c>
    </row>
    <row r="41" spans="1:15" s="105" customFormat="1" ht="15.75" x14ac:dyDescent="0.25">
      <c r="A41" s="113" t="s">
        <v>111</v>
      </c>
      <c r="B41" s="102">
        <v>44193</v>
      </c>
      <c r="C41" s="9" t="s">
        <v>558</v>
      </c>
      <c r="D41" s="30">
        <v>10</v>
      </c>
      <c r="E41" s="13">
        <v>66.3</v>
      </c>
      <c r="F41" s="50">
        <f t="shared" si="3"/>
        <v>663</v>
      </c>
      <c r="G41" s="107">
        <v>44852</v>
      </c>
      <c r="H41" s="103">
        <v>10</v>
      </c>
      <c r="I41" s="104">
        <v>26</v>
      </c>
      <c r="J41" s="108">
        <f>+H41*I41</f>
        <v>260</v>
      </c>
      <c r="K41" s="103">
        <v>1</v>
      </c>
      <c r="L41" s="103">
        <f t="shared" si="0"/>
        <v>19</v>
      </c>
      <c r="M41" s="103"/>
      <c r="N41" s="103" t="s">
        <v>947</v>
      </c>
      <c r="O41" s="104">
        <f>+L41*I41</f>
        <v>494</v>
      </c>
    </row>
    <row r="42" spans="1:15" s="8" customFormat="1" ht="15.75" x14ac:dyDescent="0.25">
      <c r="A42" s="113" t="s">
        <v>128</v>
      </c>
      <c r="B42" s="102">
        <v>44488</v>
      </c>
      <c r="C42" s="26" t="s">
        <v>560</v>
      </c>
      <c r="D42" s="55">
        <v>13</v>
      </c>
      <c r="E42" s="13">
        <v>40</v>
      </c>
      <c r="F42" s="50">
        <f t="shared" si="3"/>
        <v>520</v>
      </c>
      <c r="G42" s="103"/>
      <c r="H42" s="103"/>
      <c r="I42" s="104"/>
      <c r="J42" s="103"/>
      <c r="K42" s="103"/>
      <c r="L42" s="103">
        <f t="shared" si="0"/>
        <v>13</v>
      </c>
      <c r="M42" s="103"/>
      <c r="N42" s="103" t="s">
        <v>946</v>
      </c>
      <c r="O42" s="104">
        <f t="shared" ref="O42:O49" si="5">+L42*E42</f>
        <v>520</v>
      </c>
    </row>
    <row r="43" spans="1:15" s="8" customFormat="1" ht="15.75" x14ac:dyDescent="0.25">
      <c r="A43" s="113" t="s">
        <v>129</v>
      </c>
      <c r="B43" s="102">
        <v>44193</v>
      </c>
      <c r="C43" s="9" t="s">
        <v>772</v>
      </c>
      <c r="D43" s="30">
        <v>23</v>
      </c>
      <c r="E43" s="13">
        <v>2.4</v>
      </c>
      <c r="F43" s="50">
        <f t="shared" si="3"/>
        <v>55.199999999999996</v>
      </c>
      <c r="G43" s="103"/>
      <c r="H43" s="103"/>
      <c r="I43" s="104"/>
      <c r="J43" s="103"/>
      <c r="K43" s="103">
        <f>12+2</f>
        <v>14</v>
      </c>
      <c r="L43" s="103">
        <f t="shared" si="0"/>
        <v>9</v>
      </c>
      <c r="M43" s="103"/>
      <c r="N43" s="103" t="s">
        <v>947</v>
      </c>
      <c r="O43" s="104">
        <f t="shared" si="5"/>
        <v>21.599999999999998</v>
      </c>
    </row>
    <row r="44" spans="1:15" s="8" customFormat="1" ht="15.75" x14ac:dyDescent="0.25">
      <c r="A44" s="113" t="s">
        <v>130</v>
      </c>
      <c r="B44" s="102">
        <v>44193</v>
      </c>
      <c r="C44" s="26" t="s">
        <v>562</v>
      </c>
      <c r="D44" s="32">
        <v>0</v>
      </c>
      <c r="E44" s="13">
        <v>700</v>
      </c>
      <c r="F44" s="50">
        <f t="shared" si="3"/>
        <v>0</v>
      </c>
      <c r="G44" s="103"/>
      <c r="H44" s="103"/>
      <c r="I44" s="104"/>
      <c r="J44" s="103"/>
      <c r="K44" s="103"/>
      <c r="L44" s="103">
        <f t="shared" si="0"/>
        <v>0</v>
      </c>
      <c r="M44" s="103"/>
      <c r="N44" s="103" t="s">
        <v>946</v>
      </c>
      <c r="O44" s="104">
        <f t="shared" si="5"/>
        <v>0</v>
      </c>
    </row>
    <row r="45" spans="1:15" s="8" customFormat="1" ht="15.75" x14ac:dyDescent="0.25">
      <c r="A45" s="113" t="s">
        <v>35</v>
      </c>
      <c r="B45" s="102">
        <v>44193</v>
      </c>
      <c r="C45" s="9" t="s">
        <v>563</v>
      </c>
      <c r="D45" s="30">
        <v>1</v>
      </c>
      <c r="E45" s="13">
        <v>35</v>
      </c>
      <c r="F45" s="50">
        <f t="shared" si="3"/>
        <v>35</v>
      </c>
      <c r="G45" s="103"/>
      <c r="H45" s="103"/>
      <c r="I45" s="104"/>
      <c r="J45" s="103"/>
      <c r="K45" s="103"/>
      <c r="L45" s="103">
        <f t="shared" si="0"/>
        <v>1</v>
      </c>
      <c r="M45" s="103"/>
      <c r="N45" s="103" t="s">
        <v>947</v>
      </c>
      <c r="O45" s="104">
        <f t="shared" si="5"/>
        <v>35</v>
      </c>
    </row>
    <row r="46" spans="1:15" s="92" customFormat="1" x14ac:dyDescent="0.3">
      <c r="A46" s="113" t="s">
        <v>36</v>
      </c>
      <c r="B46" s="102">
        <v>44193</v>
      </c>
      <c r="C46" s="9" t="s">
        <v>564</v>
      </c>
      <c r="D46" s="30">
        <v>0</v>
      </c>
      <c r="E46" s="13">
        <v>2719</v>
      </c>
      <c r="F46" s="50">
        <f t="shared" si="3"/>
        <v>0</v>
      </c>
      <c r="G46" s="103"/>
      <c r="H46" s="103"/>
      <c r="I46" s="104"/>
      <c r="J46" s="103"/>
      <c r="K46" s="103"/>
      <c r="L46" s="103">
        <f t="shared" si="0"/>
        <v>0</v>
      </c>
      <c r="M46" s="103"/>
      <c r="N46" s="103" t="s">
        <v>945</v>
      </c>
      <c r="O46" s="104">
        <f t="shared" si="5"/>
        <v>0</v>
      </c>
    </row>
    <row r="47" spans="1:15" s="8" customFormat="1" ht="15.75" x14ac:dyDescent="0.25">
      <c r="A47" s="113" t="s">
        <v>37</v>
      </c>
      <c r="B47" s="102">
        <v>44193</v>
      </c>
      <c r="C47" s="26" t="s">
        <v>797</v>
      </c>
      <c r="D47" s="30">
        <v>2</v>
      </c>
      <c r="E47" s="13">
        <v>600</v>
      </c>
      <c r="F47" s="50">
        <f t="shared" si="3"/>
        <v>1200</v>
      </c>
      <c r="G47" s="103"/>
      <c r="H47" s="103"/>
      <c r="I47" s="104"/>
      <c r="J47" s="103"/>
      <c r="K47" s="103"/>
      <c r="L47" s="103">
        <f t="shared" si="0"/>
        <v>2</v>
      </c>
      <c r="M47" s="103"/>
      <c r="N47" s="103" t="s">
        <v>946</v>
      </c>
      <c r="O47" s="104">
        <f t="shared" si="5"/>
        <v>1200</v>
      </c>
    </row>
    <row r="48" spans="1:15" s="8" customFormat="1" ht="15.75" x14ac:dyDescent="0.25">
      <c r="A48" s="113" t="s">
        <v>38</v>
      </c>
      <c r="B48" s="102">
        <v>44678</v>
      </c>
      <c r="C48" s="26" t="s">
        <v>565</v>
      </c>
      <c r="D48" s="32">
        <v>5</v>
      </c>
      <c r="E48" s="13">
        <v>1400</v>
      </c>
      <c r="F48" s="50">
        <f t="shared" si="3"/>
        <v>7000</v>
      </c>
      <c r="G48" s="103"/>
      <c r="H48" s="103"/>
      <c r="I48" s="104"/>
      <c r="J48" s="103"/>
      <c r="K48" s="103"/>
      <c r="L48" s="103">
        <f t="shared" si="0"/>
        <v>5</v>
      </c>
      <c r="M48" s="103"/>
      <c r="N48" s="103" t="s">
        <v>946</v>
      </c>
      <c r="O48" s="104">
        <f t="shared" si="5"/>
        <v>7000</v>
      </c>
    </row>
    <row r="49" spans="1:15" s="8" customFormat="1" ht="15.75" x14ac:dyDescent="0.25">
      <c r="A49" s="113" t="s">
        <v>131</v>
      </c>
      <c r="B49" s="102">
        <v>44678</v>
      </c>
      <c r="C49" s="26" t="s">
        <v>567</v>
      </c>
      <c r="D49" s="32">
        <v>10</v>
      </c>
      <c r="E49" s="13">
        <v>500</v>
      </c>
      <c r="F49" s="50">
        <f t="shared" si="3"/>
        <v>5000</v>
      </c>
      <c r="G49" s="103"/>
      <c r="H49" s="103"/>
      <c r="I49" s="104"/>
      <c r="J49" s="103"/>
      <c r="K49" s="103"/>
      <c r="L49" s="103">
        <f t="shared" si="0"/>
        <v>10</v>
      </c>
      <c r="M49" s="103"/>
      <c r="N49" s="103" t="s">
        <v>946</v>
      </c>
      <c r="O49" s="104">
        <f t="shared" si="5"/>
        <v>5000</v>
      </c>
    </row>
    <row r="50" spans="1:15" s="8" customFormat="1" ht="15.75" x14ac:dyDescent="0.25">
      <c r="A50" s="113" t="s">
        <v>39</v>
      </c>
      <c r="B50" s="102">
        <v>44678</v>
      </c>
      <c r="C50" s="26" t="s">
        <v>568</v>
      </c>
      <c r="D50" s="32">
        <v>6</v>
      </c>
      <c r="E50" s="13">
        <v>5000</v>
      </c>
      <c r="F50" s="50">
        <f t="shared" si="3"/>
        <v>30000</v>
      </c>
      <c r="G50" s="103"/>
      <c r="H50" s="103"/>
      <c r="I50" s="104"/>
      <c r="J50" s="103"/>
      <c r="K50" s="103"/>
      <c r="L50" s="103">
        <f t="shared" si="0"/>
        <v>6</v>
      </c>
      <c r="M50" s="103"/>
      <c r="N50" s="103" t="s">
        <v>946</v>
      </c>
      <c r="O50" s="104">
        <f>+L50*E50</f>
        <v>30000</v>
      </c>
    </row>
    <row r="51" spans="1:15" s="8" customFormat="1" ht="15.75" x14ac:dyDescent="0.25">
      <c r="A51" s="113" t="s">
        <v>40</v>
      </c>
      <c r="B51" s="102">
        <v>44193</v>
      </c>
      <c r="C51" s="26" t="s">
        <v>803</v>
      </c>
      <c r="D51" s="32">
        <v>6</v>
      </c>
      <c r="E51" s="13">
        <v>2600</v>
      </c>
      <c r="F51" s="50">
        <f t="shared" si="3"/>
        <v>15600</v>
      </c>
      <c r="G51" s="103"/>
      <c r="H51" s="103"/>
      <c r="I51" s="104"/>
      <c r="J51" s="103"/>
      <c r="K51" s="103"/>
      <c r="L51" s="103">
        <f t="shared" si="0"/>
        <v>6</v>
      </c>
      <c r="M51" s="103"/>
      <c r="N51" s="103" t="s">
        <v>946</v>
      </c>
      <c r="O51" s="104">
        <f t="shared" ref="O51:O54" si="6">+L51*E51</f>
        <v>15600</v>
      </c>
    </row>
    <row r="52" spans="1:15" s="92" customFormat="1" x14ac:dyDescent="0.3">
      <c r="A52" s="113" t="s">
        <v>132</v>
      </c>
      <c r="B52" s="102">
        <v>44193</v>
      </c>
      <c r="C52" s="25" t="s">
        <v>773</v>
      </c>
      <c r="D52" s="14">
        <v>2</v>
      </c>
      <c r="E52" s="13">
        <v>325</v>
      </c>
      <c r="F52" s="50">
        <f t="shared" si="3"/>
        <v>650</v>
      </c>
      <c r="G52" s="103"/>
      <c r="H52" s="103"/>
      <c r="I52" s="104"/>
      <c r="J52" s="103"/>
      <c r="K52" s="103">
        <v>2</v>
      </c>
      <c r="L52" s="103">
        <f t="shared" si="0"/>
        <v>0</v>
      </c>
      <c r="M52" s="103"/>
      <c r="N52" s="103" t="s">
        <v>945</v>
      </c>
      <c r="O52" s="104">
        <f t="shared" si="6"/>
        <v>0</v>
      </c>
    </row>
    <row r="53" spans="1:15" s="92" customFormat="1" x14ac:dyDescent="0.3">
      <c r="A53" s="113" t="s">
        <v>41</v>
      </c>
      <c r="B53" s="102">
        <v>44193</v>
      </c>
      <c r="C53" s="25" t="s">
        <v>570</v>
      </c>
      <c r="D53" s="14">
        <f>(43*3)+1</f>
        <v>130</v>
      </c>
      <c r="E53" s="13">
        <v>25</v>
      </c>
      <c r="F53" s="50">
        <f t="shared" si="3"/>
        <v>3250</v>
      </c>
      <c r="G53" s="103"/>
      <c r="H53" s="103"/>
      <c r="I53" s="104"/>
      <c r="J53" s="103"/>
      <c r="K53" s="103">
        <f>1+3+1</f>
        <v>5</v>
      </c>
      <c r="L53" s="103">
        <f t="shared" si="0"/>
        <v>125</v>
      </c>
      <c r="M53" s="103"/>
      <c r="N53" s="103" t="s">
        <v>945</v>
      </c>
      <c r="O53" s="104">
        <f t="shared" si="6"/>
        <v>3125</v>
      </c>
    </row>
    <row r="54" spans="1:15" s="92" customFormat="1" x14ac:dyDescent="0.3">
      <c r="A54" s="113" t="s">
        <v>133</v>
      </c>
      <c r="B54" s="102">
        <v>44677</v>
      </c>
      <c r="C54" s="25" t="s">
        <v>571</v>
      </c>
      <c r="D54" s="14">
        <v>352</v>
      </c>
      <c r="E54" s="13">
        <v>14</v>
      </c>
      <c r="F54" s="50">
        <f t="shared" si="3"/>
        <v>4928</v>
      </c>
      <c r="G54" s="103"/>
      <c r="H54" s="103"/>
      <c r="I54" s="104"/>
      <c r="J54" s="103"/>
      <c r="K54" s="103">
        <v>72</v>
      </c>
      <c r="L54" s="103">
        <f t="shared" si="0"/>
        <v>280</v>
      </c>
      <c r="M54" s="103"/>
      <c r="N54" s="103" t="s">
        <v>945</v>
      </c>
      <c r="O54" s="104">
        <f t="shared" si="6"/>
        <v>3920</v>
      </c>
    </row>
    <row r="55" spans="1:15" s="8" customFormat="1" ht="15.75" x14ac:dyDescent="0.25">
      <c r="A55" s="113" t="s">
        <v>134</v>
      </c>
      <c r="B55" s="106" t="s">
        <v>106</v>
      </c>
      <c r="C55" s="26" t="s">
        <v>572</v>
      </c>
      <c r="D55" s="32"/>
      <c r="E55" s="51">
        <v>84.75</v>
      </c>
      <c r="F55" s="50">
        <f t="shared" si="3"/>
        <v>0</v>
      </c>
      <c r="G55" s="107">
        <v>44851</v>
      </c>
      <c r="H55" s="103">
        <v>30</v>
      </c>
      <c r="I55" s="104">
        <v>107.97</v>
      </c>
      <c r="J55" s="104">
        <f>+H55*I55</f>
        <v>3239.1</v>
      </c>
      <c r="K55" s="103">
        <f>2+1+1</f>
        <v>4</v>
      </c>
      <c r="L55" s="103">
        <f t="shared" si="0"/>
        <v>26</v>
      </c>
      <c r="M55" s="103"/>
      <c r="N55" s="103" t="s">
        <v>946</v>
      </c>
      <c r="O55" s="104">
        <f>+L55*I55</f>
        <v>2807.22</v>
      </c>
    </row>
    <row r="56" spans="1:15" s="8" customFormat="1" ht="15.75" x14ac:dyDescent="0.25">
      <c r="A56" s="113" t="s">
        <v>42</v>
      </c>
      <c r="B56" s="102">
        <v>44193</v>
      </c>
      <c r="C56" s="26" t="s">
        <v>573</v>
      </c>
      <c r="D56" s="32"/>
      <c r="E56" s="13">
        <v>169.49</v>
      </c>
      <c r="F56" s="50">
        <f t="shared" si="3"/>
        <v>0</v>
      </c>
      <c r="G56" s="103"/>
      <c r="H56" s="103"/>
      <c r="I56" s="104"/>
      <c r="J56" s="103">
        <f t="shared" ref="J56:J65" si="7">+H56*I56</f>
        <v>0</v>
      </c>
      <c r="K56" s="103"/>
      <c r="L56" s="103">
        <f t="shared" si="0"/>
        <v>0</v>
      </c>
      <c r="M56" s="103"/>
      <c r="N56" s="103" t="s">
        <v>946</v>
      </c>
      <c r="O56" s="104">
        <f t="shared" ref="O56:O64" si="8">+L56*I56</f>
        <v>0</v>
      </c>
    </row>
    <row r="57" spans="1:15" s="8" customFormat="1" ht="15.75" x14ac:dyDescent="0.25">
      <c r="A57" s="113" t="s">
        <v>109</v>
      </c>
      <c r="B57" s="102">
        <v>44193</v>
      </c>
      <c r="C57" s="25" t="s">
        <v>574</v>
      </c>
      <c r="D57" s="14"/>
      <c r="E57" s="13">
        <v>76.27</v>
      </c>
      <c r="F57" s="50">
        <f t="shared" si="3"/>
        <v>0</v>
      </c>
      <c r="G57" s="103"/>
      <c r="H57" s="103"/>
      <c r="I57" s="104"/>
      <c r="J57" s="103">
        <f t="shared" si="7"/>
        <v>0</v>
      </c>
      <c r="K57" s="103"/>
      <c r="L57" s="103">
        <f t="shared" si="0"/>
        <v>0</v>
      </c>
      <c r="M57" s="103"/>
      <c r="N57" s="103" t="s">
        <v>946</v>
      </c>
      <c r="O57" s="104">
        <f t="shared" si="8"/>
        <v>0</v>
      </c>
    </row>
    <row r="58" spans="1:15" s="8" customFormat="1" ht="15.75" x14ac:dyDescent="0.25">
      <c r="A58" s="113" t="s">
        <v>135</v>
      </c>
      <c r="B58" s="102">
        <v>44193</v>
      </c>
      <c r="C58" s="25" t="s">
        <v>575</v>
      </c>
      <c r="D58" s="14"/>
      <c r="E58" s="13">
        <v>93.22</v>
      </c>
      <c r="F58" s="50">
        <f t="shared" si="3"/>
        <v>0</v>
      </c>
      <c r="G58" s="103"/>
      <c r="H58" s="103"/>
      <c r="I58" s="104"/>
      <c r="J58" s="103">
        <f t="shared" si="7"/>
        <v>0</v>
      </c>
      <c r="K58" s="103"/>
      <c r="L58" s="103">
        <f t="shared" si="0"/>
        <v>0</v>
      </c>
      <c r="M58" s="103"/>
      <c r="N58" s="103" t="s">
        <v>946</v>
      </c>
      <c r="O58" s="104">
        <f t="shared" si="8"/>
        <v>0</v>
      </c>
    </row>
    <row r="59" spans="1:15" s="8" customFormat="1" ht="15.75" x14ac:dyDescent="0.25">
      <c r="A59" s="113" t="s">
        <v>43</v>
      </c>
      <c r="B59" s="102">
        <v>44193</v>
      </c>
      <c r="C59" s="26" t="s">
        <v>576</v>
      </c>
      <c r="D59" s="32"/>
      <c r="E59" s="13">
        <v>122.8</v>
      </c>
      <c r="F59" s="50">
        <f t="shared" si="3"/>
        <v>0</v>
      </c>
      <c r="G59" s="107">
        <v>44851</v>
      </c>
      <c r="H59" s="103">
        <v>30</v>
      </c>
      <c r="I59" s="104">
        <v>171.69</v>
      </c>
      <c r="J59" s="104">
        <f t="shared" si="7"/>
        <v>5150.7</v>
      </c>
      <c r="K59" s="103"/>
      <c r="L59" s="103">
        <f t="shared" si="0"/>
        <v>30</v>
      </c>
      <c r="M59" s="103"/>
      <c r="N59" s="103" t="s">
        <v>946</v>
      </c>
      <c r="O59" s="104">
        <f t="shared" si="8"/>
        <v>5150.7</v>
      </c>
    </row>
    <row r="60" spans="1:15" s="8" customFormat="1" ht="15.75" x14ac:dyDescent="0.25">
      <c r="A60" s="113" t="s">
        <v>45</v>
      </c>
      <c r="B60" s="102">
        <v>44453</v>
      </c>
      <c r="C60" s="9" t="s">
        <v>577</v>
      </c>
      <c r="D60" s="48">
        <v>0</v>
      </c>
      <c r="E60" s="13">
        <v>3000</v>
      </c>
      <c r="F60" s="50">
        <f t="shared" si="3"/>
        <v>0</v>
      </c>
      <c r="G60" s="103"/>
      <c r="H60" s="103"/>
      <c r="I60" s="104"/>
      <c r="J60" s="103">
        <f t="shared" si="7"/>
        <v>0</v>
      </c>
      <c r="K60" s="103"/>
      <c r="L60" s="103">
        <f t="shared" si="0"/>
        <v>0</v>
      </c>
      <c r="M60" s="103"/>
      <c r="N60" s="103" t="s">
        <v>946</v>
      </c>
      <c r="O60" s="104">
        <f t="shared" si="8"/>
        <v>0</v>
      </c>
    </row>
    <row r="61" spans="1:15" s="8" customFormat="1" ht="15.75" x14ac:dyDescent="0.25">
      <c r="A61" s="113" t="s">
        <v>46</v>
      </c>
      <c r="B61" s="102">
        <v>44193</v>
      </c>
      <c r="C61" s="26" t="s">
        <v>578</v>
      </c>
      <c r="D61" s="32">
        <v>0</v>
      </c>
      <c r="E61" s="13">
        <v>63.56</v>
      </c>
      <c r="F61" s="50">
        <f t="shared" si="3"/>
        <v>0</v>
      </c>
      <c r="G61" s="103"/>
      <c r="H61" s="103"/>
      <c r="I61" s="104"/>
      <c r="J61" s="103">
        <f t="shared" si="7"/>
        <v>0</v>
      </c>
      <c r="K61" s="103"/>
      <c r="L61" s="103">
        <f t="shared" si="0"/>
        <v>0</v>
      </c>
      <c r="M61" s="103"/>
      <c r="N61" s="103" t="s">
        <v>946</v>
      </c>
      <c r="O61" s="104">
        <f t="shared" si="8"/>
        <v>0</v>
      </c>
    </row>
    <row r="62" spans="1:15" s="8" customFormat="1" ht="15.75" x14ac:dyDescent="0.25">
      <c r="A62" s="113" t="s">
        <v>47</v>
      </c>
      <c r="B62" s="102">
        <v>44193</v>
      </c>
      <c r="C62" s="26" t="s">
        <v>819</v>
      </c>
      <c r="D62" s="32">
        <v>2</v>
      </c>
      <c r="E62" s="13"/>
      <c r="F62" s="50"/>
      <c r="G62" s="103"/>
      <c r="H62" s="103"/>
      <c r="I62" s="104"/>
      <c r="J62" s="103">
        <f t="shared" si="7"/>
        <v>0</v>
      </c>
      <c r="K62" s="103"/>
      <c r="L62" s="103">
        <f t="shared" si="0"/>
        <v>2</v>
      </c>
      <c r="M62" s="103"/>
      <c r="N62" s="103" t="s">
        <v>946</v>
      </c>
      <c r="O62" s="104">
        <f>+E62*L62</f>
        <v>0</v>
      </c>
    </row>
    <row r="63" spans="1:15" s="8" customFormat="1" ht="15.75" x14ac:dyDescent="0.25">
      <c r="A63" s="113" t="s">
        <v>48</v>
      </c>
      <c r="B63" s="102">
        <v>44193</v>
      </c>
      <c r="C63" s="26" t="s">
        <v>817</v>
      </c>
      <c r="D63" s="32">
        <v>7</v>
      </c>
      <c r="E63" s="13"/>
      <c r="F63" s="50"/>
      <c r="G63" s="103"/>
      <c r="H63" s="103"/>
      <c r="I63" s="104"/>
      <c r="J63" s="103">
        <f t="shared" si="7"/>
        <v>0</v>
      </c>
      <c r="K63" s="103"/>
      <c r="L63" s="103">
        <f t="shared" si="0"/>
        <v>7</v>
      </c>
      <c r="M63" s="103"/>
      <c r="N63" s="103" t="s">
        <v>946</v>
      </c>
      <c r="O63" s="104">
        <f t="shared" si="8"/>
        <v>0</v>
      </c>
    </row>
    <row r="64" spans="1:15" s="8" customFormat="1" ht="15.75" x14ac:dyDescent="0.25">
      <c r="A64" s="113" t="s">
        <v>49</v>
      </c>
      <c r="B64" s="102">
        <v>44193</v>
      </c>
      <c r="C64" s="26" t="s">
        <v>818</v>
      </c>
      <c r="D64" s="32">
        <v>8</v>
      </c>
      <c r="E64" s="13"/>
      <c r="F64" s="50"/>
      <c r="G64" s="103"/>
      <c r="H64" s="103"/>
      <c r="I64" s="104"/>
      <c r="J64" s="103">
        <f t="shared" si="7"/>
        <v>0</v>
      </c>
      <c r="K64" s="103"/>
      <c r="L64" s="103">
        <f t="shared" si="0"/>
        <v>8</v>
      </c>
      <c r="M64" s="103"/>
      <c r="N64" s="103" t="s">
        <v>946</v>
      </c>
      <c r="O64" s="104">
        <f t="shared" si="8"/>
        <v>0</v>
      </c>
    </row>
    <row r="65" spans="1:15" s="8" customFormat="1" ht="15.75" x14ac:dyDescent="0.25">
      <c r="A65" s="113" t="s">
        <v>50</v>
      </c>
      <c r="B65" s="106" t="s">
        <v>116</v>
      </c>
      <c r="C65" s="25" t="s">
        <v>720</v>
      </c>
      <c r="D65" s="32">
        <v>3</v>
      </c>
      <c r="E65" s="51">
        <v>3000</v>
      </c>
      <c r="F65" s="50">
        <f>D65*E65</f>
        <v>9000</v>
      </c>
      <c r="G65" s="103"/>
      <c r="H65" s="103"/>
      <c r="I65" s="104"/>
      <c r="J65" s="103">
        <f t="shared" si="7"/>
        <v>0</v>
      </c>
      <c r="K65" s="103">
        <v>2</v>
      </c>
      <c r="L65" s="103">
        <f t="shared" si="0"/>
        <v>1</v>
      </c>
      <c r="M65" s="103"/>
      <c r="N65" s="103" t="s">
        <v>947</v>
      </c>
      <c r="O65" s="104">
        <f>+L65*E65</f>
        <v>3000</v>
      </c>
    </row>
    <row r="66" spans="1:15" s="8" customFormat="1" ht="15.75" x14ac:dyDescent="0.25">
      <c r="A66" s="113" t="s">
        <v>51</v>
      </c>
      <c r="B66" s="102">
        <v>44193</v>
      </c>
      <c r="C66" s="26" t="s">
        <v>579</v>
      </c>
      <c r="D66" s="32">
        <v>0</v>
      </c>
      <c r="E66" s="13">
        <v>35</v>
      </c>
      <c r="F66" s="50">
        <f t="shared" ref="F66:F87" si="9">D66*E66</f>
        <v>0</v>
      </c>
      <c r="G66" s="103"/>
      <c r="H66" s="103"/>
      <c r="I66" s="104"/>
      <c r="J66" s="103"/>
      <c r="K66" s="103"/>
      <c r="L66" s="103">
        <f t="shared" si="0"/>
        <v>0</v>
      </c>
      <c r="M66" s="103"/>
      <c r="N66" s="103" t="s">
        <v>946</v>
      </c>
      <c r="O66" s="104">
        <f>+E66*L66</f>
        <v>0</v>
      </c>
    </row>
    <row r="67" spans="1:15" s="8" customFormat="1" ht="15.75" x14ac:dyDescent="0.25">
      <c r="A67" s="113" t="s">
        <v>52</v>
      </c>
      <c r="B67" s="102">
        <v>44193</v>
      </c>
      <c r="C67" s="25" t="s">
        <v>794</v>
      </c>
      <c r="D67" s="38">
        <v>1</v>
      </c>
      <c r="E67" s="13">
        <v>97.96</v>
      </c>
      <c r="F67" s="50">
        <f t="shared" si="9"/>
        <v>97.96</v>
      </c>
      <c r="G67" s="103"/>
      <c r="H67" s="103"/>
      <c r="I67" s="104"/>
      <c r="J67" s="103"/>
      <c r="K67" s="103"/>
      <c r="L67" s="103">
        <f t="shared" si="0"/>
        <v>1</v>
      </c>
      <c r="M67" s="103"/>
      <c r="N67" s="103" t="s">
        <v>946</v>
      </c>
      <c r="O67" s="104">
        <f t="shared" ref="O67:O101" si="10">+E67*L67</f>
        <v>97.96</v>
      </c>
    </row>
    <row r="68" spans="1:15" s="8" customFormat="1" ht="15.75" x14ac:dyDescent="0.25">
      <c r="A68" s="113" t="s">
        <v>53</v>
      </c>
      <c r="B68" s="102">
        <v>44193</v>
      </c>
      <c r="C68" s="9" t="s">
        <v>580</v>
      </c>
      <c r="D68" s="58">
        <v>22</v>
      </c>
      <c r="E68" s="13">
        <v>18</v>
      </c>
      <c r="F68" s="50">
        <f t="shared" si="9"/>
        <v>396</v>
      </c>
      <c r="G68" s="103"/>
      <c r="H68" s="103"/>
      <c r="I68" s="104"/>
      <c r="J68" s="103"/>
      <c r="K68" s="103"/>
      <c r="L68" s="103">
        <f t="shared" si="0"/>
        <v>22</v>
      </c>
      <c r="M68" s="103"/>
      <c r="N68" s="103" t="s">
        <v>947</v>
      </c>
      <c r="O68" s="104">
        <f t="shared" si="10"/>
        <v>396</v>
      </c>
    </row>
    <row r="69" spans="1:15" s="8" customFormat="1" ht="15.75" x14ac:dyDescent="0.25">
      <c r="A69" s="113" t="s">
        <v>44</v>
      </c>
      <c r="B69" s="102">
        <v>44193</v>
      </c>
      <c r="C69" s="9" t="s">
        <v>581</v>
      </c>
      <c r="D69" s="48">
        <v>0</v>
      </c>
      <c r="E69" s="13">
        <v>114</v>
      </c>
      <c r="F69" s="50">
        <f t="shared" si="9"/>
        <v>0</v>
      </c>
      <c r="G69" s="103"/>
      <c r="H69" s="103"/>
      <c r="I69" s="104"/>
      <c r="J69" s="103"/>
      <c r="K69" s="103"/>
      <c r="L69" s="103">
        <f t="shared" si="0"/>
        <v>0</v>
      </c>
      <c r="M69" s="103"/>
      <c r="N69" s="103" t="s">
        <v>947</v>
      </c>
      <c r="O69" s="104">
        <f t="shared" si="10"/>
        <v>0</v>
      </c>
    </row>
    <row r="70" spans="1:15" s="8" customFormat="1" ht="15.75" x14ac:dyDescent="0.25">
      <c r="A70" s="113" t="s">
        <v>113</v>
      </c>
      <c r="B70" s="102">
        <v>44193</v>
      </c>
      <c r="C70" s="9" t="s">
        <v>582</v>
      </c>
      <c r="D70" s="48">
        <v>50</v>
      </c>
      <c r="E70" s="13">
        <v>150</v>
      </c>
      <c r="F70" s="50">
        <f t="shared" si="9"/>
        <v>7500</v>
      </c>
      <c r="G70" s="103"/>
      <c r="H70" s="103"/>
      <c r="I70" s="104"/>
      <c r="J70" s="103"/>
      <c r="K70" s="103"/>
      <c r="L70" s="103">
        <f t="shared" si="0"/>
        <v>50</v>
      </c>
      <c r="M70" s="103"/>
      <c r="N70" s="103" t="s">
        <v>947</v>
      </c>
      <c r="O70" s="104">
        <f t="shared" si="10"/>
        <v>7500</v>
      </c>
    </row>
    <row r="71" spans="1:15" s="8" customFormat="1" ht="15.75" x14ac:dyDescent="0.25">
      <c r="A71" s="113" t="s">
        <v>136</v>
      </c>
      <c r="B71" s="102">
        <v>44193</v>
      </c>
      <c r="C71" s="26" t="s">
        <v>583</v>
      </c>
      <c r="D71" s="14">
        <v>0</v>
      </c>
      <c r="E71" s="13">
        <v>105.93</v>
      </c>
      <c r="F71" s="50">
        <f t="shared" si="9"/>
        <v>0</v>
      </c>
      <c r="G71" s="103"/>
      <c r="H71" s="103"/>
      <c r="I71" s="104"/>
      <c r="J71" s="103"/>
      <c r="K71" s="103"/>
      <c r="L71" s="103">
        <f t="shared" si="0"/>
        <v>0</v>
      </c>
      <c r="M71" s="103"/>
      <c r="N71" s="103" t="s">
        <v>946</v>
      </c>
      <c r="O71" s="104">
        <f t="shared" si="10"/>
        <v>0</v>
      </c>
    </row>
    <row r="72" spans="1:15" s="8" customFormat="1" ht="15.75" x14ac:dyDescent="0.25">
      <c r="A72" s="113" t="s">
        <v>137</v>
      </c>
      <c r="B72" s="102">
        <v>44193</v>
      </c>
      <c r="C72" s="26" t="s">
        <v>584</v>
      </c>
      <c r="D72" s="14">
        <v>1</v>
      </c>
      <c r="E72" s="13">
        <v>762.71</v>
      </c>
      <c r="F72" s="50">
        <f t="shared" si="9"/>
        <v>762.71</v>
      </c>
      <c r="G72" s="103"/>
      <c r="H72" s="103"/>
      <c r="I72" s="104"/>
      <c r="J72" s="103"/>
      <c r="K72" s="103"/>
      <c r="L72" s="103">
        <f t="shared" si="0"/>
        <v>1</v>
      </c>
      <c r="M72" s="103"/>
      <c r="N72" s="103" t="s">
        <v>946</v>
      </c>
      <c r="O72" s="104">
        <f t="shared" si="10"/>
        <v>762.71</v>
      </c>
    </row>
    <row r="73" spans="1:15" s="8" customFormat="1" ht="15.75" x14ac:dyDescent="0.25">
      <c r="A73" s="113" t="s">
        <v>138</v>
      </c>
      <c r="B73" s="102">
        <v>44193</v>
      </c>
      <c r="C73" s="26" t="s">
        <v>585</v>
      </c>
      <c r="D73" s="14">
        <v>0</v>
      </c>
      <c r="E73" s="13">
        <v>338.98</v>
      </c>
      <c r="F73" s="50">
        <f t="shared" si="9"/>
        <v>0</v>
      </c>
      <c r="G73" s="103"/>
      <c r="H73" s="103"/>
      <c r="I73" s="104"/>
      <c r="J73" s="103"/>
      <c r="K73" s="103"/>
      <c r="L73" s="103">
        <f t="shared" ref="L73:L74" si="11">+D73+H73-K73</f>
        <v>0</v>
      </c>
      <c r="M73" s="103"/>
      <c r="N73" s="103" t="s">
        <v>946</v>
      </c>
      <c r="O73" s="104">
        <f t="shared" si="10"/>
        <v>0</v>
      </c>
    </row>
    <row r="74" spans="1:15" s="8" customFormat="1" ht="15.75" x14ac:dyDescent="0.25">
      <c r="A74" s="113" t="s">
        <v>54</v>
      </c>
      <c r="B74" s="102">
        <v>44193</v>
      </c>
      <c r="C74" s="9" t="s">
        <v>586</v>
      </c>
      <c r="D74" s="30">
        <v>8</v>
      </c>
      <c r="E74" s="13">
        <v>17.07</v>
      </c>
      <c r="F74" s="50">
        <f t="shared" si="9"/>
        <v>136.56</v>
      </c>
      <c r="G74" s="103"/>
      <c r="H74" s="103"/>
      <c r="I74" s="104"/>
      <c r="J74" s="103"/>
      <c r="K74" s="103"/>
      <c r="L74" s="103">
        <f t="shared" si="11"/>
        <v>8</v>
      </c>
      <c r="M74" s="103"/>
      <c r="N74" s="103" t="s">
        <v>947</v>
      </c>
      <c r="O74" s="104">
        <f t="shared" si="10"/>
        <v>136.56</v>
      </c>
    </row>
    <row r="75" spans="1:15" s="92" customFormat="1" x14ac:dyDescent="0.3">
      <c r="A75" s="113" t="s">
        <v>55</v>
      </c>
      <c r="B75" s="102">
        <v>44193</v>
      </c>
      <c r="C75" s="26" t="s">
        <v>587</v>
      </c>
      <c r="D75" s="30">
        <v>129</v>
      </c>
      <c r="E75" s="13">
        <v>134</v>
      </c>
      <c r="F75" s="50">
        <f t="shared" si="9"/>
        <v>17286</v>
      </c>
      <c r="G75" s="103"/>
      <c r="H75" s="103"/>
      <c r="I75" s="104"/>
      <c r="J75" s="103"/>
      <c r="K75" s="103">
        <v>34</v>
      </c>
      <c r="L75" s="103">
        <f>+D75+H75-K75</f>
        <v>95</v>
      </c>
      <c r="M75" s="103"/>
      <c r="N75" s="103" t="s">
        <v>945</v>
      </c>
      <c r="O75" s="104">
        <f t="shared" si="10"/>
        <v>12730</v>
      </c>
    </row>
    <row r="76" spans="1:15" s="92" customFormat="1" x14ac:dyDescent="0.3">
      <c r="A76" s="113" t="s">
        <v>56</v>
      </c>
      <c r="B76" s="106" t="s">
        <v>106</v>
      </c>
      <c r="C76" s="26" t="s">
        <v>774</v>
      </c>
      <c r="D76" s="30">
        <v>67</v>
      </c>
      <c r="E76" s="51">
        <v>50</v>
      </c>
      <c r="F76" s="50">
        <f t="shared" si="9"/>
        <v>3350</v>
      </c>
      <c r="G76" s="103"/>
      <c r="H76" s="103"/>
      <c r="I76" s="104"/>
      <c r="J76" s="103"/>
      <c r="K76" s="103">
        <f>2+4+1+2+1+2+1</f>
        <v>13</v>
      </c>
      <c r="L76" s="103">
        <f t="shared" ref="L76:L82" si="12">+D76+H76-K76</f>
        <v>54</v>
      </c>
      <c r="M76" s="103"/>
      <c r="N76" s="103" t="s">
        <v>945</v>
      </c>
      <c r="O76" s="104">
        <f t="shared" si="10"/>
        <v>2700</v>
      </c>
    </row>
    <row r="77" spans="1:15" s="92" customFormat="1" x14ac:dyDescent="0.3">
      <c r="A77" s="113" t="s">
        <v>100</v>
      </c>
      <c r="B77" s="102">
        <v>44488</v>
      </c>
      <c r="C77" s="26" t="s">
        <v>589</v>
      </c>
      <c r="D77" s="30">
        <v>3</v>
      </c>
      <c r="E77" s="13">
        <v>2200</v>
      </c>
      <c r="F77" s="50">
        <f t="shared" si="9"/>
        <v>6600</v>
      </c>
      <c r="G77" s="103"/>
      <c r="H77" s="103"/>
      <c r="I77" s="104"/>
      <c r="J77" s="103"/>
      <c r="K77" s="103"/>
      <c r="L77" s="103">
        <f t="shared" si="12"/>
        <v>3</v>
      </c>
      <c r="M77" s="103"/>
      <c r="N77" s="103" t="s">
        <v>945</v>
      </c>
      <c r="O77" s="104">
        <f>+E77*L77</f>
        <v>6600</v>
      </c>
    </row>
    <row r="78" spans="1:15" s="8" customFormat="1" ht="15.75" x14ac:dyDescent="0.25">
      <c r="A78" s="113" t="s">
        <v>57</v>
      </c>
      <c r="B78" s="102">
        <v>44193</v>
      </c>
      <c r="C78" s="9" t="s">
        <v>590</v>
      </c>
      <c r="D78" s="30">
        <v>0</v>
      </c>
      <c r="E78" s="13">
        <v>402.54</v>
      </c>
      <c r="F78" s="50">
        <f t="shared" si="9"/>
        <v>0</v>
      </c>
      <c r="G78" s="103"/>
      <c r="H78" s="103"/>
      <c r="I78" s="104"/>
      <c r="J78" s="103"/>
      <c r="K78" s="103"/>
      <c r="L78" s="103">
        <f t="shared" si="12"/>
        <v>0</v>
      </c>
      <c r="M78" s="103"/>
      <c r="N78" s="103" t="s">
        <v>946</v>
      </c>
      <c r="O78" s="104">
        <f t="shared" si="10"/>
        <v>0</v>
      </c>
    </row>
    <row r="79" spans="1:15" s="8" customFormat="1" ht="15.75" x14ac:dyDescent="0.25">
      <c r="A79" s="113" t="s">
        <v>139</v>
      </c>
      <c r="B79" s="102">
        <v>44193</v>
      </c>
      <c r="C79" s="9" t="s">
        <v>591</v>
      </c>
      <c r="D79" s="30">
        <v>11</v>
      </c>
      <c r="E79" s="13">
        <v>37.74</v>
      </c>
      <c r="F79" s="50">
        <f t="shared" si="9"/>
        <v>415.14000000000004</v>
      </c>
      <c r="G79" s="103"/>
      <c r="H79" s="103"/>
      <c r="I79" s="104"/>
      <c r="J79" s="103"/>
      <c r="K79" s="103"/>
      <c r="L79" s="103">
        <f t="shared" si="12"/>
        <v>11</v>
      </c>
      <c r="M79" s="103"/>
      <c r="N79" s="103" t="s">
        <v>946</v>
      </c>
      <c r="O79" s="104">
        <f t="shared" si="10"/>
        <v>415.14000000000004</v>
      </c>
    </row>
    <row r="80" spans="1:15" s="105" customFormat="1" ht="15.75" x14ac:dyDescent="0.25">
      <c r="A80" s="113" t="s">
        <v>140</v>
      </c>
      <c r="B80" s="102">
        <v>44193</v>
      </c>
      <c r="C80" s="9" t="s">
        <v>592</v>
      </c>
      <c r="D80" s="30">
        <v>0</v>
      </c>
      <c r="E80" s="13">
        <v>55</v>
      </c>
      <c r="F80" s="50">
        <f t="shared" si="9"/>
        <v>0</v>
      </c>
      <c r="G80" s="107">
        <v>44883</v>
      </c>
      <c r="H80" s="103">
        <v>25</v>
      </c>
      <c r="I80" s="104">
        <v>68.06</v>
      </c>
      <c r="J80" s="103">
        <f>+I80*H80</f>
        <v>1701.5</v>
      </c>
      <c r="K80" s="103">
        <v>1</v>
      </c>
      <c r="L80" s="103">
        <f t="shared" si="12"/>
        <v>24</v>
      </c>
      <c r="M80" s="103" t="s">
        <v>1037</v>
      </c>
      <c r="N80" s="103" t="s">
        <v>947</v>
      </c>
      <c r="O80" s="104">
        <f t="shared" si="10"/>
        <v>1320</v>
      </c>
    </row>
    <row r="81" spans="1:15" s="8" customFormat="1" ht="15.75" x14ac:dyDescent="0.25">
      <c r="A81" s="113" t="s">
        <v>141</v>
      </c>
      <c r="B81" s="102">
        <v>44193</v>
      </c>
      <c r="C81" s="9" t="s">
        <v>593</v>
      </c>
      <c r="D81" s="30">
        <v>6</v>
      </c>
      <c r="E81" s="13">
        <v>4740</v>
      </c>
      <c r="F81" s="50">
        <f t="shared" si="9"/>
        <v>28440</v>
      </c>
      <c r="G81" s="103"/>
      <c r="H81" s="103"/>
      <c r="I81" s="104"/>
      <c r="J81" s="103"/>
      <c r="K81" s="103"/>
      <c r="L81" s="103">
        <f t="shared" si="12"/>
        <v>6</v>
      </c>
      <c r="M81" s="103"/>
      <c r="N81" s="103" t="s">
        <v>947</v>
      </c>
      <c r="O81" s="104">
        <f>+E81*L81</f>
        <v>28440</v>
      </c>
    </row>
    <row r="82" spans="1:15" s="8" customFormat="1" ht="15.75" x14ac:dyDescent="0.25">
      <c r="A82" s="113" t="s">
        <v>58</v>
      </c>
      <c r="B82" s="102">
        <v>44193</v>
      </c>
      <c r="C82" s="9" t="s">
        <v>594</v>
      </c>
      <c r="D82" s="30">
        <v>1</v>
      </c>
      <c r="E82" s="13">
        <v>2535</v>
      </c>
      <c r="F82" s="50">
        <f t="shared" si="9"/>
        <v>2535</v>
      </c>
      <c r="G82" s="103"/>
      <c r="H82" s="103"/>
      <c r="I82" s="104"/>
      <c r="J82" s="103"/>
      <c r="K82" s="103"/>
      <c r="L82" s="103">
        <f t="shared" si="12"/>
        <v>1</v>
      </c>
      <c r="M82" s="103"/>
      <c r="N82" s="103" t="s">
        <v>947</v>
      </c>
      <c r="O82" s="104">
        <f t="shared" si="10"/>
        <v>2535</v>
      </c>
    </row>
    <row r="83" spans="1:15" s="8" customFormat="1" ht="15.75" x14ac:dyDescent="0.25">
      <c r="A83" s="113" t="s">
        <v>59</v>
      </c>
      <c r="B83" s="102">
        <v>44193</v>
      </c>
      <c r="C83" s="9" t="s">
        <v>595</v>
      </c>
      <c r="D83" s="30">
        <v>0</v>
      </c>
      <c r="E83" s="13">
        <v>211.86</v>
      </c>
      <c r="F83" s="50">
        <f t="shared" si="9"/>
        <v>0</v>
      </c>
      <c r="G83" s="103"/>
      <c r="H83" s="103"/>
      <c r="I83" s="104"/>
      <c r="J83" s="103"/>
      <c r="K83" s="103"/>
      <c r="L83" s="103">
        <f>+D83+H83-K83</f>
        <v>0</v>
      </c>
      <c r="M83" s="103"/>
      <c r="N83" s="103" t="s">
        <v>947</v>
      </c>
      <c r="O83" s="104">
        <f t="shared" si="10"/>
        <v>0</v>
      </c>
    </row>
    <row r="84" spans="1:15" s="8" customFormat="1" ht="15.75" x14ac:dyDescent="0.25">
      <c r="A84" s="113" t="s">
        <v>60</v>
      </c>
      <c r="B84" s="102">
        <v>44193</v>
      </c>
      <c r="C84" s="9" t="s">
        <v>596</v>
      </c>
      <c r="D84" s="30">
        <v>0</v>
      </c>
      <c r="E84" s="13">
        <v>70</v>
      </c>
      <c r="F84" s="50">
        <f t="shared" si="9"/>
        <v>0</v>
      </c>
      <c r="G84" s="103"/>
      <c r="H84" s="103"/>
      <c r="I84" s="104"/>
      <c r="J84" s="103"/>
      <c r="K84" s="103"/>
      <c r="L84" s="103">
        <f t="shared" ref="L84:L96" si="13">+D84+H84-K84</f>
        <v>0</v>
      </c>
      <c r="M84" s="103"/>
      <c r="N84" s="103" t="s">
        <v>947</v>
      </c>
      <c r="O84" s="104">
        <f t="shared" si="10"/>
        <v>0</v>
      </c>
    </row>
    <row r="85" spans="1:15" s="8" customFormat="1" ht="15.75" x14ac:dyDescent="0.25">
      <c r="A85" s="113" t="s">
        <v>61</v>
      </c>
      <c r="B85" s="102">
        <v>44193</v>
      </c>
      <c r="C85" s="26" t="s">
        <v>597</v>
      </c>
      <c r="D85" s="30">
        <v>2</v>
      </c>
      <c r="E85" s="13">
        <v>148.31</v>
      </c>
      <c r="F85" s="50">
        <f t="shared" si="9"/>
        <v>296.62</v>
      </c>
      <c r="G85" s="103"/>
      <c r="H85" s="103"/>
      <c r="I85" s="104"/>
      <c r="J85" s="103"/>
      <c r="K85" s="103"/>
      <c r="L85" s="103">
        <f t="shared" si="13"/>
        <v>2</v>
      </c>
      <c r="M85" s="103"/>
      <c r="N85" s="103" t="s">
        <v>947</v>
      </c>
      <c r="O85" s="104">
        <f t="shared" si="10"/>
        <v>296.62</v>
      </c>
    </row>
    <row r="86" spans="1:15" s="8" customFormat="1" ht="15.75" x14ac:dyDescent="0.25">
      <c r="A86" s="113" t="s">
        <v>62</v>
      </c>
      <c r="B86" s="102">
        <v>44547</v>
      </c>
      <c r="C86" s="9" t="s">
        <v>598</v>
      </c>
      <c r="D86" s="30">
        <v>24</v>
      </c>
      <c r="E86" s="13">
        <v>200</v>
      </c>
      <c r="F86" s="50">
        <f t="shared" si="9"/>
        <v>4800</v>
      </c>
      <c r="G86" s="103"/>
      <c r="H86" s="103"/>
      <c r="I86" s="104"/>
      <c r="J86" s="103"/>
      <c r="K86" s="103"/>
      <c r="L86" s="103">
        <f t="shared" si="13"/>
        <v>24</v>
      </c>
      <c r="M86" s="103"/>
      <c r="N86" s="103" t="s">
        <v>947</v>
      </c>
      <c r="O86" s="104">
        <f t="shared" si="10"/>
        <v>4800</v>
      </c>
    </row>
    <row r="87" spans="1:15" s="105" customFormat="1" ht="15.75" x14ac:dyDescent="0.25">
      <c r="A87" s="113" t="s">
        <v>63</v>
      </c>
      <c r="B87" s="102">
        <v>44193</v>
      </c>
      <c r="C87" s="9" t="s">
        <v>599</v>
      </c>
      <c r="D87" s="30">
        <v>0</v>
      </c>
      <c r="E87" s="13">
        <v>65</v>
      </c>
      <c r="F87" s="50">
        <f t="shared" si="9"/>
        <v>0</v>
      </c>
      <c r="G87" s="107">
        <v>44852</v>
      </c>
      <c r="H87" s="103">
        <v>10</v>
      </c>
      <c r="I87" s="104">
        <v>46</v>
      </c>
      <c r="J87" s="108">
        <f>+I87*H87</f>
        <v>460</v>
      </c>
      <c r="K87" s="103"/>
      <c r="L87" s="103">
        <f t="shared" si="13"/>
        <v>10</v>
      </c>
      <c r="M87" s="103" t="s">
        <v>1037</v>
      </c>
      <c r="N87" s="103" t="s">
        <v>947</v>
      </c>
      <c r="O87" s="104">
        <f t="shared" si="10"/>
        <v>650</v>
      </c>
    </row>
    <row r="88" spans="1:15" s="92" customFormat="1" x14ac:dyDescent="0.3">
      <c r="A88" s="113" t="s">
        <v>64</v>
      </c>
      <c r="B88" s="102">
        <v>44193</v>
      </c>
      <c r="C88" s="25" t="s">
        <v>850</v>
      </c>
      <c r="D88" s="38">
        <v>1</v>
      </c>
      <c r="E88" s="13"/>
      <c r="F88" s="50"/>
      <c r="G88" s="103"/>
      <c r="H88" s="103"/>
      <c r="I88" s="104"/>
      <c r="J88" s="103"/>
      <c r="K88" s="103"/>
      <c r="L88" s="103">
        <f t="shared" si="13"/>
        <v>1</v>
      </c>
      <c r="M88" s="103"/>
      <c r="N88" s="103" t="s">
        <v>945</v>
      </c>
      <c r="O88" s="104">
        <f t="shared" si="10"/>
        <v>0</v>
      </c>
    </row>
    <row r="89" spans="1:15" s="105" customFormat="1" ht="15.75" x14ac:dyDescent="0.25">
      <c r="A89" s="113" t="s">
        <v>65</v>
      </c>
      <c r="B89" s="102">
        <v>44193</v>
      </c>
      <c r="C89" s="9" t="s">
        <v>851</v>
      </c>
      <c r="D89" s="30">
        <v>6</v>
      </c>
      <c r="E89" s="13">
        <v>9.5833333333333339</v>
      </c>
      <c r="F89" s="50">
        <f>D89*E89</f>
        <v>57.5</v>
      </c>
      <c r="G89" s="107">
        <v>44852</v>
      </c>
      <c r="H89" s="103">
        <f>10*12</f>
        <v>120</v>
      </c>
      <c r="I89" s="104">
        <v>7.09</v>
      </c>
      <c r="J89" s="103">
        <f>+I89*H89</f>
        <v>850.8</v>
      </c>
      <c r="K89" s="103"/>
      <c r="L89" s="103">
        <f t="shared" si="13"/>
        <v>126</v>
      </c>
      <c r="M89" s="103" t="s">
        <v>1037</v>
      </c>
      <c r="N89" s="108" t="s">
        <v>947</v>
      </c>
      <c r="O89" s="104">
        <f>+L89*I89</f>
        <v>893.34</v>
      </c>
    </row>
    <row r="90" spans="1:15" s="8" customFormat="1" ht="15.75" x14ac:dyDescent="0.25">
      <c r="A90" s="113" t="s">
        <v>66</v>
      </c>
      <c r="B90" s="102">
        <v>44547</v>
      </c>
      <c r="C90" s="9" t="s">
        <v>775</v>
      </c>
      <c r="D90" s="30">
        <v>10</v>
      </c>
      <c r="E90" s="13">
        <v>155</v>
      </c>
      <c r="F90" s="50">
        <f>D90*E90</f>
        <v>1550</v>
      </c>
      <c r="G90" s="103"/>
      <c r="H90" s="103"/>
      <c r="I90" s="104"/>
      <c r="J90" s="103"/>
      <c r="K90" s="103"/>
      <c r="L90" s="103">
        <f t="shared" si="13"/>
        <v>10</v>
      </c>
      <c r="M90" s="103"/>
      <c r="N90" s="103" t="s">
        <v>947</v>
      </c>
      <c r="O90" s="104">
        <f t="shared" si="10"/>
        <v>1550</v>
      </c>
    </row>
    <row r="91" spans="1:15" s="92" customFormat="1" x14ac:dyDescent="0.3">
      <c r="A91" s="113" t="s">
        <v>68</v>
      </c>
      <c r="B91" s="102">
        <v>44453</v>
      </c>
      <c r="C91" s="25" t="s">
        <v>603</v>
      </c>
      <c r="D91" s="14">
        <v>4</v>
      </c>
      <c r="E91" s="13">
        <v>7500</v>
      </c>
      <c r="F91" s="50">
        <f>D91*E91</f>
        <v>30000</v>
      </c>
      <c r="G91" s="103"/>
      <c r="H91" s="103"/>
      <c r="I91" s="104"/>
      <c r="J91" s="103"/>
      <c r="K91" s="103">
        <v>1</v>
      </c>
      <c r="L91" s="103">
        <f t="shared" si="13"/>
        <v>3</v>
      </c>
      <c r="M91" s="103"/>
      <c r="N91" s="103" t="s">
        <v>945</v>
      </c>
      <c r="O91" s="104">
        <f>+E91*L91</f>
        <v>22500</v>
      </c>
    </row>
    <row r="92" spans="1:15" s="92" customFormat="1" x14ac:dyDescent="0.3">
      <c r="A92" s="113" t="s">
        <v>67</v>
      </c>
      <c r="B92" s="102">
        <v>44659</v>
      </c>
      <c r="C92" s="25" t="s">
        <v>776</v>
      </c>
      <c r="D92" s="14">
        <v>108</v>
      </c>
      <c r="E92" s="13">
        <v>156.66667000000001</v>
      </c>
      <c r="F92" s="50">
        <f>D92*E92</f>
        <v>16920.000360000002</v>
      </c>
      <c r="G92" s="103"/>
      <c r="H92" s="103"/>
      <c r="I92" s="104"/>
      <c r="J92" s="103"/>
      <c r="K92" s="103">
        <v>43</v>
      </c>
      <c r="L92" s="103">
        <f t="shared" si="13"/>
        <v>65</v>
      </c>
      <c r="M92" s="103"/>
      <c r="N92" s="103" t="s">
        <v>945</v>
      </c>
      <c r="O92" s="104">
        <f t="shared" si="10"/>
        <v>10183.333550000001</v>
      </c>
    </row>
    <row r="93" spans="1:15" s="8" customFormat="1" ht="15.75" x14ac:dyDescent="0.25">
      <c r="A93" s="113" t="s">
        <v>69</v>
      </c>
      <c r="B93" s="102">
        <v>44193</v>
      </c>
      <c r="C93" s="25" t="s">
        <v>844</v>
      </c>
      <c r="D93" s="14">
        <v>20</v>
      </c>
      <c r="E93" s="13">
        <v>30.5</v>
      </c>
      <c r="F93" s="50">
        <f>D93*E93</f>
        <v>610</v>
      </c>
      <c r="G93" s="103"/>
      <c r="H93" s="103"/>
      <c r="I93" s="104"/>
      <c r="J93" s="103"/>
      <c r="K93" s="103"/>
      <c r="L93" s="103">
        <f t="shared" si="13"/>
        <v>20</v>
      </c>
      <c r="M93" s="103"/>
      <c r="N93" s="103" t="s">
        <v>946</v>
      </c>
      <c r="O93" s="104">
        <f t="shared" si="10"/>
        <v>610</v>
      </c>
    </row>
    <row r="94" spans="1:15" s="8" customFormat="1" ht="15.75" x14ac:dyDescent="0.25">
      <c r="A94" s="113" t="s">
        <v>103</v>
      </c>
      <c r="B94" s="102">
        <v>44193</v>
      </c>
      <c r="C94" s="25" t="s">
        <v>789</v>
      </c>
      <c r="D94" s="14">
        <f>21+8+14</f>
        <v>43</v>
      </c>
      <c r="E94" s="13">
        <v>11.24</v>
      </c>
      <c r="F94" s="50">
        <f t="shared" ref="F94:F132" si="14">D94*E94</f>
        <v>483.32</v>
      </c>
      <c r="G94" s="103"/>
      <c r="H94" s="103"/>
      <c r="I94" s="104"/>
      <c r="J94" s="103"/>
      <c r="K94" s="103">
        <v>1</v>
      </c>
      <c r="L94" s="103">
        <f t="shared" si="13"/>
        <v>42</v>
      </c>
      <c r="M94" s="103"/>
      <c r="N94" s="103" t="s">
        <v>946</v>
      </c>
      <c r="O94" s="104">
        <f t="shared" si="10"/>
        <v>472.08</v>
      </c>
    </row>
    <row r="95" spans="1:15" s="8" customFormat="1" ht="15.75" x14ac:dyDescent="0.25">
      <c r="A95" s="113" t="s">
        <v>104</v>
      </c>
      <c r="B95" s="102">
        <v>44193</v>
      </c>
      <c r="C95" s="25" t="s">
        <v>788</v>
      </c>
      <c r="D95" s="14">
        <f>16+6+7+2</f>
        <v>31</v>
      </c>
      <c r="E95" s="13">
        <v>11.24</v>
      </c>
      <c r="F95" s="50">
        <f t="shared" si="14"/>
        <v>348.44</v>
      </c>
      <c r="G95" s="103"/>
      <c r="H95" s="103"/>
      <c r="I95" s="104"/>
      <c r="J95" s="103"/>
      <c r="K95" s="103"/>
      <c r="L95" s="103">
        <f t="shared" si="13"/>
        <v>31</v>
      </c>
      <c r="M95" s="103"/>
      <c r="N95" s="103" t="s">
        <v>946</v>
      </c>
      <c r="O95" s="104">
        <f t="shared" si="10"/>
        <v>348.44</v>
      </c>
    </row>
    <row r="96" spans="1:15" s="8" customFormat="1" ht="15.75" x14ac:dyDescent="0.25">
      <c r="A96" s="113" t="s">
        <v>142</v>
      </c>
      <c r="B96" s="102">
        <v>44193</v>
      </c>
      <c r="C96" s="25" t="s">
        <v>604</v>
      </c>
      <c r="D96" s="14">
        <v>28</v>
      </c>
      <c r="E96" s="13">
        <v>45</v>
      </c>
      <c r="F96" s="50">
        <f t="shared" si="14"/>
        <v>1260</v>
      </c>
      <c r="G96" s="103"/>
      <c r="H96" s="103"/>
      <c r="I96" s="104"/>
      <c r="J96" s="103"/>
      <c r="K96" s="103"/>
      <c r="L96" s="103">
        <f t="shared" si="13"/>
        <v>28</v>
      </c>
      <c r="M96" s="103"/>
      <c r="N96" s="103" t="s">
        <v>946</v>
      </c>
      <c r="O96" s="104">
        <f t="shared" si="10"/>
        <v>1260</v>
      </c>
    </row>
    <row r="97" spans="1:15" s="8" customFormat="1" ht="15.75" x14ac:dyDescent="0.25">
      <c r="A97" s="113" t="s">
        <v>70</v>
      </c>
      <c r="B97" s="102">
        <v>44193</v>
      </c>
      <c r="C97" s="25" t="s">
        <v>605</v>
      </c>
      <c r="D97" s="14">
        <v>4</v>
      </c>
      <c r="E97" s="13">
        <v>40</v>
      </c>
      <c r="F97" s="50">
        <f t="shared" si="14"/>
        <v>160</v>
      </c>
      <c r="G97" s="103"/>
      <c r="H97" s="103"/>
      <c r="I97" s="104"/>
      <c r="J97" s="103"/>
      <c r="K97" s="103"/>
      <c r="L97" s="103">
        <f>+D97+H97-K97</f>
        <v>4</v>
      </c>
      <c r="M97" s="103"/>
      <c r="N97" s="103" t="s">
        <v>946</v>
      </c>
      <c r="O97" s="104">
        <f t="shared" si="10"/>
        <v>160</v>
      </c>
    </row>
    <row r="98" spans="1:15" s="8" customFormat="1" ht="15.75" x14ac:dyDescent="0.25">
      <c r="A98" s="113" t="s">
        <v>71</v>
      </c>
      <c r="B98" s="102">
        <v>44193</v>
      </c>
      <c r="C98" s="25" t="s">
        <v>606</v>
      </c>
      <c r="D98" s="14">
        <v>39</v>
      </c>
      <c r="E98" s="13">
        <v>45</v>
      </c>
      <c r="F98" s="50">
        <f t="shared" si="14"/>
        <v>1755</v>
      </c>
      <c r="G98" s="103"/>
      <c r="H98" s="103"/>
      <c r="I98" s="104"/>
      <c r="J98" s="103"/>
      <c r="K98" s="103"/>
      <c r="L98" s="103">
        <f t="shared" ref="L98:L109" si="15">+D98+H98-K98</f>
        <v>39</v>
      </c>
      <c r="M98" s="103"/>
      <c r="N98" s="103" t="s">
        <v>946</v>
      </c>
      <c r="O98" s="104">
        <f t="shared" si="10"/>
        <v>1755</v>
      </c>
    </row>
    <row r="99" spans="1:15" s="8" customFormat="1" ht="15.75" x14ac:dyDescent="0.25">
      <c r="A99" s="113" t="s">
        <v>72</v>
      </c>
      <c r="B99" s="102">
        <v>44193</v>
      </c>
      <c r="C99" s="25" t="s">
        <v>846</v>
      </c>
      <c r="D99" s="14">
        <v>1</v>
      </c>
      <c r="E99" s="13">
        <v>47</v>
      </c>
      <c r="F99" s="50">
        <f t="shared" si="14"/>
        <v>47</v>
      </c>
      <c r="G99" s="103"/>
      <c r="H99" s="103"/>
      <c r="I99" s="104"/>
      <c r="J99" s="103"/>
      <c r="K99" s="103"/>
      <c r="L99" s="103">
        <f t="shared" si="15"/>
        <v>1</v>
      </c>
      <c r="M99" s="103"/>
      <c r="N99" s="103" t="s">
        <v>946</v>
      </c>
      <c r="O99" s="104">
        <f t="shared" si="10"/>
        <v>47</v>
      </c>
    </row>
    <row r="100" spans="1:15" s="8" customFormat="1" ht="15.75" x14ac:dyDescent="0.25">
      <c r="A100" s="113" t="s">
        <v>73</v>
      </c>
      <c r="B100" s="102">
        <v>44193</v>
      </c>
      <c r="C100" s="25" t="s">
        <v>607</v>
      </c>
      <c r="D100" s="14">
        <v>1</v>
      </c>
      <c r="E100" s="13">
        <v>40</v>
      </c>
      <c r="F100" s="50">
        <f t="shared" si="14"/>
        <v>40</v>
      </c>
      <c r="G100" s="103"/>
      <c r="H100" s="103"/>
      <c r="I100" s="104"/>
      <c r="J100" s="103"/>
      <c r="K100" s="103"/>
      <c r="L100" s="103">
        <f t="shared" si="15"/>
        <v>1</v>
      </c>
      <c r="M100" s="103"/>
      <c r="N100" s="103" t="s">
        <v>946</v>
      </c>
      <c r="O100" s="104">
        <f t="shared" si="10"/>
        <v>40</v>
      </c>
    </row>
    <row r="101" spans="1:15" s="8" customFormat="1" ht="15.75" x14ac:dyDescent="0.25">
      <c r="A101" s="113" t="s">
        <v>74</v>
      </c>
      <c r="B101" s="102">
        <v>44193</v>
      </c>
      <c r="C101" s="25" t="s">
        <v>608</v>
      </c>
      <c r="D101" s="32">
        <v>2</v>
      </c>
      <c r="E101" s="13">
        <v>12.21</v>
      </c>
      <c r="F101" s="50">
        <f t="shared" si="14"/>
        <v>24.42</v>
      </c>
      <c r="G101" s="103"/>
      <c r="H101" s="103"/>
      <c r="I101" s="104"/>
      <c r="J101" s="103"/>
      <c r="K101" s="103"/>
      <c r="L101" s="103">
        <f t="shared" si="15"/>
        <v>2</v>
      </c>
      <c r="M101" s="103"/>
      <c r="N101" s="103" t="s">
        <v>946</v>
      </c>
      <c r="O101" s="104">
        <f t="shared" si="10"/>
        <v>24.42</v>
      </c>
    </row>
    <row r="102" spans="1:15" s="8" customFormat="1" ht="15.75" x14ac:dyDescent="0.25">
      <c r="A102" s="113" t="s">
        <v>101</v>
      </c>
      <c r="B102" s="102">
        <v>44193</v>
      </c>
      <c r="C102" s="25" t="s">
        <v>609</v>
      </c>
      <c r="D102" s="32">
        <v>0</v>
      </c>
      <c r="E102" s="13">
        <v>4</v>
      </c>
      <c r="F102" s="50">
        <f t="shared" si="14"/>
        <v>0</v>
      </c>
      <c r="G102" s="103"/>
      <c r="H102" s="103"/>
      <c r="I102" s="104"/>
      <c r="J102" s="103"/>
      <c r="K102" s="103"/>
      <c r="L102" s="103">
        <f t="shared" si="15"/>
        <v>0</v>
      </c>
      <c r="M102" s="103"/>
      <c r="N102" s="103" t="s">
        <v>946</v>
      </c>
      <c r="O102" s="104">
        <f>+E102*L102</f>
        <v>0</v>
      </c>
    </row>
    <row r="103" spans="1:15" s="8" customFormat="1" ht="15.75" x14ac:dyDescent="0.25">
      <c r="A103" s="113" t="s">
        <v>75</v>
      </c>
      <c r="B103" s="102">
        <v>44193</v>
      </c>
      <c r="C103" s="25" t="s">
        <v>610</v>
      </c>
      <c r="D103" s="32">
        <f>13+7+29</f>
        <v>49</v>
      </c>
      <c r="E103" s="13">
        <v>5.05</v>
      </c>
      <c r="F103" s="50">
        <f t="shared" si="14"/>
        <v>247.45</v>
      </c>
      <c r="G103" s="103"/>
      <c r="H103" s="103"/>
      <c r="I103" s="104"/>
      <c r="J103" s="103"/>
      <c r="K103" s="103"/>
      <c r="L103" s="103">
        <f t="shared" si="15"/>
        <v>49</v>
      </c>
      <c r="M103" s="103"/>
      <c r="N103" s="103" t="s">
        <v>946</v>
      </c>
      <c r="O103" s="104">
        <f>+E103*L103</f>
        <v>247.45</v>
      </c>
    </row>
    <row r="104" spans="1:15" s="8" customFormat="1" ht="15.75" x14ac:dyDescent="0.25">
      <c r="A104" s="113" t="s">
        <v>102</v>
      </c>
      <c r="B104" s="102">
        <v>44193</v>
      </c>
      <c r="C104" s="25" t="s">
        <v>611</v>
      </c>
      <c r="D104" s="32">
        <v>0</v>
      </c>
      <c r="E104" s="13">
        <v>42.95</v>
      </c>
      <c r="F104" s="50">
        <f t="shared" si="14"/>
        <v>0</v>
      </c>
      <c r="G104" s="103"/>
      <c r="H104" s="103"/>
      <c r="I104" s="104"/>
      <c r="J104" s="103"/>
      <c r="K104" s="103"/>
      <c r="L104" s="103">
        <f t="shared" si="15"/>
        <v>0</v>
      </c>
      <c r="M104" s="103"/>
      <c r="N104" s="103" t="s">
        <v>946</v>
      </c>
      <c r="O104" s="104">
        <f t="shared" ref="O104:O110" si="16">+E104*L104</f>
        <v>0</v>
      </c>
    </row>
    <row r="105" spans="1:15" s="8" customFormat="1" ht="15.75" x14ac:dyDescent="0.25">
      <c r="A105" s="113" t="s">
        <v>143</v>
      </c>
      <c r="B105" s="102">
        <v>44193</v>
      </c>
      <c r="C105" s="25" t="s">
        <v>612</v>
      </c>
      <c r="D105" s="30">
        <v>11</v>
      </c>
      <c r="E105" s="13">
        <v>19.95</v>
      </c>
      <c r="F105" s="50">
        <f t="shared" si="14"/>
        <v>219.45</v>
      </c>
      <c r="G105" s="103"/>
      <c r="H105" s="103"/>
      <c r="I105" s="104"/>
      <c r="J105" s="103"/>
      <c r="K105" s="103"/>
      <c r="L105" s="103">
        <f t="shared" si="15"/>
        <v>11</v>
      </c>
      <c r="M105" s="103"/>
      <c r="N105" s="103" t="s">
        <v>946</v>
      </c>
      <c r="O105" s="104">
        <f t="shared" si="16"/>
        <v>219.45</v>
      </c>
    </row>
    <row r="106" spans="1:15" s="8" customFormat="1" ht="15.75" x14ac:dyDescent="0.25">
      <c r="A106" s="113" t="s">
        <v>334</v>
      </c>
      <c r="B106" s="102">
        <v>44193</v>
      </c>
      <c r="C106" s="25" t="s">
        <v>613</v>
      </c>
      <c r="D106" s="30">
        <f>6+7</f>
        <v>13</v>
      </c>
      <c r="E106" s="13">
        <v>5.78</v>
      </c>
      <c r="F106" s="50">
        <f t="shared" si="14"/>
        <v>75.14</v>
      </c>
      <c r="G106" s="103"/>
      <c r="H106" s="103"/>
      <c r="I106" s="104"/>
      <c r="J106" s="103"/>
      <c r="K106" s="103"/>
      <c r="L106" s="103">
        <f t="shared" si="15"/>
        <v>13</v>
      </c>
      <c r="M106" s="103"/>
      <c r="N106" s="103" t="s">
        <v>946</v>
      </c>
      <c r="O106" s="104">
        <f t="shared" si="16"/>
        <v>75.14</v>
      </c>
    </row>
    <row r="107" spans="1:15" s="8" customFormat="1" ht="15.75" x14ac:dyDescent="0.25">
      <c r="A107" s="113" t="s">
        <v>335</v>
      </c>
      <c r="B107" s="102">
        <v>44193</v>
      </c>
      <c r="C107" s="25" t="s">
        <v>849</v>
      </c>
      <c r="D107" s="30">
        <v>1</v>
      </c>
      <c r="E107" s="13"/>
      <c r="F107" s="50">
        <f t="shared" si="14"/>
        <v>0</v>
      </c>
      <c r="G107" s="103"/>
      <c r="H107" s="103"/>
      <c r="I107" s="104"/>
      <c r="J107" s="103"/>
      <c r="K107" s="103"/>
      <c r="L107" s="103">
        <f t="shared" si="15"/>
        <v>1</v>
      </c>
      <c r="M107" s="103"/>
      <c r="N107" s="103" t="s">
        <v>946</v>
      </c>
      <c r="O107" s="104">
        <f t="shared" si="16"/>
        <v>0</v>
      </c>
    </row>
    <row r="108" spans="1:15" s="8" customFormat="1" ht="15.75" x14ac:dyDescent="0.25">
      <c r="A108" s="113" t="s">
        <v>336</v>
      </c>
      <c r="B108" s="102">
        <v>44193</v>
      </c>
      <c r="C108" s="26" t="s">
        <v>821</v>
      </c>
      <c r="D108" s="30">
        <v>9</v>
      </c>
      <c r="E108" s="13">
        <v>77.540000000000006</v>
      </c>
      <c r="F108" s="50">
        <f t="shared" si="14"/>
        <v>697.86</v>
      </c>
      <c r="G108" s="103"/>
      <c r="H108" s="103"/>
      <c r="I108" s="104"/>
      <c r="J108" s="103"/>
      <c r="K108" s="103"/>
      <c r="L108" s="103">
        <f t="shared" si="15"/>
        <v>9</v>
      </c>
      <c r="M108" s="103"/>
      <c r="N108" s="103" t="s">
        <v>946</v>
      </c>
      <c r="O108" s="104">
        <f t="shared" si="16"/>
        <v>697.86</v>
      </c>
    </row>
    <row r="109" spans="1:15" s="8" customFormat="1" ht="15.75" x14ac:dyDescent="0.25">
      <c r="A109" s="113" t="s">
        <v>337</v>
      </c>
      <c r="B109" s="102">
        <v>44193</v>
      </c>
      <c r="C109" s="26" t="s">
        <v>820</v>
      </c>
      <c r="D109" s="30">
        <v>21</v>
      </c>
      <c r="E109" s="13">
        <v>719.2</v>
      </c>
      <c r="F109" s="50">
        <f t="shared" si="14"/>
        <v>15103.2</v>
      </c>
      <c r="G109" s="103"/>
      <c r="H109" s="103"/>
      <c r="I109" s="104"/>
      <c r="J109" s="103"/>
      <c r="K109" s="103"/>
      <c r="L109" s="103">
        <f t="shared" si="15"/>
        <v>21</v>
      </c>
      <c r="M109" s="103"/>
      <c r="N109" s="103" t="s">
        <v>946</v>
      </c>
      <c r="O109" s="104">
        <f t="shared" si="16"/>
        <v>15103.2</v>
      </c>
    </row>
    <row r="110" spans="1:15" s="8" customFormat="1" ht="15.75" x14ac:dyDescent="0.25">
      <c r="A110" s="113" t="s">
        <v>338</v>
      </c>
      <c r="B110" s="102">
        <v>44193</v>
      </c>
      <c r="C110" s="26" t="s">
        <v>823</v>
      </c>
      <c r="D110" s="30">
        <v>3</v>
      </c>
      <c r="E110" s="13">
        <v>51</v>
      </c>
      <c r="F110" s="50">
        <f t="shared" si="14"/>
        <v>153</v>
      </c>
      <c r="G110" s="103"/>
      <c r="H110" s="103"/>
      <c r="I110" s="104"/>
      <c r="J110" s="103"/>
      <c r="K110" s="103"/>
      <c r="L110" s="103">
        <f>+D110+H110-K110</f>
        <v>3</v>
      </c>
      <c r="M110" s="103"/>
      <c r="N110" s="103" t="s">
        <v>946</v>
      </c>
      <c r="O110" s="104">
        <f t="shared" si="16"/>
        <v>153</v>
      </c>
    </row>
    <row r="111" spans="1:15" s="8" customFormat="1" ht="15.75" x14ac:dyDescent="0.25">
      <c r="A111" s="113" t="s">
        <v>339</v>
      </c>
      <c r="B111" s="102">
        <v>44193</v>
      </c>
      <c r="C111" s="26" t="s">
        <v>822</v>
      </c>
      <c r="D111" s="30">
        <v>12</v>
      </c>
      <c r="E111" s="13">
        <v>66.11</v>
      </c>
      <c r="F111" s="50">
        <f t="shared" si="14"/>
        <v>793.31999999999994</v>
      </c>
      <c r="G111" s="103"/>
      <c r="H111" s="103"/>
      <c r="I111" s="104"/>
      <c r="J111" s="103"/>
      <c r="K111" s="103"/>
      <c r="L111" s="103">
        <f t="shared" ref="L111:L175" si="17">+D111+H111-K111</f>
        <v>12</v>
      </c>
      <c r="M111" s="103"/>
      <c r="N111" s="103" t="s">
        <v>946</v>
      </c>
      <c r="O111" s="104">
        <f>+E111*L111</f>
        <v>793.31999999999994</v>
      </c>
    </row>
    <row r="112" spans="1:15" s="8" customFormat="1" ht="15.75" x14ac:dyDescent="0.25">
      <c r="A112" s="113" t="s">
        <v>340</v>
      </c>
      <c r="B112" s="102">
        <v>44193</v>
      </c>
      <c r="C112" s="26" t="s">
        <v>802</v>
      </c>
      <c r="D112" s="30">
        <v>2</v>
      </c>
      <c r="E112" s="13">
        <v>70</v>
      </c>
      <c r="F112" s="50">
        <f t="shared" si="14"/>
        <v>140</v>
      </c>
      <c r="G112" s="103"/>
      <c r="H112" s="103"/>
      <c r="I112" s="104"/>
      <c r="J112" s="103"/>
      <c r="K112" s="103"/>
      <c r="L112" s="103">
        <f t="shared" si="17"/>
        <v>2</v>
      </c>
      <c r="M112" s="103"/>
      <c r="N112" s="103" t="s">
        <v>946</v>
      </c>
      <c r="O112" s="104">
        <f t="shared" ref="O112:O120" si="18">+E112*L112</f>
        <v>140</v>
      </c>
    </row>
    <row r="113" spans="1:15" s="8" customFormat="1" ht="15.75" x14ac:dyDescent="0.25">
      <c r="A113" s="113" t="s">
        <v>341</v>
      </c>
      <c r="B113" s="102">
        <v>44193</v>
      </c>
      <c r="C113" s="26" t="s">
        <v>804</v>
      </c>
      <c r="D113" s="30">
        <v>6</v>
      </c>
      <c r="E113" s="13">
        <v>450</v>
      </c>
      <c r="F113" s="50">
        <f t="shared" si="14"/>
        <v>2700</v>
      </c>
      <c r="G113" s="103"/>
      <c r="H113" s="103"/>
      <c r="I113" s="104"/>
      <c r="J113" s="103"/>
      <c r="K113" s="103">
        <v>1</v>
      </c>
      <c r="L113" s="103">
        <f t="shared" si="17"/>
        <v>5</v>
      </c>
      <c r="M113" s="103"/>
      <c r="N113" s="103" t="s">
        <v>946</v>
      </c>
      <c r="O113" s="104">
        <f>+E113*L113</f>
        <v>2250</v>
      </c>
    </row>
    <row r="114" spans="1:15" s="8" customFormat="1" ht="15.75" x14ac:dyDescent="0.25">
      <c r="A114" s="113" t="s">
        <v>342</v>
      </c>
      <c r="B114" s="102">
        <v>44193</v>
      </c>
      <c r="C114" s="26" t="s">
        <v>801</v>
      </c>
      <c r="D114" s="30">
        <v>2</v>
      </c>
      <c r="E114" s="13">
        <v>719.2</v>
      </c>
      <c r="F114" s="50">
        <f t="shared" si="14"/>
        <v>1438.4</v>
      </c>
      <c r="G114" s="103"/>
      <c r="H114" s="103"/>
      <c r="I114" s="104"/>
      <c r="J114" s="103"/>
      <c r="K114" s="103">
        <v>2</v>
      </c>
      <c r="L114" s="103">
        <f t="shared" si="17"/>
        <v>0</v>
      </c>
      <c r="M114" s="103"/>
      <c r="N114" s="103" t="s">
        <v>946</v>
      </c>
      <c r="O114" s="104">
        <f t="shared" si="18"/>
        <v>0</v>
      </c>
    </row>
    <row r="115" spans="1:15" s="8" customFormat="1" ht="15.75" x14ac:dyDescent="0.25">
      <c r="A115" s="113" t="s">
        <v>343</v>
      </c>
      <c r="B115" s="102">
        <v>44193</v>
      </c>
      <c r="C115" s="25" t="s">
        <v>616</v>
      </c>
      <c r="D115" s="32">
        <v>0</v>
      </c>
      <c r="E115" s="13">
        <v>2950</v>
      </c>
      <c r="F115" s="50">
        <f t="shared" si="14"/>
        <v>0</v>
      </c>
      <c r="G115" s="103"/>
      <c r="H115" s="103"/>
      <c r="I115" s="104"/>
      <c r="J115" s="103"/>
      <c r="K115" s="103"/>
      <c r="L115" s="103">
        <f t="shared" si="17"/>
        <v>0</v>
      </c>
      <c r="M115" s="103"/>
      <c r="N115" s="103" t="s">
        <v>946</v>
      </c>
      <c r="O115" s="104">
        <f t="shared" si="18"/>
        <v>0</v>
      </c>
    </row>
    <row r="116" spans="1:15" s="8" customFormat="1" ht="15.75" x14ac:dyDescent="0.25">
      <c r="A116" s="113" t="s">
        <v>344</v>
      </c>
      <c r="B116" s="102">
        <v>44193</v>
      </c>
      <c r="C116" s="25" t="s">
        <v>617</v>
      </c>
      <c r="D116" s="32">
        <v>5</v>
      </c>
      <c r="E116" s="13">
        <v>29</v>
      </c>
      <c r="F116" s="50">
        <f t="shared" si="14"/>
        <v>145</v>
      </c>
      <c r="G116" s="103"/>
      <c r="H116" s="103"/>
      <c r="I116" s="104"/>
      <c r="J116" s="103"/>
      <c r="K116" s="103">
        <v>4</v>
      </c>
      <c r="L116" s="103">
        <f t="shared" si="17"/>
        <v>1</v>
      </c>
      <c r="M116" s="103"/>
      <c r="N116" s="103" t="s">
        <v>946</v>
      </c>
      <c r="O116" s="104">
        <f t="shared" si="18"/>
        <v>29</v>
      </c>
    </row>
    <row r="117" spans="1:15" s="8" customFormat="1" ht="15.75" x14ac:dyDescent="0.25">
      <c r="A117" s="113" t="s">
        <v>345</v>
      </c>
      <c r="B117" s="106" t="s">
        <v>106</v>
      </c>
      <c r="C117" s="9" t="s">
        <v>618</v>
      </c>
      <c r="D117" s="30">
        <v>12</v>
      </c>
      <c r="E117" s="51">
        <v>35</v>
      </c>
      <c r="F117" s="50">
        <f t="shared" si="14"/>
        <v>420</v>
      </c>
      <c r="G117" s="103"/>
      <c r="H117" s="103"/>
      <c r="I117" s="104"/>
      <c r="J117" s="103"/>
      <c r="K117" s="103"/>
      <c r="L117" s="103">
        <f t="shared" si="17"/>
        <v>12</v>
      </c>
      <c r="M117" s="103"/>
      <c r="N117" s="103" t="s">
        <v>947</v>
      </c>
      <c r="O117" s="104">
        <f t="shared" si="18"/>
        <v>420</v>
      </c>
    </row>
    <row r="118" spans="1:15" s="92" customFormat="1" x14ac:dyDescent="0.3">
      <c r="A118" s="113" t="s">
        <v>346</v>
      </c>
      <c r="B118" s="102">
        <v>44193</v>
      </c>
      <c r="C118" s="26" t="s">
        <v>619</v>
      </c>
      <c r="D118" s="32">
        <v>0</v>
      </c>
      <c r="E118" s="13">
        <v>155</v>
      </c>
      <c r="F118" s="50">
        <f t="shared" si="14"/>
        <v>0</v>
      </c>
      <c r="G118" s="103"/>
      <c r="H118" s="103"/>
      <c r="I118" s="104"/>
      <c r="J118" s="103"/>
      <c r="K118" s="103">
        <f>2+1+1+1+1+1+1+1</f>
        <v>9</v>
      </c>
      <c r="L118" s="103">
        <f t="shared" si="17"/>
        <v>-9</v>
      </c>
      <c r="M118" s="103"/>
      <c r="N118" s="103" t="s">
        <v>945</v>
      </c>
      <c r="O118" s="104">
        <f t="shared" si="18"/>
        <v>-1395</v>
      </c>
    </row>
    <row r="119" spans="1:15" s="92" customFormat="1" x14ac:dyDescent="0.3">
      <c r="A119" s="113" t="s">
        <v>347</v>
      </c>
      <c r="B119" s="102">
        <v>44777</v>
      </c>
      <c r="C119" s="26" t="s">
        <v>620</v>
      </c>
      <c r="D119" s="32">
        <v>90</v>
      </c>
      <c r="E119" s="13">
        <v>71.95</v>
      </c>
      <c r="F119" s="50">
        <f t="shared" si="14"/>
        <v>6475.5</v>
      </c>
      <c r="G119" s="103"/>
      <c r="H119" s="103"/>
      <c r="I119" s="104"/>
      <c r="J119" s="103"/>
      <c r="K119" s="103">
        <f>1+1+1+1+1+1+1+1+1+1+1+1+1+1+1+1+2+1+1+1+1+1+1+1+1+1+1+1+1+1+1+1+1+1+1+2+1+1</f>
        <v>40</v>
      </c>
      <c r="L119" s="103">
        <f t="shared" si="17"/>
        <v>50</v>
      </c>
      <c r="M119" s="103"/>
      <c r="N119" s="103" t="s">
        <v>945</v>
      </c>
      <c r="O119" s="104">
        <f t="shared" si="18"/>
        <v>3597.5</v>
      </c>
    </row>
    <row r="120" spans="1:15" s="8" customFormat="1" ht="15.75" x14ac:dyDescent="0.25">
      <c r="A120" s="113" t="s">
        <v>348</v>
      </c>
      <c r="B120" s="102">
        <v>44193</v>
      </c>
      <c r="C120" s="26" t="s">
        <v>626</v>
      </c>
      <c r="D120" s="32">
        <v>0</v>
      </c>
      <c r="E120" s="13">
        <v>190.68</v>
      </c>
      <c r="F120" s="50">
        <f t="shared" si="14"/>
        <v>0</v>
      </c>
      <c r="G120" s="103"/>
      <c r="H120" s="103"/>
      <c r="I120" s="104"/>
      <c r="J120" s="103"/>
      <c r="K120" s="103"/>
      <c r="L120" s="103">
        <f t="shared" si="17"/>
        <v>0</v>
      </c>
      <c r="M120" s="103"/>
      <c r="N120" s="103" t="s">
        <v>946</v>
      </c>
      <c r="O120" s="104">
        <f t="shared" si="18"/>
        <v>0</v>
      </c>
    </row>
    <row r="121" spans="1:15" s="92" customFormat="1" x14ac:dyDescent="0.3">
      <c r="A121" s="113" t="s">
        <v>349</v>
      </c>
      <c r="B121" s="102">
        <v>44678</v>
      </c>
      <c r="C121" s="26" t="s">
        <v>621</v>
      </c>
      <c r="D121" s="32">
        <v>1</v>
      </c>
      <c r="E121" s="13">
        <v>3800</v>
      </c>
      <c r="F121" s="50">
        <f t="shared" si="14"/>
        <v>3800</v>
      </c>
      <c r="G121" s="124">
        <v>44851</v>
      </c>
      <c r="H121" s="125">
        <v>20</v>
      </c>
      <c r="I121" s="126">
        <v>1187.08</v>
      </c>
      <c r="J121" s="127">
        <f>+H121*I121</f>
        <v>23741.599999999999</v>
      </c>
      <c r="K121" s="103">
        <v>2</v>
      </c>
      <c r="L121" s="103">
        <f t="shared" si="17"/>
        <v>19</v>
      </c>
      <c r="M121" s="103"/>
      <c r="N121" s="103" t="s">
        <v>945</v>
      </c>
      <c r="O121" s="104">
        <f>+I121*L121</f>
        <v>22554.519999999997</v>
      </c>
    </row>
    <row r="122" spans="1:15" s="92" customFormat="1" x14ac:dyDescent="0.3">
      <c r="A122" s="113" t="s">
        <v>350</v>
      </c>
      <c r="B122" s="102">
        <v>44193</v>
      </c>
      <c r="C122" s="26" t="s">
        <v>622</v>
      </c>
      <c r="D122" s="32">
        <v>0</v>
      </c>
      <c r="E122" s="13">
        <v>1400</v>
      </c>
      <c r="F122" s="50">
        <f t="shared" si="14"/>
        <v>0</v>
      </c>
      <c r="G122" s="103"/>
      <c r="H122" s="103"/>
      <c r="I122" s="104"/>
      <c r="J122" s="103"/>
      <c r="K122" s="103"/>
      <c r="L122" s="103">
        <f t="shared" si="17"/>
        <v>0</v>
      </c>
      <c r="M122" s="103"/>
      <c r="N122" s="103" t="s">
        <v>945</v>
      </c>
      <c r="O122" s="104">
        <f>+E122*L122</f>
        <v>0</v>
      </c>
    </row>
    <row r="123" spans="1:15" s="92" customFormat="1" x14ac:dyDescent="0.3">
      <c r="A123" s="113" t="s">
        <v>351</v>
      </c>
      <c r="B123" s="102">
        <v>44456</v>
      </c>
      <c r="C123" s="26" t="s">
        <v>623</v>
      </c>
      <c r="D123" s="32">
        <v>13</v>
      </c>
      <c r="E123" s="13">
        <v>1099</v>
      </c>
      <c r="F123" s="50">
        <f t="shared" si="14"/>
        <v>14287</v>
      </c>
      <c r="G123" s="103"/>
      <c r="H123" s="103"/>
      <c r="I123" s="104"/>
      <c r="J123" s="103"/>
      <c r="K123" s="103">
        <v>1</v>
      </c>
      <c r="L123" s="103">
        <f t="shared" si="17"/>
        <v>12</v>
      </c>
      <c r="M123" s="103"/>
      <c r="N123" s="103" t="s">
        <v>945</v>
      </c>
      <c r="O123" s="104">
        <f t="shared" ref="O123:O138" si="19">+E123*L123</f>
        <v>13188</v>
      </c>
    </row>
    <row r="124" spans="1:15" s="92" customFormat="1" x14ac:dyDescent="0.3">
      <c r="A124" s="113" t="s">
        <v>352</v>
      </c>
      <c r="B124" s="102">
        <v>44456</v>
      </c>
      <c r="C124" s="26" t="s">
        <v>767</v>
      </c>
      <c r="D124" s="32">
        <v>18</v>
      </c>
      <c r="E124" s="13">
        <v>4000</v>
      </c>
      <c r="F124" s="50">
        <f t="shared" si="14"/>
        <v>72000</v>
      </c>
      <c r="G124" s="103"/>
      <c r="H124" s="103"/>
      <c r="I124" s="104"/>
      <c r="J124" s="103"/>
      <c r="K124" s="103">
        <f>4+4+3</f>
        <v>11</v>
      </c>
      <c r="L124" s="103">
        <f t="shared" si="17"/>
        <v>7</v>
      </c>
      <c r="M124" s="103"/>
      <c r="N124" s="103" t="s">
        <v>945</v>
      </c>
      <c r="O124" s="104">
        <f t="shared" si="19"/>
        <v>28000</v>
      </c>
    </row>
    <row r="125" spans="1:15" s="92" customFormat="1" x14ac:dyDescent="0.3">
      <c r="A125" s="113" t="s">
        <v>353</v>
      </c>
      <c r="B125" s="102">
        <v>44193</v>
      </c>
      <c r="C125" s="26" t="s">
        <v>625</v>
      </c>
      <c r="D125" s="32">
        <v>5</v>
      </c>
      <c r="E125" s="13">
        <v>1400</v>
      </c>
      <c r="F125" s="50">
        <f t="shared" si="14"/>
        <v>7000</v>
      </c>
      <c r="G125" s="103"/>
      <c r="H125" s="103"/>
      <c r="I125" s="104"/>
      <c r="J125" s="103"/>
      <c r="K125" s="103"/>
      <c r="L125" s="103">
        <f t="shared" si="17"/>
        <v>5</v>
      </c>
      <c r="M125" s="103"/>
      <c r="N125" s="103" t="s">
        <v>945</v>
      </c>
      <c r="O125" s="104">
        <f t="shared" si="19"/>
        <v>7000</v>
      </c>
    </row>
    <row r="126" spans="1:15" s="8" customFormat="1" ht="15.75" x14ac:dyDescent="0.25">
      <c r="A126" s="113" t="s">
        <v>354</v>
      </c>
      <c r="B126" s="106" t="s">
        <v>106</v>
      </c>
      <c r="C126" s="28" t="s">
        <v>627</v>
      </c>
      <c r="D126" s="49">
        <v>100</v>
      </c>
      <c r="E126" s="52">
        <v>28</v>
      </c>
      <c r="F126" s="50">
        <f t="shared" si="14"/>
        <v>2800</v>
      </c>
      <c r="G126" s="103"/>
      <c r="H126" s="103"/>
      <c r="I126" s="104"/>
      <c r="J126" s="103"/>
      <c r="K126" s="103"/>
      <c r="L126" s="103">
        <f t="shared" si="17"/>
        <v>100</v>
      </c>
      <c r="M126" s="103"/>
      <c r="N126" s="103" t="s">
        <v>947</v>
      </c>
      <c r="O126" s="104">
        <f t="shared" si="19"/>
        <v>2800</v>
      </c>
    </row>
    <row r="127" spans="1:15" s="8" customFormat="1" ht="15.75" x14ac:dyDescent="0.25">
      <c r="A127" s="113" t="s">
        <v>355</v>
      </c>
      <c r="B127" s="106" t="s">
        <v>114</v>
      </c>
      <c r="C127" s="26" t="s">
        <v>80</v>
      </c>
      <c r="D127" s="32">
        <v>0</v>
      </c>
      <c r="E127" s="51">
        <v>85</v>
      </c>
      <c r="F127" s="50">
        <f t="shared" si="14"/>
        <v>0</v>
      </c>
      <c r="G127" s="103"/>
      <c r="H127" s="103"/>
      <c r="I127" s="104"/>
      <c r="J127" s="103"/>
      <c r="K127" s="103"/>
      <c r="L127" s="103">
        <f t="shared" si="17"/>
        <v>0</v>
      </c>
      <c r="M127" s="103"/>
      <c r="N127" s="103" t="s">
        <v>946</v>
      </c>
      <c r="O127" s="104">
        <f t="shared" si="19"/>
        <v>0</v>
      </c>
    </row>
    <row r="128" spans="1:15" s="8" customFormat="1" ht="15.75" x14ac:dyDescent="0.25">
      <c r="A128" s="113" t="s">
        <v>356</v>
      </c>
      <c r="B128" s="102">
        <v>44193</v>
      </c>
      <c r="C128" s="9" t="s">
        <v>628</v>
      </c>
      <c r="D128" s="58">
        <v>1</v>
      </c>
      <c r="E128" s="13">
        <v>550</v>
      </c>
      <c r="F128" s="50">
        <f t="shared" si="14"/>
        <v>550</v>
      </c>
      <c r="G128" s="103"/>
      <c r="H128" s="103"/>
      <c r="I128" s="104"/>
      <c r="J128" s="103"/>
      <c r="K128" s="103"/>
      <c r="L128" s="103">
        <f t="shared" si="17"/>
        <v>1</v>
      </c>
      <c r="M128" s="103"/>
      <c r="N128" s="103" t="s">
        <v>946</v>
      </c>
      <c r="O128" s="104">
        <f t="shared" si="19"/>
        <v>550</v>
      </c>
    </row>
    <row r="129" spans="1:15" s="92" customFormat="1" x14ac:dyDescent="0.3">
      <c r="A129" s="113" t="s">
        <v>357</v>
      </c>
      <c r="B129" s="102">
        <v>44193</v>
      </c>
      <c r="C129" s="9" t="s">
        <v>629</v>
      </c>
      <c r="D129" s="48">
        <v>0</v>
      </c>
      <c r="E129" s="13">
        <v>60</v>
      </c>
      <c r="F129" s="50">
        <f t="shared" si="14"/>
        <v>0</v>
      </c>
      <c r="G129" s="103"/>
      <c r="H129" s="103"/>
      <c r="I129" s="104"/>
      <c r="J129" s="103"/>
      <c r="K129" s="103"/>
      <c r="L129" s="103">
        <f t="shared" si="17"/>
        <v>0</v>
      </c>
      <c r="M129" s="103"/>
      <c r="N129" s="103" t="s">
        <v>945</v>
      </c>
      <c r="O129" s="104">
        <f t="shared" si="19"/>
        <v>0</v>
      </c>
    </row>
    <row r="130" spans="1:15" s="92" customFormat="1" x14ac:dyDescent="0.3">
      <c r="A130" s="113" t="s">
        <v>358</v>
      </c>
      <c r="B130" s="102">
        <v>44656</v>
      </c>
      <c r="C130" s="25" t="s">
        <v>631</v>
      </c>
      <c r="D130" s="32">
        <v>40</v>
      </c>
      <c r="E130" s="13">
        <v>115.53</v>
      </c>
      <c r="F130" s="50">
        <f t="shared" si="14"/>
        <v>4621.2</v>
      </c>
      <c r="G130" s="103"/>
      <c r="H130" s="103"/>
      <c r="I130" s="104"/>
      <c r="J130" s="103"/>
      <c r="K130" s="103">
        <f>2+1+2+1+1+1+1+1+1</f>
        <v>11</v>
      </c>
      <c r="L130" s="103">
        <f t="shared" si="17"/>
        <v>29</v>
      </c>
      <c r="M130" s="103"/>
      <c r="N130" s="103" t="s">
        <v>945</v>
      </c>
      <c r="O130" s="104">
        <f t="shared" si="19"/>
        <v>3350.37</v>
      </c>
    </row>
    <row r="131" spans="1:15" s="92" customFormat="1" x14ac:dyDescent="0.3">
      <c r="A131" s="113" t="s">
        <v>359</v>
      </c>
      <c r="B131" s="102">
        <v>44656</v>
      </c>
      <c r="C131" s="26" t="s">
        <v>632</v>
      </c>
      <c r="D131" s="32">
        <v>12</v>
      </c>
      <c r="E131" s="13">
        <v>128.62</v>
      </c>
      <c r="F131" s="50">
        <f t="shared" si="14"/>
        <v>1543.44</v>
      </c>
      <c r="G131" s="103"/>
      <c r="H131" s="103"/>
      <c r="I131" s="104"/>
      <c r="J131" s="103"/>
      <c r="K131" s="103"/>
      <c r="L131" s="103">
        <f t="shared" si="17"/>
        <v>12</v>
      </c>
      <c r="M131" s="103"/>
      <c r="N131" s="103" t="s">
        <v>945</v>
      </c>
      <c r="O131" s="104">
        <f t="shared" si="19"/>
        <v>1543.44</v>
      </c>
    </row>
    <row r="132" spans="1:15" s="92" customFormat="1" x14ac:dyDescent="0.3">
      <c r="A132" s="113" t="s">
        <v>360</v>
      </c>
      <c r="B132" s="102">
        <v>44659</v>
      </c>
      <c r="C132" s="26" t="s">
        <v>633</v>
      </c>
      <c r="D132" s="14">
        <v>41</v>
      </c>
      <c r="E132" s="13">
        <v>325</v>
      </c>
      <c r="F132" s="50">
        <f t="shared" si="14"/>
        <v>13325</v>
      </c>
      <c r="G132" s="103"/>
      <c r="H132" s="103"/>
      <c r="I132" s="104"/>
      <c r="J132" s="103"/>
      <c r="K132" s="103"/>
      <c r="L132" s="103">
        <f t="shared" si="17"/>
        <v>41</v>
      </c>
      <c r="M132" s="103"/>
      <c r="N132" s="103" t="s">
        <v>945</v>
      </c>
      <c r="O132" s="104">
        <f>+E132*L132</f>
        <v>13325</v>
      </c>
    </row>
    <row r="133" spans="1:15" s="8" customFormat="1" ht="15.75" x14ac:dyDescent="0.25">
      <c r="A133" s="113" t="s">
        <v>361</v>
      </c>
      <c r="B133" s="102"/>
      <c r="C133" s="25" t="s">
        <v>861</v>
      </c>
      <c r="D133" s="38">
        <f>8+48</f>
        <v>56</v>
      </c>
      <c r="E133" s="13"/>
      <c r="F133" s="50">
        <f t="shared" ref="F133:F138" si="20">+D133*E133</f>
        <v>0</v>
      </c>
      <c r="G133" s="103"/>
      <c r="H133" s="103"/>
      <c r="I133" s="104"/>
      <c r="J133" s="103"/>
      <c r="K133" s="103"/>
      <c r="L133" s="103">
        <f t="shared" si="17"/>
        <v>56</v>
      </c>
      <c r="M133" s="103"/>
      <c r="N133" s="103" t="s">
        <v>947</v>
      </c>
      <c r="O133" s="104">
        <f t="shared" si="19"/>
        <v>0</v>
      </c>
    </row>
    <row r="134" spans="1:15" s="8" customFormat="1" ht="15.75" x14ac:dyDescent="0.25">
      <c r="A134" s="113" t="s">
        <v>362</v>
      </c>
      <c r="B134" s="102"/>
      <c r="C134" s="25" t="s">
        <v>862</v>
      </c>
      <c r="D134" s="38">
        <v>74</v>
      </c>
      <c r="E134" s="13"/>
      <c r="F134" s="50">
        <f t="shared" si="20"/>
        <v>0</v>
      </c>
      <c r="G134" s="103"/>
      <c r="H134" s="103"/>
      <c r="I134" s="104"/>
      <c r="J134" s="103"/>
      <c r="K134" s="103"/>
      <c r="L134" s="103">
        <f t="shared" si="17"/>
        <v>74</v>
      </c>
      <c r="M134" s="103"/>
      <c r="N134" s="103" t="s">
        <v>947</v>
      </c>
      <c r="O134" s="104">
        <f t="shared" si="19"/>
        <v>0</v>
      </c>
    </row>
    <row r="135" spans="1:15" s="8" customFormat="1" ht="15.75" x14ac:dyDescent="0.25">
      <c r="A135" s="113" t="s">
        <v>363</v>
      </c>
      <c r="B135" s="102"/>
      <c r="C135" s="25" t="s">
        <v>863</v>
      </c>
      <c r="D135" s="38">
        <f>79+33+106</f>
        <v>218</v>
      </c>
      <c r="E135" s="13"/>
      <c r="F135" s="50">
        <f t="shared" si="20"/>
        <v>0</v>
      </c>
      <c r="G135" s="103"/>
      <c r="H135" s="103"/>
      <c r="I135" s="104"/>
      <c r="J135" s="103"/>
      <c r="K135" s="103"/>
      <c r="L135" s="103">
        <f t="shared" si="17"/>
        <v>218</v>
      </c>
      <c r="M135" s="103"/>
      <c r="N135" s="103" t="s">
        <v>947</v>
      </c>
      <c r="O135" s="104">
        <f t="shared" si="19"/>
        <v>0</v>
      </c>
    </row>
    <row r="136" spans="1:15" s="8" customFormat="1" ht="15.75" x14ac:dyDescent="0.25">
      <c r="A136" s="113" t="s">
        <v>364</v>
      </c>
      <c r="B136" s="102"/>
      <c r="C136" s="25" t="s">
        <v>864</v>
      </c>
      <c r="D136" s="38">
        <v>46</v>
      </c>
      <c r="E136" s="13"/>
      <c r="F136" s="50">
        <f t="shared" si="20"/>
        <v>0</v>
      </c>
      <c r="G136" s="103"/>
      <c r="H136" s="103"/>
      <c r="I136" s="104"/>
      <c r="J136" s="103"/>
      <c r="K136" s="103"/>
      <c r="L136" s="103">
        <f t="shared" si="17"/>
        <v>46</v>
      </c>
      <c r="M136" s="103"/>
      <c r="N136" s="103" t="s">
        <v>947</v>
      </c>
      <c r="O136" s="104">
        <f t="shared" si="19"/>
        <v>0</v>
      </c>
    </row>
    <row r="137" spans="1:15" s="8" customFormat="1" ht="15.75" x14ac:dyDescent="0.25">
      <c r="A137" s="113" t="s">
        <v>365</v>
      </c>
      <c r="B137" s="102"/>
      <c r="C137" s="25" t="s">
        <v>865</v>
      </c>
      <c r="D137" s="38">
        <v>41</v>
      </c>
      <c r="E137" s="13"/>
      <c r="F137" s="50">
        <f t="shared" si="20"/>
        <v>0</v>
      </c>
      <c r="G137" s="103"/>
      <c r="H137" s="103"/>
      <c r="I137" s="104"/>
      <c r="J137" s="103"/>
      <c r="K137" s="103"/>
      <c r="L137" s="103">
        <f t="shared" si="17"/>
        <v>41</v>
      </c>
      <c r="M137" s="103"/>
      <c r="N137" s="103" t="s">
        <v>947</v>
      </c>
      <c r="O137" s="104">
        <f t="shared" si="19"/>
        <v>0</v>
      </c>
    </row>
    <row r="138" spans="1:15" s="8" customFormat="1" ht="15.75" x14ac:dyDescent="0.25">
      <c r="A138" s="113" t="s">
        <v>366</v>
      </c>
      <c r="B138" s="102"/>
      <c r="C138" s="25" t="s">
        <v>866</v>
      </c>
      <c r="D138" s="38">
        <f>34+1</f>
        <v>35</v>
      </c>
      <c r="E138" s="13"/>
      <c r="F138" s="50">
        <f t="shared" si="20"/>
        <v>0</v>
      </c>
      <c r="G138" s="103"/>
      <c r="H138" s="103"/>
      <c r="I138" s="104"/>
      <c r="J138" s="103"/>
      <c r="K138" s="103"/>
      <c r="L138" s="103">
        <f t="shared" si="17"/>
        <v>35</v>
      </c>
      <c r="M138" s="103"/>
      <c r="N138" s="103" t="s">
        <v>947</v>
      </c>
      <c r="O138" s="104">
        <f t="shared" si="19"/>
        <v>0</v>
      </c>
    </row>
    <row r="139" spans="1:15" s="92" customFormat="1" x14ac:dyDescent="0.3">
      <c r="A139" s="113" t="s">
        <v>367</v>
      </c>
      <c r="B139" s="106" t="s">
        <v>116</v>
      </c>
      <c r="C139" s="25" t="s">
        <v>719</v>
      </c>
      <c r="D139" s="32"/>
      <c r="E139" s="51">
        <v>529</v>
      </c>
      <c r="F139" s="50">
        <f>D139*E139</f>
        <v>0</v>
      </c>
      <c r="G139" s="107">
        <v>44748</v>
      </c>
      <c r="H139" s="104">
        <f>3*6</f>
        <v>18</v>
      </c>
      <c r="I139" s="104">
        <v>161.66666666666666</v>
      </c>
      <c r="J139" s="108">
        <f>+H139*I139</f>
        <v>2910</v>
      </c>
      <c r="K139" s="103">
        <f>12+3+2+1+12</f>
        <v>30</v>
      </c>
      <c r="L139" s="103">
        <f t="shared" si="17"/>
        <v>-12</v>
      </c>
      <c r="M139" s="103"/>
      <c r="N139" s="103" t="s">
        <v>945</v>
      </c>
      <c r="O139" s="104">
        <f>+K139*I139</f>
        <v>4850</v>
      </c>
    </row>
    <row r="140" spans="1:15" s="8" customFormat="1" ht="15.75" x14ac:dyDescent="0.25">
      <c r="A140" s="113" t="s">
        <v>368</v>
      </c>
      <c r="B140" s="102">
        <v>44193</v>
      </c>
      <c r="C140" s="25" t="s">
        <v>813</v>
      </c>
      <c r="D140" s="32">
        <v>8</v>
      </c>
      <c r="E140" s="13">
        <v>1375</v>
      </c>
      <c r="F140" s="50">
        <f>D140*E140</f>
        <v>11000</v>
      </c>
      <c r="G140" s="103"/>
      <c r="H140" s="103"/>
      <c r="I140" s="104"/>
      <c r="J140" s="103"/>
      <c r="K140" s="103"/>
      <c r="L140" s="103">
        <f t="shared" si="17"/>
        <v>8</v>
      </c>
      <c r="M140" s="103"/>
      <c r="N140" s="103" t="s">
        <v>946</v>
      </c>
      <c r="O140" s="104">
        <f>+L140*E140</f>
        <v>11000</v>
      </c>
    </row>
    <row r="141" spans="1:15" s="8" customFormat="1" ht="15.75" x14ac:dyDescent="0.25">
      <c r="A141" s="113" t="s">
        <v>369</v>
      </c>
      <c r="B141" s="106" t="s">
        <v>114</v>
      </c>
      <c r="C141" s="25" t="s">
        <v>642</v>
      </c>
      <c r="D141" s="32">
        <v>8</v>
      </c>
      <c r="E141" s="13">
        <v>1375</v>
      </c>
      <c r="F141" s="50">
        <f>D141*E141</f>
        <v>11000</v>
      </c>
      <c r="G141" s="103"/>
      <c r="H141" s="103"/>
      <c r="I141" s="104"/>
      <c r="J141" s="103"/>
      <c r="K141" s="103">
        <v>1</v>
      </c>
      <c r="L141" s="103">
        <f t="shared" si="17"/>
        <v>7</v>
      </c>
      <c r="M141" s="103"/>
      <c r="N141" s="103" t="s">
        <v>946</v>
      </c>
      <c r="O141" s="104">
        <f t="shared" ref="O141:O160" si="21">+L141*E141</f>
        <v>9625</v>
      </c>
    </row>
    <row r="142" spans="1:15" s="8" customFormat="1" ht="15.75" x14ac:dyDescent="0.25">
      <c r="A142" s="113" t="s">
        <v>370</v>
      </c>
      <c r="B142" s="102"/>
      <c r="C142" s="25" t="s">
        <v>833</v>
      </c>
      <c r="D142" s="32">
        <v>7</v>
      </c>
      <c r="E142" s="13"/>
      <c r="F142" s="50"/>
      <c r="G142" s="103"/>
      <c r="H142" s="103"/>
      <c r="I142" s="104"/>
      <c r="J142" s="103"/>
      <c r="K142" s="103"/>
      <c r="L142" s="103">
        <f t="shared" si="17"/>
        <v>7</v>
      </c>
      <c r="M142" s="103"/>
      <c r="N142" s="103" t="s">
        <v>946</v>
      </c>
      <c r="O142" s="104">
        <f t="shared" si="21"/>
        <v>0</v>
      </c>
    </row>
    <row r="143" spans="1:15" s="8" customFormat="1" ht="15.75" x14ac:dyDescent="0.25">
      <c r="A143" s="113" t="s">
        <v>371</v>
      </c>
      <c r="B143" s="102">
        <v>44193</v>
      </c>
      <c r="C143" s="25" t="s">
        <v>643</v>
      </c>
      <c r="D143" s="32">
        <v>4</v>
      </c>
      <c r="E143" s="13">
        <v>1375</v>
      </c>
      <c r="F143" s="50">
        <f>D143*E143</f>
        <v>5500</v>
      </c>
      <c r="G143" s="103"/>
      <c r="H143" s="103"/>
      <c r="I143" s="104"/>
      <c r="J143" s="103"/>
      <c r="K143" s="103"/>
      <c r="L143" s="103">
        <f t="shared" si="17"/>
        <v>4</v>
      </c>
      <c r="M143" s="103"/>
      <c r="N143" s="103" t="s">
        <v>946</v>
      </c>
      <c r="O143" s="104">
        <f t="shared" si="21"/>
        <v>5500</v>
      </c>
    </row>
    <row r="144" spans="1:15" s="8" customFormat="1" ht="15.75" x14ac:dyDescent="0.25">
      <c r="A144" s="113" t="s">
        <v>372</v>
      </c>
      <c r="B144" s="106"/>
      <c r="C144" s="25" t="s">
        <v>816</v>
      </c>
      <c r="D144" s="32">
        <v>2</v>
      </c>
      <c r="E144" s="13"/>
      <c r="F144" s="50"/>
      <c r="G144" s="103"/>
      <c r="H144" s="103"/>
      <c r="I144" s="104"/>
      <c r="J144" s="103"/>
      <c r="K144" s="103"/>
      <c r="L144" s="103">
        <f t="shared" si="17"/>
        <v>2</v>
      </c>
      <c r="M144" s="103"/>
      <c r="N144" s="103" t="s">
        <v>946</v>
      </c>
      <c r="O144" s="104">
        <f t="shared" si="21"/>
        <v>0</v>
      </c>
    </row>
    <row r="145" spans="1:15" s="8" customFormat="1" ht="15.75" x14ac:dyDescent="0.25">
      <c r="A145" s="113" t="s">
        <v>373</v>
      </c>
      <c r="B145" s="102"/>
      <c r="C145" s="25" t="s">
        <v>829</v>
      </c>
      <c r="D145" s="32">
        <v>2</v>
      </c>
      <c r="E145" s="13"/>
      <c r="F145" s="50"/>
      <c r="G145" s="103"/>
      <c r="H145" s="103"/>
      <c r="I145" s="104"/>
      <c r="J145" s="103"/>
      <c r="K145" s="103"/>
      <c r="L145" s="103">
        <f t="shared" si="17"/>
        <v>2</v>
      </c>
      <c r="M145" s="103"/>
      <c r="N145" s="103" t="s">
        <v>946</v>
      </c>
      <c r="O145" s="104">
        <f t="shared" si="21"/>
        <v>0</v>
      </c>
    </row>
    <row r="146" spans="1:15" s="8" customFormat="1" ht="15.75" x14ac:dyDescent="0.25">
      <c r="A146" s="113" t="s">
        <v>374</v>
      </c>
      <c r="B146" s="106" t="s">
        <v>106</v>
      </c>
      <c r="C146" s="25" t="s">
        <v>635</v>
      </c>
      <c r="D146" s="32">
        <v>8</v>
      </c>
      <c r="E146" s="13">
        <v>1375</v>
      </c>
      <c r="F146" s="50">
        <f>D146*E146</f>
        <v>11000</v>
      </c>
      <c r="G146" s="103"/>
      <c r="H146" s="103"/>
      <c r="I146" s="104"/>
      <c r="J146" s="103"/>
      <c r="K146" s="103">
        <v>2</v>
      </c>
      <c r="L146" s="103">
        <f t="shared" si="17"/>
        <v>6</v>
      </c>
      <c r="M146" s="103"/>
      <c r="N146" s="103" t="s">
        <v>946</v>
      </c>
      <c r="O146" s="104">
        <f t="shared" si="21"/>
        <v>8250</v>
      </c>
    </row>
    <row r="147" spans="1:15" s="8" customFormat="1" ht="15.75" x14ac:dyDescent="0.25">
      <c r="A147" s="113" t="s">
        <v>375</v>
      </c>
      <c r="B147" s="106" t="s">
        <v>106</v>
      </c>
      <c r="C147" s="25" t="s">
        <v>636</v>
      </c>
      <c r="D147" s="55">
        <v>60</v>
      </c>
      <c r="E147" s="13">
        <v>1375</v>
      </c>
      <c r="F147" s="50">
        <f>D147*E147</f>
        <v>82500</v>
      </c>
      <c r="G147" s="103"/>
      <c r="H147" s="103"/>
      <c r="I147" s="104"/>
      <c r="J147" s="103"/>
      <c r="K147" s="103"/>
      <c r="L147" s="103">
        <f t="shared" si="17"/>
        <v>60</v>
      </c>
      <c r="M147" s="103"/>
      <c r="N147" s="103" t="s">
        <v>946</v>
      </c>
      <c r="O147" s="104">
        <f t="shared" si="21"/>
        <v>82500</v>
      </c>
    </row>
    <row r="148" spans="1:15" s="8" customFormat="1" ht="15.75" x14ac:dyDescent="0.25">
      <c r="A148" s="113" t="s">
        <v>376</v>
      </c>
      <c r="B148" s="102"/>
      <c r="C148" s="25" t="s">
        <v>831</v>
      </c>
      <c r="D148" s="32">
        <f>25+28</f>
        <v>53</v>
      </c>
      <c r="E148" s="13"/>
      <c r="F148" s="50"/>
      <c r="G148" s="103"/>
      <c r="H148" s="103"/>
      <c r="I148" s="104"/>
      <c r="J148" s="103"/>
      <c r="K148" s="103">
        <v>10</v>
      </c>
      <c r="L148" s="103">
        <f t="shared" si="17"/>
        <v>43</v>
      </c>
      <c r="M148" s="103"/>
      <c r="N148" s="103" t="s">
        <v>946</v>
      </c>
      <c r="O148" s="104">
        <f t="shared" si="21"/>
        <v>0</v>
      </c>
    </row>
    <row r="149" spans="1:15" s="8" customFormat="1" ht="15.75" x14ac:dyDescent="0.25">
      <c r="A149" s="113" t="s">
        <v>377</v>
      </c>
      <c r="B149" s="102"/>
      <c r="C149" s="25" t="s">
        <v>832</v>
      </c>
      <c r="D149" s="32">
        <v>5</v>
      </c>
      <c r="E149" s="13"/>
      <c r="F149" s="50"/>
      <c r="G149" s="103"/>
      <c r="H149" s="103"/>
      <c r="I149" s="104"/>
      <c r="J149" s="103"/>
      <c r="K149" s="103"/>
      <c r="L149" s="103">
        <f t="shared" si="17"/>
        <v>5</v>
      </c>
      <c r="M149" s="103"/>
      <c r="N149" s="103" t="s">
        <v>946</v>
      </c>
      <c r="O149" s="104">
        <f t="shared" si="21"/>
        <v>0</v>
      </c>
    </row>
    <row r="150" spans="1:15" s="8" customFormat="1" ht="15.75" x14ac:dyDescent="0.25">
      <c r="A150" s="113" t="s">
        <v>378</v>
      </c>
      <c r="B150" s="106" t="s">
        <v>106</v>
      </c>
      <c r="C150" s="25" t="s">
        <v>812</v>
      </c>
      <c r="D150" s="32">
        <v>3</v>
      </c>
      <c r="E150" s="13">
        <v>1180</v>
      </c>
      <c r="F150" s="50">
        <f>D150*E150</f>
        <v>3540</v>
      </c>
      <c r="G150" s="103"/>
      <c r="H150" s="103"/>
      <c r="I150" s="104"/>
      <c r="J150" s="103"/>
      <c r="K150" s="103"/>
      <c r="L150" s="103">
        <f t="shared" si="17"/>
        <v>3</v>
      </c>
      <c r="M150" s="103"/>
      <c r="N150" s="103" t="s">
        <v>946</v>
      </c>
      <c r="O150" s="104">
        <f t="shared" si="21"/>
        <v>3540</v>
      </c>
    </row>
    <row r="151" spans="1:15" s="8" customFormat="1" ht="15.75" x14ac:dyDescent="0.25">
      <c r="A151" s="113" t="s">
        <v>379</v>
      </c>
      <c r="B151" s="102">
        <v>44193</v>
      </c>
      <c r="C151" s="25" t="s">
        <v>637</v>
      </c>
      <c r="D151" s="55">
        <v>9</v>
      </c>
      <c r="E151" s="13">
        <v>1180</v>
      </c>
      <c r="F151" s="50">
        <f>D151*E151</f>
        <v>10620</v>
      </c>
      <c r="G151" s="103"/>
      <c r="H151" s="103"/>
      <c r="I151" s="104"/>
      <c r="J151" s="103"/>
      <c r="K151" s="103"/>
      <c r="L151" s="103">
        <f t="shared" si="17"/>
        <v>9</v>
      </c>
      <c r="M151" s="103"/>
      <c r="N151" s="103" t="s">
        <v>946</v>
      </c>
      <c r="O151" s="104">
        <f t="shared" si="21"/>
        <v>10620</v>
      </c>
    </row>
    <row r="152" spans="1:15" s="8" customFormat="1" ht="15.75" x14ac:dyDescent="0.25">
      <c r="A152" s="113" t="s">
        <v>380</v>
      </c>
      <c r="B152" s="102"/>
      <c r="C152" s="25" t="s">
        <v>834</v>
      </c>
      <c r="D152" s="32">
        <v>1</v>
      </c>
      <c r="E152" s="13"/>
      <c r="F152" s="50"/>
      <c r="G152" s="103"/>
      <c r="H152" s="103"/>
      <c r="I152" s="104"/>
      <c r="J152" s="103"/>
      <c r="K152" s="103"/>
      <c r="L152" s="103">
        <f t="shared" si="17"/>
        <v>1</v>
      </c>
      <c r="M152" s="103"/>
      <c r="N152" s="103" t="s">
        <v>946</v>
      </c>
      <c r="O152" s="104">
        <f t="shared" si="21"/>
        <v>0</v>
      </c>
    </row>
    <row r="153" spans="1:15" s="8" customFormat="1" ht="15.75" x14ac:dyDescent="0.25">
      <c r="A153" s="113" t="s">
        <v>381</v>
      </c>
      <c r="B153" s="106" t="s">
        <v>106</v>
      </c>
      <c r="C153" s="25" t="s">
        <v>639</v>
      </c>
      <c r="D153" s="32">
        <v>8</v>
      </c>
      <c r="E153" s="51">
        <v>1375</v>
      </c>
      <c r="F153" s="50">
        <f t="shared" ref="F153:F165" si="22">D153*E153</f>
        <v>11000</v>
      </c>
      <c r="G153" s="103"/>
      <c r="H153" s="103"/>
      <c r="I153" s="104"/>
      <c r="J153" s="103"/>
      <c r="K153" s="103"/>
      <c r="L153" s="103">
        <f t="shared" si="17"/>
        <v>8</v>
      </c>
      <c r="M153" s="103"/>
      <c r="N153" s="103" t="s">
        <v>946</v>
      </c>
      <c r="O153" s="104">
        <f t="shared" si="21"/>
        <v>11000</v>
      </c>
    </row>
    <row r="154" spans="1:15" s="8" customFormat="1" ht="15.75" x14ac:dyDescent="0.25">
      <c r="A154" s="113" t="s">
        <v>382</v>
      </c>
      <c r="B154" s="102">
        <v>44193</v>
      </c>
      <c r="C154" s="25" t="s">
        <v>638</v>
      </c>
      <c r="D154" s="32">
        <v>4</v>
      </c>
      <c r="E154" s="13">
        <v>1294.3699999999999</v>
      </c>
      <c r="F154" s="50">
        <f t="shared" si="22"/>
        <v>5177.4799999999996</v>
      </c>
      <c r="G154" s="103"/>
      <c r="H154" s="103"/>
      <c r="I154" s="104"/>
      <c r="J154" s="103"/>
      <c r="K154" s="103"/>
      <c r="L154" s="103">
        <f t="shared" si="17"/>
        <v>4</v>
      </c>
      <c r="M154" s="103"/>
      <c r="N154" s="103" t="s">
        <v>946</v>
      </c>
      <c r="O154" s="104">
        <f t="shared" si="21"/>
        <v>5177.4799999999996</v>
      </c>
    </row>
    <row r="155" spans="1:15" s="8" customFormat="1" ht="15.75" x14ac:dyDescent="0.25">
      <c r="A155" s="113" t="s">
        <v>383</v>
      </c>
      <c r="B155" s="106" t="s">
        <v>114</v>
      </c>
      <c r="C155" s="25" t="s">
        <v>640</v>
      </c>
      <c r="D155" s="32">
        <v>4</v>
      </c>
      <c r="E155" s="52">
        <v>2600</v>
      </c>
      <c r="F155" s="50">
        <f t="shared" si="22"/>
        <v>10400</v>
      </c>
      <c r="G155" s="103"/>
      <c r="H155" s="103"/>
      <c r="I155" s="104"/>
      <c r="J155" s="103"/>
      <c r="K155" s="103"/>
      <c r="L155" s="103">
        <f t="shared" si="17"/>
        <v>4</v>
      </c>
      <c r="M155" s="103"/>
      <c r="N155" s="103" t="s">
        <v>946</v>
      </c>
      <c r="O155" s="104">
        <f>+L155*E155</f>
        <v>10400</v>
      </c>
    </row>
    <row r="156" spans="1:15" s="8" customFormat="1" ht="15.75" x14ac:dyDescent="0.25">
      <c r="A156" s="113" t="s">
        <v>384</v>
      </c>
      <c r="B156" s="102">
        <v>44193</v>
      </c>
      <c r="C156" s="25" t="s">
        <v>830</v>
      </c>
      <c r="D156" s="32">
        <v>2</v>
      </c>
      <c r="E156" s="13">
        <v>2600</v>
      </c>
      <c r="F156" s="50">
        <f t="shared" si="22"/>
        <v>5200</v>
      </c>
      <c r="G156" s="103"/>
      <c r="H156" s="103"/>
      <c r="I156" s="104"/>
      <c r="J156" s="103"/>
      <c r="K156" s="103">
        <v>2</v>
      </c>
      <c r="L156" s="103">
        <f t="shared" si="17"/>
        <v>0</v>
      </c>
      <c r="M156" s="103"/>
      <c r="N156" s="103" t="s">
        <v>946</v>
      </c>
      <c r="O156" s="104">
        <f t="shared" si="21"/>
        <v>0</v>
      </c>
    </row>
    <row r="157" spans="1:15" s="105" customFormat="1" ht="15.75" x14ac:dyDescent="0.25">
      <c r="A157" s="113" t="s">
        <v>385</v>
      </c>
      <c r="B157" s="102">
        <v>44193</v>
      </c>
      <c r="C157" s="9" t="s">
        <v>951</v>
      </c>
      <c r="D157" s="58">
        <v>46</v>
      </c>
      <c r="E157" s="13">
        <v>4.55</v>
      </c>
      <c r="F157" s="50">
        <f t="shared" si="22"/>
        <v>209.29999999999998</v>
      </c>
      <c r="G157" s="107">
        <v>44852</v>
      </c>
      <c r="H157" s="103">
        <f>10*100</f>
        <v>1000</v>
      </c>
      <c r="I157" s="104">
        <v>5.07</v>
      </c>
      <c r="J157" s="108">
        <f>+H157*I157</f>
        <v>5070</v>
      </c>
      <c r="K157" s="103">
        <f>12+100+15</f>
        <v>127</v>
      </c>
      <c r="L157" s="103">
        <f t="shared" si="17"/>
        <v>919</v>
      </c>
      <c r="M157" s="103" t="s">
        <v>1037</v>
      </c>
      <c r="N157" s="103" t="s">
        <v>947</v>
      </c>
      <c r="O157" s="104">
        <f>+L157*I157</f>
        <v>4659.33</v>
      </c>
    </row>
    <row r="158" spans="1:15" s="8" customFormat="1" ht="15.75" x14ac:dyDescent="0.25">
      <c r="A158" s="113" t="s">
        <v>386</v>
      </c>
      <c r="B158" s="102">
        <v>44193</v>
      </c>
      <c r="C158" s="9" t="s">
        <v>647</v>
      </c>
      <c r="D158" s="58">
        <v>15</v>
      </c>
      <c r="E158" s="13">
        <v>4.55</v>
      </c>
      <c r="F158" s="50">
        <f t="shared" si="22"/>
        <v>68.25</v>
      </c>
      <c r="G158" s="103"/>
      <c r="H158" s="103"/>
      <c r="I158" s="104"/>
      <c r="J158" s="103"/>
      <c r="K158" s="103"/>
      <c r="L158" s="103">
        <f t="shared" si="17"/>
        <v>15</v>
      </c>
      <c r="M158" s="103"/>
      <c r="N158" s="103" t="s">
        <v>947</v>
      </c>
      <c r="O158" s="104">
        <f t="shared" si="21"/>
        <v>68.25</v>
      </c>
    </row>
    <row r="159" spans="1:15" s="8" customFormat="1" ht="15.75" x14ac:dyDescent="0.25">
      <c r="A159" s="113" t="s">
        <v>387</v>
      </c>
      <c r="B159" s="102">
        <v>44193</v>
      </c>
      <c r="C159" s="26" t="s">
        <v>645</v>
      </c>
      <c r="D159" s="58">
        <v>820</v>
      </c>
      <c r="E159" s="13">
        <v>7.5</v>
      </c>
      <c r="F159" s="50">
        <f t="shared" si="22"/>
        <v>6150</v>
      </c>
      <c r="G159" s="103"/>
      <c r="H159" s="103"/>
      <c r="I159" s="104"/>
      <c r="J159" s="103"/>
      <c r="K159" s="103"/>
      <c r="L159" s="103">
        <f t="shared" si="17"/>
        <v>820</v>
      </c>
      <c r="M159" s="103"/>
      <c r="N159" s="103" t="s">
        <v>947</v>
      </c>
      <c r="O159" s="104">
        <f t="shared" si="21"/>
        <v>6150</v>
      </c>
    </row>
    <row r="160" spans="1:15" s="92" customFormat="1" x14ac:dyDescent="0.3">
      <c r="A160" s="113" t="s">
        <v>388</v>
      </c>
      <c r="B160" s="102">
        <v>44659</v>
      </c>
      <c r="C160" s="26" t="s">
        <v>854</v>
      </c>
      <c r="D160" s="30">
        <f>30*100</f>
        <v>3000</v>
      </c>
      <c r="E160" s="13">
        <v>3.4</v>
      </c>
      <c r="F160" s="50">
        <f t="shared" si="22"/>
        <v>10200</v>
      </c>
      <c r="G160" s="103"/>
      <c r="H160" s="103"/>
      <c r="I160" s="104"/>
      <c r="J160" s="103"/>
      <c r="K160" s="103"/>
      <c r="L160" s="103">
        <f t="shared" si="17"/>
        <v>3000</v>
      </c>
      <c r="M160" s="103"/>
      <c r="N160" s="103" t="s">
        <v>945</v>
      </c>
      <c r="O160" s="104">
        <f t="shared" si="21"/>
        <v>10200</v>
      </c>
    </row>
    <row r="161" spans="1:15" s="92" customFormat="1" x14ac:dyDescent="0.3">
      <c r="A161" s="113" t="s">
        <v>389</v>
      </c>
      <c r="B161" s="102">
        <v>44453</v>
      </c>
      <c r="C161" s="9" t="s">
        <v>648</v>
      </c>
      <c r="D161" s="30">
        <v>1100</v>
      </c>
      <c r="E161" s="13">
        <v>2.59</v>
      </c>
      <c r="F161" s="50">
        <f t="shared" si="22"/>
        <v>2849</v>
      </c>
      <c r="G161" s="107">
        <v>44778</v>
      </c>
      <c r="H161" s="109">
        <f>20*100</f>
        <v>2000</v>
      </c>
      <c r="I161" s="104">
        <f>3.4+0.612</f>
        <v>4.0119999999999996</v>
      </c>
      <c r="J161" s="108">
        <f>+H161*I161</f>
        <v>8023.9999999999991</v>
      </c>
      <c r="K161" s="103">
        <f>100+25+100</f>
        <v>225</v>
      </c>
      <c r="L161" s="103">
        <f t="shared" si="17"/>
        <v>2875</v>
      </c>
      <c r="M161" s="103" t="s">
        <v>943</v>
      </c>
      <c r="N161" s="103" t="s">
        <v>945</v>
      </c>
      <c r="O161" s="104">
        <f>+L161*I161</f>
        <v>11534.499999999998</v>
      </c>
    </row>
    <row r="162" spans="1:15" s="92" customFormat="1" x14ac:dyDescent="0.3">
      <c r="A162" s="113" t="s">
        <v>390</v>
      </c>
      <c r="B162" s="102">
        <v>44659</v>
      </c>
      <c r="C162" s="25" t="s">
        <v>855</v>
      </c>
      <c r="D162" s="38">
        <f>25*100</f>
        <v>2500</v>
      </c>
      <c r="E162" s="13">
        <v>4.3499999999999996</v>
      </c>
      <c r="F162" s="50">
        <f t="shared" si="22"/>
        <v>10875</v>
      </c>
      <c r="G162" s="107">
        <v>44778</v>
      </c>
      <c r="H162" s="109">
        <f>10*100</f>
        <v>1000</v>
      </c>
      <c r="I162" s="104">
        <v>4.8899999999999997</v>
      </c>
      <c r="J162" s="108">
        <f>+H162*I162</f>
        <v>4890</v>
      </c>
      <c r="K162" s="103"/>
      <c r="L162" s="103">
        <f t="shared" si="17"/>
        <v>3500</v>
      </c>
      <c r="M162" s="103" t="s">
        <v>943</v>
      </c>
      <c r="N162" s="103" t="s">
        <v>945</v>
      </c>
      <c r="O162" s="104">
        <f>+L162*I162</f>
        <v>17115</v>
      </c>
    </row>
    <row r="163" spans="1:15" s="92" customFormat="1" x14ac:dyDescent="0.3">
      <c r="A163" s="113" t="s">
        <v>391</v>
      </c>
      <c r="B163" s="102">
        <v>44659</v>
      </c>
      <c r="C163" s="25" t="s">
        <v>651</v>
      </c>
      <c r="D163" s="38">
        <f>60*100</f>
        <v>6000</v>
      </c>
      <c r="E163" s="13">
        <v>6.95</v>
      </c>
      <c r="F163" s="50">
        <f t="shared" si="22"/>
        <v>41700</v>
      </c>
      <c r="G163" s="103"/>
      <c r="H163" s="103"/>
      <c r="I163" s="104"/>
      <c r="J163" s="103"/>
      <c r="K163" s="103">
        <f>100+100</f>
        <v>200</v>
      </c>
      <c r="L163" s="103">
        <f t="shared" si="17"/>
        <v>5800</v>
      </c>
      <c r="M163" s="103"/>
      <c r="N163" s="103" t="s">
        <v>945</v>
      </c>
      <c r="O163" s="104">
        <f>+E163*L163</f>
        <v>40310</v>
      </c>
    </row>
    <row r="164" spans="1:15" s="92" customFormat="1" x14ac:dyDescent="0.3">
      <c r="A164" s="113" t="s">
        <v>392</v>
      </c>
      <c r="B164" s="102">
        <v>44659</v>
      </c>
      <c r="C164" s="25" t="s">
        <v>652</v>
      </c>
      <c r="D164" s="38">
        <f>30*100</f>
        <v>3000</v>
      </c>
      <c r="E164" s="13">
        <v>6.5</v>
      </c>
      <c r="F164" s="50">
        <f t="shared" si="22"/>
        <v>19500</v>
      </c>
      <c r="G164" s="103"/>
      <c r="H164" s="103"/>
      <c r="I164" s="104"/>
      <c r="J164" s="103"/>
      <c r="K164" s="103">
        <v>500</v>
      </c>
      <c r="L164" s="103">
        <f t="shared" si="17"/>
        <v>2500</v>
      </c>
      <c r="M164" s="103"/>
      <c r="N164" s="103" t="s">
        <v>945</v>
      </c>
      <c r="O164" s="104">
        <f t="shared" ref="O164:O227" si="23">+E164*L164</f>
        <v>16250</v>
      </c>
    </row>
    <row r="165" spans="1:15" s="92" customFormat="1" x14ac:dyDescent="0.3">
      <c r="A165" s="113" t="s">
        <v>393</v>
      </c>
      <c r="B165" s="102">
        <v>44193</v>
      </c>
      <c r="C165" s="26" t="s">
        <v>786</v>
      </c>
      <c r="D165" s="32">
        <f>4+8</f>
        <v>12</v>
      </c>
      <c r="E165" s="13">
        <v>150</v>
      </c>
      <c r="F165" s="50">
        <f t="shared" si="22"/>
        <v>1800</v>
      </c>
      <c r="G165" s="103"/>
      <c r="H165" s="103"/>
      <c r="I165" s="104"/>
      <c r="J165" s="103"/>
      <c r="K165" s="103"/>
      <c r="L165" s="103">
        <f t="shared" si="17"/>
        <v>12</v>
      </c>
      <c r="M165" s="103"/>
      <c r="N165" s="103" t="s">
        <v>945</v>
      </c>
      <c r="O165" s="104">
        <f t="shared" si="23"/>
        <v>1800</v>
      </c>
    </row>
    <row r="166" spans="1:15" s="8" customFormat="1" ht="15.75" x14ac:dyDescent="0.25">
      <c r="A166" s="113" t="s">
        <v>394</v>
      </c>
      <c r="B166" s="102"/>
      <c r="C166" s="25" t="s">
        <v>827</v>
      </c>
      <c r="D166" s="38">
        <v>2</v>
      </c>
      <c r="E166" s="13"/>
      <c r="F166" s="50"/>
      <c r="G166" s="103"/>
      <c r="H166" s="103"/>
      <c r="I166" s="104"/>
      <c r="J166" s="103"/>
      <c r="K166" s="103"/>
      <c r="L166" s="103">
        <f t="shared" si="17"/>
        <v>2</v>
      </c>
      <c r="M166" s="103"/>
      <c r="N166" s="103" t="s">
        <v>946</v>
      </c>
      <c r="O166" s="104">
        <f t="shared" si="23"/>
        <v>0</v>
      </c>
    </row>
    <row r="167" spans="1:15" s="8" customFormat="1" ht="15.75" x14ac:dyDescent="0.25">
      <c r="A167" s="113" t="s">
        <v>395</v>
      </c>
      <c r="B167" s="102"/>
      <c r="C167" s="25" t="s">
        <v>828</v>
      </c>
      <c r="D167" s="38">
        <v>1</v>
      </c>
      <c r="E167" s="13"/>
      <c r="F167" s="50"/>
      <c r="G167" s="103"/>
      <c r="H167" s="103"/>
      <c r="I167" s="104"/>
      <c r="J167" s="103"/>
      <c r="K167" s="103"/>
      <c r="L167" s="103">
        <f t="shared" si="17"/>
        <v>1</v>
      </c>
      <c r="M167" s="103"/>
      <c r="N167" s="103" t="s">
        <v>946</v>
      </c>
      <c r="O167" s="104">
        <f t="shared" si="23"/>
        <v>0</v>
      </c>
    </row>
    <row r="168" spans="1:15" s="92" customFormat="1" x14ac:dyDescent="0.3">
      <c r="A168" s="113" t="s">
        <v>396</v>
      </c>
      <c r="B168" s="102">
        <v>44193</v>
      </c>
      <c r="C168" s="25" t="s">
        <v>653</v>
      </c>
      <c r="D168" s="38">
        <v>50</v>
      </c>
      <c r="E168" s="13">
        <v>575</v>
      </c>
      <c r="F168" s="50">
        <f t="shared" ref="F168:F198" si="24">D168*E168</f>
        <v>28750</v>
      </c>
      <c r="G168" s="103"/>
      <c r="H168" s="103"/>
      <c r="I168" s="104"/>
      <c r="J168" s="103"/>
      <c r="K168" s="103">
        <f>1+1</f>
        <v>2</v>
      </c>
      <c r="L168" s="103">
        <f t="shared" si="17"/>
        <v>48</v>
      </c>
      <c r="M168" s="103"/>
      <c r="N168" s="103" t="s">
        <v>945</v>
      </c>
      <c r="O168" s="104">
        <f t="shared" si="23"/>
        <v>27600</v>
      </c>
    </row>
    <row r="169" spans="1:15" s="105" customFormat="1" ht="15.75" x14ac:dyDescent="0.25">
      <c r="A169" s="113" t="s">
        <v>397</v>
      </c>
      <c r="B169" s="102">
        <v>44193</v>
      </c>
      <c r="C169" s="26" t="s">
        <v>655</v>
      </c>
      <c r="D169" s="32">
        <v>20</v>
      </c>
      <c r="E169" s="13">
        <v>25</v>
      </c>
      <c r="F169" s="50">
        <f t="shared" si="24"/>
        <v>500</v>
      </c>
      <c r="G169" s="107">
        <v>44851</v>
      </c>
      <c r="H169" s="103">
        <v>20</v>
      </c>
      <c r="I169" s="104">
        <v>8.08</v>
      </c>
      <c r="J169" s="103">
        <f>+I169*H169</f>
        <v>161.6</v>
      </c>
      <c r="K169" s="103">
        <v>3</v>
      </c>
      <c r="L169" s="103">
        <f t="shared" si="17"/>
        <v>37</v>
      </c>
      <c r="M169" s="103" t="s">
        <v>1037</v>
      </c>
      <c r="N169" s="103" t="s">
        <v>947</v>
      </c>
      <c r="O169" s="104">
        <f>+L169*I169</f>
        <v>298.95999999999998</v>
      </c>
    </row>
    <row r="170" spans="1:15" s="8" customFormat="1" ht="15.75" x14ac:dyDescent="0.25">
      <c r="A170" s="113" t="s">
        <v>398</v>
      </c>
      <c r="B170" s="102">
        <v>44193</v>
      </c>
      <c r="C170" s="9" t="s">
        <v>656</v>
      </c>
      <c r="D170" s="32">
        <v>15</v>
      </c>
      <c r="E170" s="13">
        <v>275</v>
      </c>
      <c r="F170" s="50">
        <f t="shared" si="24"/>
        <v>4125</v>
      </c>
      <c r="G170" s="103"/>
      <c r="H170" s="103"/>
      <c r="I170" s="104"/>
      <c r="J170" s="103"/>
      <c r="K170" s="103">
        <f>1+3</f>
        <v>4</v>
      </c>
      <c r="L170" s="103">
        <f t="shared" si="17"/>
        <v>11</v>
      </c>
      <c r="M170" s="103"/>
      <c r="N170" s="103" t="s">
        <v>947</v>
      </c>
      <c r="O170" s="104">
        <f t="shared" si="23"/>
        <v>3025</v>
      </c>
    </row>
    <row r="171" spans="1:15" s="8" customFormat="1" ht="15.75" x14ac:dyDescent="0.25">
      <c r="A171" s="113" t="s">
        <v>399</v>
      </c>
      <c r="B171" s="102">
        <v>44193</v>
      </c>
      <c r="C171" s="9" t="s">
        <v>658</v>
      </c>
      <c r="D171" s="30">
        <v>2</v>
      </c>
      <c r="E171" s="13">
        <v>50</v>
      </c>
      <c r="F171" s="50">
        <f t="shared" si="24"/>
        <v>100</v>
      </c>
      <c r="G171" s="103"/>
      <c r="H171" s="103"/>
      <c r="I171" s="104"/>
      <c r="J171" s="103"/>
      <c r="K171" s="103"/>
      <c r="L171" s="103">
        <f t="shared" si="17"/>
        <v>2</v>
      </c>
      <c r="M171" s="103"/>
      <c r="N171" s="103" t="s">
        <v>947</v>
      </c>
      <c r="O171" s="104">
        <f t="shared" si="23"/>
        <v>100</v>
      </c>
    </row>
    <row r="172" spans="1:15" s="8" customFormat="1" ht="15.75" x14ac:dyDescent="0.25">
      <c r="A172" s="113" t="s">
        <v>400</v>
      </c>
      <c r="B172" s="102">
        <v>44193</v>
      </c>
      <c r="C172" s="9" t="s">
        <v>657</v>
      </c>
      <c r="D172" s="30">
        <f>20+9</f>
        <v>29</v>
      </c>
      <c r="E172" s="13">
        <v>50</v>
      </c>
      <c r="F172" s="50">
        <f t="shared" si="24"/>
        <v>1450</v>
      </c>
      <c r="G172" s="103"/>
      <c r="H172" s="103"/>
      <c r="I172" s="104"/>
      <c r="J172" s="103"/>
      <c r="K172" s="103">
        <v>1</v>
      </c>
      <c r="L172" s="103">
        <f t="shared" si="17"/>
        <v>28</v>
      </c>
      <c r="M172" s="103"/>
      <c r="N172" s="103" t="s">
        <v>947</v>
      </c>
      <c r="O172" s="104">
        <f t="shared" si="23"/>
        <v>1400</v>
      </c>
    </row>
    <row r="173" spans="1:15" s="92" customFormat="1" x14ac:dyDescent="0.3">
      <c r="A173" s="113" t="s">
        <v>401</v>
      </c>
      <c r="B173" s="102">
        <v>44193</v>
      </c>
      <c r="C173" s="26" t="s">
        <v>660</v>
      </c>
      <c r="D173" s="30">
        <v>35</v>
      </c>
      <c r="E173" s="13">
        <v>7</v>
      </c>
      <c r="F173" s="50">
        <f t="shared" si="24"/>
        <v>245</v>
      </c>
      <c r="G173" s="103"/>
      <c r="H173" s="103"/>
      <c r="I173" s="104"/>
      <c r="J173" s="103"/>
      <c r="K173" s="103"/>
      <c r="L173" s="103">
        <f t="shared" si="17"/>
        <v>35</v>
      </c>
      <c r="M173" s="103"/>
      <c r="N173" s="103" t="s">
        <v>945</v>
      </c>
      <c r="O173" s="104">
        <f t="shared" si="23"/>
        <v>245</v>
      </c>
    </row>
    <row r="174" spans="1:15" s="92" customFormat="1" x14ac:dyDescent="0.3">
      <c r="A174" s="113" t="s">
        <v>402</v>
      </c>
      <c r="B174" s="102">
        <v>44193</v>
      </c>
      <c r="C174" s="26" t="s">
        <v>659</v>
      </c>
      <c r="D174" s="30">
        <v>34</v>
      </c>
      <c r="E174" s="13">
        <v>125</v>
      </c>
      <c r="F174" s="50">
        <f t="shared" si="24"/>
        <v>4250</v>
      </c>
      <c r="G174" s="103"/>
      <c r="H174" s="103"/>
      <c r="I174" s="104"/>
      <c r="J174" s="103"/>
      <c r="K174" s="103">
        <v>1</v>
      </c>
      <c r="L174" s="103">
        <f t="shared" si="17"/>
        <v>33</v>
      </c>
      <c r="M174" s="103"/>
      <c r="N174" s="103" t="s">
        <v>945</v>
      </c>
      <c r="O174" s="104">
        <f t="shared" si="23"/>
        <v>4125</v>
      </c>
    </row>
    <row r="175" spans="1:15" s="92" customFormat="1" x14ac:dyDescent="0.3">
      <c r="A175" s="113" t="s">
        <v>403</v>
      </c>
      <c r="B175" s="102">
        <v>44193</v>
      </c>
      <c r="C175" s="26" t="s">
        <v>661</v>
      </c>
      <c r="D175" s="30">
        <v>106</v>
      </c>
      <c r="E175" s="13">
        <v>7</v>
      </c>
      <c r="F175" s="50">
        <f t="shared" si="24"/>
        <v>742</v>
      </c>
      <c r="G175" s="103"/>
      <c r="H175" s="103"/>
      <c r="I175" s="104"/>
      <c r="J175" s="103"/>
      <c r="K175" s="103">
        <v>3</v>
      </c>
      <c r="L175" s="103">
        <f t="shared" si="17"/>
        <v>103</v>
      </c>
      <c r="M175" s="103"/>
      <c r="N175" s="103" t="s">
        <v>945</v>
      </c>
      <c r="O175" s="104">
        <f t="shared" si="23"/>
        <v>721</v>
      </c>
    </row>
    <row r="176" spans="1:15" s="92" customFormat="1" x14ac:dyDescent="0.3">
      <c r="A176" s="113" t="s">
        <v>404</v>
      </c>
      <c r="B176" s="102">
        <v>44456</v>
      </c>
      <c r="C176" s="26" t="s">
        <v>662</v>
      </c>
      <c r="D176" s="30">
        <v>27</v>
      </c>
      <c r="E176" s="13">
        <v>7</v>
      </c>
      <c r="F176" s="50">
        <f t="shared" si="24"/>
        <v>189</v>
      </c>
      <c r="G176" s="103"/>
      <c r="H176" s="103"/>
      <c r="I176" s="104"/>
      <c r="J176" s="103"/>
      <c r="K176" s="103"/>
      <c r="L176" s="103">
        <f t="shared" ref="L176:L239" si="25">+D176+H176-K176</f>
        <v>27</v>
      </c>
      <c r="M176" s="103"/>
      <c r="N176" s="103" t="s">
        <v>945</v>
      </c>
      <c r="O176" s="104">
        <f t="shared" si="23"/>
        <v>189</v>
      </c>
    </row>
    <row r="177" spans="1:15" s="8" customFormat="1" ht="15.75" x14ac:dyDescent="0.25">
      <c r="A177" s="113" t="s">
        <v>405</v>
      </c>
      <c r="B177" s="102">
        <v>44193</v>
      </c>
      <c r="C177" s="26" t="s">
        <v>800</v>
      </c>
      <c r="D177" s="32">
        <f>6+6</f>
        <v>12</v>
      </c>
      <c r="E177" s="13">
        <v>135</v>
      </c>
      <c r="F177" s="50">
        <f t="shared" si="24"/>
        <v>1620</v>
      </c>
      <c r="G177" s="103"/>
      <c r="H177" s="103"/>
      <c r="I177" s="104"/>
      <c r="J177" s="103"/>
      <c r="K177" s="103"/>
      <c r="L177" s="103">
        <f t="shared" si="25"/>
        <v>12</v>
      </c>
      <c r="M177" s="103"/>
      <c r="N177" s="103" t="s">
        <v>946</v>
      </c>
      <c r="O177" s="104">
        <f t="shared" si="23"/>
        <v>1620</v>
      </c>
    </row>
    <row r="178" spans="1:15" s="8" customFormat="1" ht="15.75" x14ac:dyDescent="0.25">
      <c r="A178" s="113" t="s">
        <v>406</v>
      </c>
      <c r="B178" s="102">
        <v>44193</v>
      </c>
      <c r="C178" s="26" t="s">
        <v>663</v>
      </c>
      <c r="D178" s="55">
        <v>42</v>
      </c>
      <c r="E178" s="13">
        <v>115</v>
      </c>
      <c r="F178" s="50">
        <f t="shared" si="24"/>
        <v>4830</v>
      </c>
      <c r="G178" s="103"/>
      <c r="H178" s="103"/>
      <c r="I178" s="104"/>
      <c r="J178" s="103"/>
      <c r="K178" s="103"/>
      <c r="L178" s="103">
        <f t="shared" si="25"/>
        <v>42</v>
      </c>
      <c r="M178" s="103"/>
      <c r="N178" s="103" t="s">
        <v>946</v>
      </c>
      <c r="O178" s="104">
        <f t="shared" si="23"/>
        <v>4830</v>
      </c>
    </row>
    <row r="179" spans="1:15" s="92" customFormat="1" x14ac:dyDescent="0.3">
      <c r="A179" s="113" t="s">
        <v>407</v>
      </c>
      <c r="B179" s="102">
        <v>44656</v>
      </c>
      <c r="C179" s="26" t="s">
        <v>768</v>
      </c>
      <c r="D179" s="32">
        <v>104</v>
      </c>
      <c r="E179" s="13">
        <v>636.6</v>
      </c>
      <c r="F179" s="50">
        <f t="shared" si="24"/>
        <v>66206.400000000009</v>
      </c>
      <c r="G179" s="107">
        <v>44903</v>
      </c>
      <c r="H179" s="103">
        <f>20*4</f>
        <v>80</v>
      </c>
      <c r="I179" s="104">
        <v>154.58000000000001</v>
      </c>
      <c r="J179" s="108">
        <f>+H179*I179</f>
        <v>12366.400000000001</v>
      </c>
      <c r="K179" s="103">
        <v>12</v>
      </c>
      <c r="L179" s="103">
        <f t="shared" si="25"/>
        <v>172</v>
      </c>
      <c r="M179" s="103"/>
      <c r="N179" s="103" t="s">
        <v>945</v>
      </c>
      <c r="O179" s="104">
        <f>+L179*I179</f>
        <v>26587.760000000002</v>
      </c>
    </row>
    <row r="180" spans="1:15" s="92" customFormat="1" x14ac:dyDescent="0.3">
      <c r="A180" s="113" t="s">
        <v>408</v>
      </c>
      <c r="B180" s="102">
        <v>44656</v>
      </c>
      <c r="C180" s="25" t="s">
        <v>769</v>
      </c>
      <c r="D180" s="32">
        <v>74</v>
      </c>
      <c r="E180" s="13">
        <v>115.48</v>
      </c>
      <c r="F180" s="50">
        <f t="shared" si="24"/>
        <v>8545.52</v>
      </c>
      <c r="G180" s="107">
        <v>44903</v>
      </c>
      <c r="H180" s="103">
        <f>4*20</f>
        <v>80</v>
      </c>
      <c r="I180" s="104">
        <v>172.13</v>
      </c>
      <c r="J180" s="108">
        <f>+H180*I180</f>
        <v>13770.4</v>
      </c>
      <c r="K180" s="103">
        <v>22</v>
      </c>
      <c r="L180" s="103">
        <f>+D180+H180-K180</f>
        <v>132</v>
      </c>
      <c r="M180" s="103" t="s">
        <v>1006</v>
      </c>
      <c r="N180" s="103" t="s">
        <v>945</v>
      </c>
      <c r="O180" s="104">
        <f>+L180*I180</f>
        <v>22721.16</v>
      </c>
    </row>
    <row r="181" spans="1:15" s="8" customFormat="1" ht="15.75" x14ac:dyDescent="0.25">
      <c r="A181" s="113" t="s">
        <v>409</v>
      </c>
      <c r="B181" s="102">
        <v>44193</v>
      </c>
      <c r="C181" s="25" t="s">
        <v>796</v>
      </c>
      <c r="D181" s="38">
        <v>3</v>
      </c>
      <c r="E181" s="13">
        <v>352</v>
      </c>
      <c r="F181" s="50">
        <f t="shared" si="24"/>
        <v>1056</v>
      </c>
      <c r="G181" s="103"/>
      <c r="H181" s="103"/>
      <c r="I181" s="104"/>
      <c r="J181" s="103"/>
      <c r="K181" s="103"/>
      <c r="L181" s="103">
        <f t="shared" si="25"/>
        <v>3</v>
      </c>
      <c r="M181" s="103"/>
      <c r="N181" s="103" t="s">
        <v>946</v>
      </c>
      <c r="O181" s="104">
        <f>+E181*L181</f>
        <v>1056</v>
      </c>
    </row>
    <row r="182" spans="1:15" s="8" customFormat="1" ht="15.75" x14ac:dyDescent="0.25">
      <c r="A182" s="113" t="s">
        <v>410</v>
      </c>
      <c r="B182" s="102">
        <v>44193</v>
      </c>
      <c r="C182" s="25" t="s">
        <v>670</v>
      </c>
      <c r="D182" s="55">
        <f>38+19</f>
        <v>57</v>
      </c>
      <c r="E182" s="13">
        <v>67.8</v>
      </c>
      <c r="F182" s="50">
        <f t="shared" si="24"/>
        <v>3864.6</v>
      </c>
      <c r="G182" s="103"/>
      <c r="H182" s="103"/>
      <c r="I182" s="104"/>
      <c r="J182" s="103"/>
      <c r="K182" s="103"/>
      <c r="L182" s="103">
        <f t="shared" si="25"/>
        <v>57</v>
      </c>
      <c r="M182" s="103"/>
      <c r="N182" s="103" t="s">
        <v>946</v>
      </c>
      <c r="O182" s="104">
        <f t="shared" si="23"/>
        <v>3864.6</v>
      </c>
    </row>
    <row r="183" spans="1:15" s="8" customFormat="1" ht="15.75" x14ac:dyDescent="0.25">
      <c r="A183" s="113" t="s">
        <v>411</v>
      </c>
      <c r="B183" s="102">
        <v>44193</v>
      </c>
      <c r="C183" s="25" t="s">
        <v>671</v>
      </c>
      <c r="D183" s="55">
        <f>19+19</f>
        <v>38</v>
      </c>
      <c r="E183" s="13">
        <v>67.8</v>
      </c>
      <c r="F183" s="50">
        <f t="shared" si="24"/>
        <v>2576.4</v>
      </c>
      <c r="G183" s="103"/>
      <c r="H183" s="103"/>
      <c r="I183" s="104"/>
      <c r="J183" s="103"/>
      <c r="K183" s="103"/>
      <c r="L183" s="103">
        <f t="shared" si="25"/>
        <v>38</v>
      </c>
      <c r="M183" s="103"/>
      <c r="N183" s="103" t="s">
        <v>946</v>
      </c>
      <c r="O183" s="104">
        <f t="shared" si="23"/>
        <v>2576.4</v>
      </c>
    </row>
    <row r="184" spans="1:15" s="8" customFormat="1" ht="15.75" x14ac:dyDescent="0.25">
      <c r="A184" s="113" t="s">
        <v>412</v>
      </c>
      <c r="B184" s="102">
        <v>44193</v>
      </c>
      <c r="C184" s="25" t="s">
        <v>669</v>
      </c>
      <c r="D184" s="32">
        <v>0</v>
      </c>
      <c r="E184" s="13">
        <v>67.8</v>
      </c>
      <c r="F184" s="50">
        <f t="shared" si="24"/>
        <v>0</v>
      </c>
      <c r="G184" s="103"/>
      <c r="H184" s="103"/>
      <c r="I184" s="104"/>
      <c r="J184" s="103"/>
      <c r="K184" s="103"/>
      <c r="L184" s="103">
        <f t="shared" si="25"/>
        <v>0</v>
      </c>
      <c r="M184" s="103"/>
      <c r="N184" s="103" t="s">
        <v>946</v>
      </c>
      <c r="O184" s="104">
        <f t="shared" si="23"/>
        <v>0</v>
      </c>
    </row>
    <row r="185" spans="1:15" s="8" customFormat="1" ht="15.75" x14ac:dyDescent="0.25">
      <c r="A185" s="113" t="s">
        <v>413</v>
      </c>
      <c r="B185" s="102">
        <v>44193</v>
      </c>
      <c r="C185" s="9" t="s">
        <v>672</v>
      </c>
      <c r="D185" s="55">
        <v>50</v>
      </c>
      <c r="E185" s="13">
        <v>170.69</v>
      </c>
      <c r="F185" s="50">
        <f t="shared" si="24"/>
        <v>8534.5</v>
      </c>
      <c r="G185" s="103"/>
      <c r="H185" s="103"/>
      <c r="I185" s="104"/>
      <c r="J185" s="103"/>
      <c r="K185" s="103"/>
      <c r="L185" s="103">
        <f t="shared" si="25"/>
        <v>50</v>
      </c>
      <c r="M185" s="103"/>
      <c r="N185" s="103" t="s">
        <v>947</v>
      </c>
      <c r="O185" s="104">
        <f t="shared" si="23"/>
        <v>8534.5</v>
      </c>
    </row>
    <row r="186" spans="1:15" s="8" customFormat="1" ht="15.75" x14ac:dyDescent="0.25">
      <c r="A186" s="113" t="s">
        <v>414</v>
      </c>
      <c r="B186" s="102">
        <v>44193</v>
      </c>
      <c r="C186" s="9" t="s">
        <v>673</v>
      </c>
      <c r="D186" s="55">
        <v>1040</v>
      </c>
      <c r="E186" s="13">
        <v>170.69</v>
      </c>
      <c r="F186" s="50">
        <f t="shared" si="24"/>
        <v>177517.6</v>
      </c>
      <c r="G186" s="103"/>
      <c r="H186" s="103"/>
      <c r="I186" s="104"/>
      <c r="J186" s="103"/>
      <c r="K186" s="103"/>
      <c r="L186" s="103">
        <f t="shared" si="25"/>
        <v>1040</v>
      </c>
      <c r="M186" s="103"/>
      <c r="N186" s="103" t="s">
        <v>947</v>
      </c>
      <c r="O186" s="104">
        <f t="shared" si="23"/>
        <v>177517.6</v>
      </c>
    </row>
    <row r="187" spans="1:15" s="8" customFormat="1" ht="15.75" x14ac:dyDescent="0.25">
      <c r="A187" s="113" t="s">
        <v>415</v>
      </c>
      <c r="B187" s="102">
        <v>44193</v>
      </c>
      <c r="C187" s="9" t="s">
        <v>674</v>
      </c>
      <c r="D187" s="56">
        <v>1</v>
      </c>
      <c r="E187" s="13">
        <v>170.69</v>
      </c>
      <c r="F187" s="50">
        <f t="shared" si="24"/>
        <v>170.69</v>
      </c>
      <c r="G187" s="103"/>
      <c r="H187" s="103"/>
      <c r="I187" s="104"/>
      <c r="J187" s="103"/>
      <c r="K187" s="103"/>
      <c r="L187" s="103">
        <f t="shared" si="25"/>
        <v>1</v>
      </c>
      <c r="M187" s="103"/>
      <c r="N187" s="103" t="s">
        <v>947</v>
      </c>
      <c r="O187" s="104">
        <f t="shared" si="23"/>
        <v>170.69</v>
      </c>
    </row>
    <row r="188" spans="1:15" s="8" customFormat="1" ht="15.75" x14ac:dyDescent="0.25">
      <c r="A188" s="113" t="s">
        <v>416</v>
      </c>
      <c r="B188" s="102">
        <v>44193</v>
      </c>
      <c r="C188" s="9" t="s">
        <v>675</v>
      </c>
      <c r="D188" s="30">
        <v>300</v>
      </c>
      <c r="E188" s="13">
        <v>6.5</v>
      </c>
      <c r="F188" s="50">
        <f t="shared" si="24"/>
        <v>1950</v>
      </c>
      <c r="G188" s="103"/>
      <c r="H188" s="103"/>
      <c r="I188" s="104"/>
      <c r="J188" s="103"/>
      <c r="K188" s="103"/>
      <c r="L188" s="103">
        <f t="shared" si="25"/>
        <v>300</v>
      </c>
      <c r="M188" s="103"/>
      <c r="N188" s="103" t="s">
        <v>947</v>
      </c>
      <c r="O188" s="104">
        <f t="shared" si="23"/>
        <v>1950</v>
      </c>
    </row>
    <row r="189" spans="1:15" s="8" customFormat="1" ht="15.75" x14ac:dyDescent="0.25">
      <c r="A189" s="113" t="s">
        <v>417</v>
      </c>
      <c r="B189" s="102">
        <v>44193</v>
      </c>
      <c r="C189" s="9" t="s">
        <v>676</v>
      </c>
      <c r="D189" s="30">
        <v>2</v>
      </c>
      <c r="E189" s="13">
        <v>3.5</v>
      </c>
      <c r="F189" s="50">
        <f t="shared" si="24"/>
        <v>7</v>
      </c>
      <c r="G189" s="103"/>
      <c r="H189" s="103"/>
      <c r="I189" s="104"/>
      <c r="J189" s="103"/>
      <c r="K189" s="103"/>
      <c r="L189" s="103">
        <f t="shared" si="25"/>
        <v>2</v>
      </c>
      <c r="M189" s="103"/>
      <c r="N189" s="103" t="s">
        <v>947</v>
      </c>
      <c r="O189" s="104">
        <f t="shared" si="23"/>
        <v>7</v>
      </c>
    </row>
    <row r="190" spans="1:15" s="8" customFormat="1" ht="15.75" x14ac:dyDescent="0.25">
      <c r="A190" s="113" t="s">
        <v>418</v>
      </c>
      <c r="B190" s="102">
        <v>44193</v>
      </c>
      <c r="C190" s="26" t="s">
        <v>678</v>
      </c>
      <c r="D190" s="30">
        <v>5</v>
      </c>
      <c r="E190" s="13">
        <v>5000</v>
      </c>
      <c r="F190" s="50">
        <f t="shared" si="24"/>
        <v>25000</v>
      </c>
      <c r="G190" s="103"/>
      <c r="H190" s="103"/>
      <c r="I190" s="104"/>
      <c r="J190" s="103"/>
      <c r="K190" s="103"/>
      <c r="L190" s="103">
        <f t="shared" si="25"/>
        <v>5</v>
      </c>
      <c r="M190" s="103"/>
      <c r="N190" s="103" t="s">
        <v>946</v>
      </c>
      <c r="O190" s="104">
        <f t="shared" si="23"/>
        <v>25000</v>
      </c>
    </row>
    <row r="191" spans="1:15" s="8" customFormat="1" ht="15.75" x14ac:dyDescent="0.25">
      <c r="A191" s="113" t="s">
        <v>419</v>
      </c>
      <c r="B191" s="102">
        <v>44193</v>
      </c>
      <c r="C191" s="26" t="s">
        <v>677</v>
      </c>
      <c r="D191" s="30">
        <v>2</v>
      </c>
      <c r="E191" s="13">
        <v>10800</v>
      </c>
      <c r="F191" s="50">
        <f t="shared" si="24"/>
        <v>21600</v>
      </c>
      <c r="G191" s="103"/>
      <c r="H191" s="103"/>
      <c r="I191" s="104"/>
      <c r="J191" s="103"/>
      <c r="K191" s="103"/>
      <c r="L191" s="103">
        <f t="shared" si="25"/>
        <v>2</v>
      </c>
      <c r="M191" s="103"/>
      <c r="N191" s="103" t="s">
        <v>946</v>
      </c>
      <c r="O191" s="104">
        <f>+E191*L191</f>
        <v>21600</v>
      </c>
    </row>
    <row r="192" spans="1:15" s="8" customFormat="1" ht="15.75" x14ac:dyDescent="0.25">
      <c r="A192" s="113" t="s">
        <v>420</v>
      </c>
      <c r="B192" s="102">
        <v>44193</v>
      </c>
      <c r="C192" s="9" t="s">
        <v>679</v>
      </c>
      <c r="D192" s="38">
        <v>29</v>
      </c>
      <c r="E192" s="13">
        <v>33</v>
      </c>
      <c r="F192" s="50">
        <f t="shared" si="24"/>
        <v>957</v>
      </c>
      <c r="G192" s="103"/>
      <c r="H192" s="103"/>
      <c r="I192" s="104"/>
      <c r="J192" s="103"/>
      <c r="K192" s="103"/>
      <c r="L192" s="103">
        <f t="shared" si="25"/>
        <v>29</v>
      </c>
      <c r="M192" s="103"/>
      <c r="N192" s="103" t="s">
        <v>947</v>
      </c>
      <c r="O192" s="104">
        <f t="shared" si="23"/>
        <v>957</v>
      </c>
    </row>
    <row r="193" spans="1:15" s="8" customFormat="1" ht="15.75" x14ac:dyDescent="0.25">
      <c r="A193" s="113" t="s">
        <v>421</v>
      </c>
      <c r="B193" s="102">
        <v>44193</v>
      </c>
      <c r="C193" s="9" t="s">
        <v>1035</v>
      </c>
      <c r="D193" s="30">
        <f>8*12</f>
        <v>96</v>
      </c>
      <c r="E193" s="13">
        <v>15</v>
      </c>
      <c r="F193" s="50">
        <f t="shared" si="24"/>
        <v>1440</v>
      </c>
      <c r="G193" s="103"/>
      <c r="H193" s="103"/>
      <c r="I193" s="104"/>
      <c r="J193" s="103"/>
      <c r="K193" s="103">
        <v>12</v>
      </c>
      <c r="L193" s="103">
        <f t="shared" si="25"/>
        <v>84</v>
      </c>
      <c r="M193" s="103"/>
      <c r="N193" s="103" t="s">
        <v>947</v>
      </c>
      <c r="O193" s="104">
        <f>+L193*E193</f>
        <v>1260</v>
      </c>
    </row>
    <row r="194" spans="1:15" s="8" customFormat="1" ht="15.75" x14ac:dyDescent="0.25">
      <c r="A194" s="113" t="s">
        <v>422</v>
      </c>
      <c r="B194" s="102">
        <v>44547</v>
      </c>
      <c r="C194" s="9" t="s">
        <v>777</v>
      </c>
      <c r="D194" s="30">
        <v>27</v>
      </c>
      <c r="E194" s="13">
        <v>8.34</v>
      </c>
      <c r="F194" s="50">
        <f t="shared" si="24"/>
        <v>225.18</v>
      </c>
      <c r="G194" s="103"/>
      <c r="H194" s="103"/>
      <c r="I194" s="104"/>
      <c r="J194" s="103"/>
      <c r="K194" s="103"/>
      <c r="L194" s="103">
        <f t="shared" si="25"/>
        <v>27</v>
      </c>
      <c r="M194" s="103"/>
      <c r="N194" s="103" t="s">
        <v>947</v>
      </c>
      <c r="O194" s="104">
        <f t="shared" si="23"/>
        <v>225.18</v>
      </c>
    </row>
    <row r="195" spans="1:15" s="8" customFormat="1" ht="15.75" x14ac:dyDescent="0.25">
      <c r="A195" s="113" t="s">
        <v>423</v>
      </c>
      <c r="B195" s="102">
        <v>44193</v>
      </c>
      <c r="C195" s="9" t="s">
        <v>778</v>
      </c>
      <c r="D195" s="30">
        <v>12</v>
      </c>
      <c r="E195" s="13">
        <v>8.34</v>
      </c>
      <c r="F195" s="50">
        <f t="shared" si="24"/>
        <v>100.08</v>
      </c>
      <c r="G195" s="103"/>
      <c r="H195" s="103"/>
      <c r="I195" s="104"/>
      <c r="J195" s="103"/>
      <c r="K195" s="103"/>
      <c r="L195" s="103">
        <f t="shared" si="25"/>
        <v>12</v>
      </c>
      <c r="M195" s="103"/>
      <c r="N195" s="103" t="s">
        <v>947</v>
      </c>
      <c r="O195" s="104">
        <f t="shared" si="23"/>
        <v>100.08</v>
      </c>
    </row>
    <row r="196" spans="1:15" s="8" customFormat="1" ht="15.75" x14ac:dyDescent="0.25">
      <c r="A196" s="113" t="s">
        <v>424</v>
      </c>
      <c r="B196" s="102">
        <v>44193</v>
      </c>
      <c r="C196" s="9" t="s">
        <v>681</v>
      </c>
      <c r="D196" s="30">
        <v>139</v>
      </c>
      <c r="E196" s="13">
        <v>5.6</v>
      </c>
      <c r="F196" s="50">
        <f t="shared" si="24"/>
        <v>778.4</v>
      </c>
      <c r="G196" s="103"/>
      <c r="H196" s="103"/>
      <c r="I196" s="104"/>
      <c r="J196" s="103"/>
      <c r="K196" s="103"/>
      <c r="L196" s="103">
        <f t="shared" si="25"/>
        <v>139</v>
      </c>
      <c r="M196" s="103"/>
      <c r="N196" s="103" t="s">
        <v>947</v>
      </c>
      <c r="O196" s="104">
        <f>+E196*L196</f>
        <v>778.4</v>
      </c>
    </row>
    <row r="197" spans="1:15" s="92" customFormat="1" x14ac:dyDescent="0.3">
      <c r="A197" s="113" t="s">
        <v>425</v>
      </c>
      <c r="B197" s="102">
        <v>44193</v>
      </c>
      <c r="C197" s="9" t="s">
        <v>684</v>
      </c>
      <c r="D197" s="30">
        <v>79</v>
      </c>
      <c r="E197" s="13">
        <v>160</v>
      </c>
      <c r="F197" s="50">
        <f t="shared" si="24"/>
        <v>12640</v>
      </c>
      <c r="G197" s="103"/>
      <c r="H197" s="103"/>
      <c r="I197" s="104"/>
      <c r="J197" s="103"/>
      <c r="K197" s="103"/>
      <c r="L197" s="103">
        <f t="shared" si="25"/>
        <v>79</v>
      </c>
      <c r="M197" s="103"/>
      <c r="N197" s="103" t="s">
        <v>945</v>
      </c>
      <c r="O197" s="104">
        <f t="shared" si="23"/>
        <v>12640</v>
      </c>
    </row>
    <row r="198" spans="1:15" s="105" customFormat="1" ht="15.75" x14ac:dyDescent="0.25">
      <c r="A198" s="113" t="s">
        <v>426</v>
      </c>
      <c r="B198" s="102">
        <v>44193</v>
      </c>
      <c r="C198" s="9" t="s">
        <v>787</v>
      </c>
      <c r="D198" s="30">
        <v>11</v>
      </c>
      <c r="E198" s="13">
        <v>35</v>
      </c>
      <c r="F198" s="50">
        <f t="shared" si="24"/>
        <v>385</v>
      </c>
      <c r="G198" s="107">
        <v>44852</v>
      </c>
      <c r="H198" s="103">
        <v>30</v>
      </c>
      <c r="I198" s="104">
        <v>38.65</v>
      </c>
      <c r="J198" s="103">
        <f>+I198*H198</f>
        <v>1159.5</v>
      </c>
      <c r="K198" s="103"/>
      <c r="L198" s="103">
        <f t="shared" si="25"/>
        <v>41</v>
      </c>
      <c r="M198" s="103" t="s">
        <v>1037</v>
      </c>
      <c r="N198" s="103" t="s">
        <v>947</v>
      </c>
      <c r="O198" s="104">
        <f>+L198*I198</f>
        <v>1584.6499999999999</v>
      </c>
    </row>
    <row r="199" spans="1:15" s="8" customFormat="1" ht="15.75" x14ac:dyDescent="0.25">
      <c r="A199" s="113" t="s">
        <v>427</v>
      </c>
      <c r="B199" s="102"/>
      <c r="C199" s="25" t="s">
        <v>782</v>
      </c>
      <c r="D199" s="38">
        <v>38</v>
      </c>
      <c r="E199" s="13"/>
      <c r="F199" s="50"/>
      <c r="G199" s="103"/>
      <c r="H199" s="103"/>
      <c r="I199" s="104"/>
      <c r="J199" s="103"/>
      <c r="K199" s="103"/>
      <c r="L199" s="103">
        <f t="shared" si="25"/>
        <v>38</v>
      </c>
      <c r="M199" s="103"/>
      <c r="N199" s="103" t="s">
        <v>947</v>
      </c>
      <c r="O199" s="104">
        <f t="shared" si="23"/>
        <v>0</v>
      </c>
    </row>
    <row r="200" spans="1:15" s="105" customFormat="1" ht="15.75" x14ac:dyDescent="0.25">
      <c r="A200" s="113" t="s">
        <v>428</v>
      </c>
      <c r="B200" s="106" t="s">
        <v>106</v>
      </c>
      <c r="C200" s="9" t="s">
        <v>780</v>
      </c>
      <c r="D200" s="30">
        <v>2</v>
      </c>
      <c r="E200" s="51">
        <v>325</v>
      </c>
      <c r="F200" s="50">
        <f>D200*E200</f>
        <v>650</v>
      </c>
      <c r="G200" s="107">
        <v>44852</v>
      </c>
      <c r="H200" s="103">
        <v>10</v>
      </c>
      <c r="I200" s="104">
        <v>310.33999999999997</v>
      </c>
      <c r="J200" s="104">
        <f>+I200*H200</f>
        <v>3103.3999999999996</v>
      </c>
      <c r="K200" s="103"/>
      <c r="L200" s="103">
        <f t="shared" si="25"/>
        <v>12</v>
      </c>
      <c r="M200" s="103" t="s">
        <v>1037</v>
      </c>
      <c r="N200" s="103" t="s">
        <v>947</v>
      </c>
      <c r="O200" s="104">
        <f>+L200*I200</f>
        <v>3724.08</v>
      </c>
    </row>
    <row r="201" spans="1:15" s="8" customFormat="1" ht="15.75" x14ac:dyDescent="0.25">
      <c r="A201" s="113" t="s">
        <v>429</v>
      </c>
      <c r="B201" s="102"/>
      <c r="C201" s="25" t="s">
        <v>783</v>
      </c>
      <c r="D201" s="38">
        <v>15</v>
      </c>
      <c r="E201" s="13"/>
      <c r="F201" s="50"/>
      <c r="G201" s="103"/>
      <c r="H201" s="103"/>
      <c r="I201" s="104"/>
      <c r="J201" s="103"/>
      <c r="K201" s="103"/>
      <c r="L201" s="103">
        <f t="shared" si="25"/>
        <v>15</v>
      </c>
      <c r="M201" s="103"/>
      <c r="N201" s="103" t="s">
        <v>947</v>
      </c>
      <c r="O201" s="104">
        <f t="shared" si="23"/>
        <v>0</v>
      </c>
    </row>
    <row r="202" spans="1:15" s="8" customFormat="1" ht="15.75" x14ac:dyDescent="0.25">
      <c r="A202" s="113" t="s">
        <v>430</v>
      </c>
      <c r="B202" s="102">
        <v>44193</v>
      </c>
      <c r="C202" s="9" t="s">
        <v>687</v>
      </c>
      <c r="D202" s="32">
        <v>2</v>
      </c>
      <c r="E202" s="13">
        <v>175</v>
      </c>
      <c r="F202" s="50">
        <f t="shared" ref="F202:F260" si="26">D202*E202</f>
        <v>350</v>
      </c>
      <c r="G202" s="103"/>
      <c r="H202" s="103"/>
      <c r="I202" s="104"/>
      <c r="J202" s="103"/>
      <c r="K202" s="103"/>
      <c r="L202" s="103">
        <f t="shared" si="25"/>
        <v>2</v>
      </c>
      <c r="M202" s="103"/>
      <c r="N202" s="103" t="s">
        <v>947</v>
      </c>
      <c r="O202" s="104">
        <f t="shared" si="23"/>
        <v>350</v>
      </c>
    </row>
    <row r="203" spans="1:15" s="8" customFormat="1" ht="15.75" x14ac:dyDescent="0.25">
      <c r="A203" s="113" t="s">
        <v>431</v>
      </c>
      <c r="B203" s="102">
        <v>44193</v>
      </c>
      <c r="C203" s="26" t="s">
        <v>695</v>
      </c>
      <c r="D203" s="38">
        <v>1</v>
      </c>
      <c r="E203" s="13">
        <v>270.55</v>
      </c>
      <c r="F203" s="50">
        <f t="shared" si="26"/>
        <v>270.55</v>
      </c>
      <c r="G203" s="103"/>
      <c r="H203" s="103"/>
      <c r="I203" s="104"/>
      <c r="J203" s="103"/>
      <c r="K203" s="103"/>
      <c r="L203" s="103">
        <f t="shared" si="25"/>
        <v>1</v>
      </c>
      <c r="M203" s="103"/>
      <c r="N203" s="103" t="s">
        <v>946</v>
      </c>
      <c r="O203" s="104">
        <f t="shared" si="23"/>
        <v>270.55</v>
      </c>
    </row>
    <row r="204" spans="1:15" s="8" customFormat="1" ht="15.75" x14ac:dyDescent="0.25">
      <c r="A204" s="113" t="s">
        <v>432</v>
      </c>
      <c r="B204" s="102">
        <v>44193</v>
      </c>
      <c r="C204" s="25" t="s">
        <v>688</v>
      </c>
      <c r="D204" s="58">
        <v>3</v>
      </c>
      <c r="E204" s="13">
        <v>79.8</v>
      </c>
      <c r="F204" s="50">
        <f t="shared" si="26"/>
        <v>239.39999999999998</v>
      </c>
      <c r="G204" s="103"/>
      <c r="H204" s="103"/>
      <c r="I204" s="104"/>
      <c r="J204" s="103"/>
      <c r="K204" s="103"/>
      <c r="L204" s="103">
        <f t="shared" si="25"/>
        <v>3</v>
      </c>
      <c r="M204" s="103"/>
      <c r="N204" s="103" t="s">
        <v>946</v>
      </c>
      <c r="O204" s="104">
        <f t="shared" si="23"/>
        <v>239.39999999999998</v>
      </c>
    </row>
    <row r="205" spans="1:15" s="8" customFormat="1" ht="15.75" x14ac:dyDescent="0.25">
      <c r="A205" s="113" t="s">
        <v>433</v>
      </c>
      <c r="B205" s="102">
        <v>44193</v>
      </c>
      <c r="C205" s="25" t="s">
        <v>689</v>
      </c>
      <c r="D205" s="55">
        <v>7</v>
      </c>
      <c r="E205" s="13">
        <v>79.8</v>
      </c>
      <c r="F205" s="50">
        <f t="shared" si="26"/>
        <v>558.6</v>
      </c>
      <c r="G205" s="103"/>
      <c r="H205" s="103"/>
      <c r="I205" s="104"/>
      <c r="J205" s="103"/>
      <c r="K205" s="103"/>
      <c r="L205" s="103">
        <f t="shared" si="25"/>
        <v>7</v>
      </c>
      <c r="M205" s="103"/>
      <c r="N205" s="103" t="s">
        <v>946</v>
      </c>
      <c r="O205" s="104">
        <f t="shared" si="23"/>
        <v>558.6</v>
      </c>
    </row>
    <row r="206" spans="1:15" s="8" customFormat="1" ht="15.75" x14ac:dyDescent="0.25">
      <c r="A206" s="113" t="s">
        <v>434</v>
      </c>
      <c r="B206" s="102">
        <v>44193</v>
      </c>
      <c r="C206" s="25" t="s">
        <v>690</v>
      </c>
      <c r="D206" s="57">
        <v>7</v>
      </c>
      <c r="E206" s="13">
        <v>62.93</v>
      </c>
      <c r="F206" s="50">
        <f t="shared" si="26"/>
        <v>440.51</v>
      </c>
      <c r="G206" s="103"/>
      <c r="H206" s="103"/>
      <c r="I206" s="104"/>
      <c r="J206" s="103"/>
      <c r="K206" s="103"/>
      <c r="L206" s="103">
        <f t="shared" si="25"/>
        <v>7</v>
      </c>
      <c r="M206" s="103"/>
      <c r="N206" s="103" t="s">
        <v>946</v>
      </c>
      <c r="O206" s="104">
        <f t="shared" si="23"/>
        <v>440.51</v>
      </c>
    </row>
    <row r="207" spans="1:15" s="8" customFormat="1" ht="15.75" x14ac:dyDescent="0.25">
      <c r="A207" s="113" t="s">
        <v>435</v>
      </c>
      <c r="B207" s="102">
        <v>44193</v>
      </c>
      <c r="C207" s="26" t="s">
        <v>691</v>
      </c>
      <c r="D207" s="57">
        <v>21</v>
      </c>
      <c r="E207" s="13">
        <v>165</v>
      </c>
      <c r="F207" s="50">
        <f t="shared" si="26"/>
        <v>3465</v>
      </c>
      <c r="G207" s="103"/>
      <c r="H207" s="103"/>
      <c r="I207" s="104"/>
      <c r="J207" s="103"/>
      <c r="K207" s="103"/>
      <c r="L207" s="103">
        <f t="shared" si="25"/>
        <v>21</v>
      </c>
      <c r="M207" s="103"/>
      <c r="N207" s="103" t="s">
        <v>946</v>
      </c>
      <c r="O207" s="104">
        <f t="shared" si="23"/>
        <v>3465</v>
      </c>
    </row>
    <row r="208" spans="1:15" s="8" customFormat="1" ht="15.75" x14ac:dyDescent="0.25">
      <c r="A208" s="113" t="s">
        <v>436</v>
      </c>
      <c r="B208" s="102">
        <v>44193</v>
      </c>
      <c r="C208" s="26" t="s">
        <v>791</v>
      </c>
      <c r="D208" s="38">
        <v>18</v>
      </c>
      <c r="E208" s="13">
        <v>52</v>
      </c>
      <c r="F208" s="50">
        <f t="shared" si="26"/>
        <v>936</v>
      </c>
      <c r="G208" s="103"/>
      <c r="H208" s="103"/>
      <c r="I208" s="104"/>
      <c r="J208" s="103"/>
      <c r="K208" s="103"/>
      <c r="L208" s="103">
        <f t="shared" si="25"/>
        <v>18</v>
      </c>
      <c r="M208" s="103"/>
      <c r="N208" s="103" t="s">
        <v>946</v>
      </c>
      <c r="O208" s="104">
        <f t="shared" si="23"/>
        <v>936</v>
      </c>
    </row>
    <row r="209" spans="1:15" s="8" customFormat="1" ht="15.75" x14ac:dyDescent="0.25">
      <c r="A209" s="113" t="s">
        <v>437</v>
      </c>
      <c r="B209" s="102">
        <v>44193</v>
      </c>
      <c r="C209" s="26" t="s">
        <v>790</v>
      </c>
      <c r="D209" s="38">
        <v>11</v>
      </c>
      <c r="E209" s="13">
        <v>79.8</v>
      </c>
      <c r="F209" s="50">
        <f t="shared" si="26"/>
        <v>877.8</v>
      </c>
      <c r="G209" s="103"/>
      <c r="H209" s="103"/>
      <c r="I209" s="104"/>
      <c r="J209" s="103"/>
      <c r="K209" s="103"/>
      <c r="L209" s="103">
        <f t="shared" si="25"/>
        <v>11</v>
      </c>
      <c r="M209" s="103"/>
      <c r="N209" s="103" t="s">
        <v>946</v>
      </c>
      <c r="O209" s="104">
        <f>+E209*L209</f>
        <v>877.8</v>
      </c>
    </row>
    <row r="210" spans="1:15" s="8" customFormat="1" ht="15.75" x14ac:dyDescent="0.25">
      <c r="A210" s="113" t="s">
        <v>438</v>
      </c>
      <c r="B210" s="102">
        <v>44193</v>
      </c>
      <c r="C210" s="26" t="s">
        <v>693</v>
      </c>
      <c r="D210" s="38">
        <v>1</v>
      </c>
      <c r="E210" s="13">
        <v>2075</v>
      </c>
      <c r="F210" s="50">
        <f t="shared" si="26"/>
        <v>2075</v>
      </c>
      <c r="G210" s="103"/>
      <c r="H210" s="103"/>
      <c r="I210" s="104"/>
      <c r="J210" s="103"/>
      <c r="K210" s="103"/>
      <c r="L210" s="103">
        <f t="shared" si="25"/>
        <v>1</v>
      </c>
      <c r="M210" s="103"/>
      <c r="N210" s="103" t="s">
        <v>946</v>
      </c>
      <c r="O210" s="104">
        <f t="shared" si="23"/>
        <v>2075</v>
      </c>
    </row>
    <row r="211" spans="1:15" s="8" customFormat="1" ht="15.75" x14ac:dyDescent="0.25">
      <c r="A211" s="113" t="s">
        <v>439</v>
      </c>
      <c r="B211" s="102">
        <v>44193</v>
      </c>
      <c r="C211" s="26" t="s">
        <v>692</v>
      </c>
      <c r="D211" s="57">
        <v>18</v>
      </c>
      <c r="E211" s="13">
        <v>165</v>
      </c>
      <c r="F211" s="50">
        <f t="shared" si="26"/>
        <v>2970</v>
      </c>
      <c r="G211" s="103"/>
      <c r="H211" s="103"/>
      <c r="I211" s="104"/>
      <c r="J211" s="103"/>
      <c r="K211" s="103"/>
      <c r="L211" s="103">
        <f t="shared" si="25"/>
        <v>18</v>
      </c>
      <c r="M211" s="103"/>
      <c r="N211" s="103" t="s">
        <v>946</v>
      </c>
      <c r="O211" s="104">
        <f t="shared" si="23"/>
        <v>2970</v>
      </c>
    </row>
    <row r="212" spans="1:15" s="8" customFormat="1" ht="15.75" x14ac:dyDescent="0.25">
      <c r="A212" s="113" t="s">
        <v>440</v>
      </c>
      <c r="B212" s="102">
        <v>44193</v>
      </c>
      <c r="C212" s="26" t="s">
        <v>697</v>
      </c>
      <c r="D212" s="38">
        <v>20</v>
      </c>
      <c r="E212" s="13">
        <v>79.8</v>
      </c>
      <c r="F212" s="50">
        <f t="shared" si="26"/>
        <v>1596</v>
      </c>
      <c r="G212" s="103"/>
      <c r="H212" s="103"/>
      <c r="I212" s="104"/>
      <c r="J212" s="103"/>
      <c r="K212" s="103"/>
      <c r="L212" s="103">
        <f t="shared" si="25"/>
        <v>20</v>
      </c>
      <c r="M212" s="103"/>
      <c r="N212" s="103" t="s">
        <v>946</v>
      </c>
      <c r="O212" s="104">
        <f t="shared" si="23"/>
        <v>1596</v>
      </c>
    </row>
    <row r="213" spans="1:15" s="8" customFormat="1" ht="15.75" x14ac:dyDescent="0.25">
      <c r="A213" s="113" t="s">
        <v>441</v>
      </c>
      <c r="B213" s="102">
        <v>44193</v>
      </c>
      <c r="C213" s="26" t="s">
        <v>696</v>
      </c>
      <c r="D213" s="38">
        <v>9</v>
      </c>
      <c r="E213" s="13">
        <v>79.8</v>
      </c>
      <c r="F213" s="50">
        <f t="shared" si="26"/>
        <v>718.19999999999993</v>
      </c>
      <c r="G213" s="103"/>
      <c r="H213" s="103"/>
      <c r="I213" s="104"/>
      <c r="J213" s="103"/>
      <c r="K213" s="103">
        <v>1</v>
      </c>
      <c r="L213" s="103">
        <f t="shared" si="25"/>
        <v>8</v>
      </c>
      <c r="M213" s="103"/>
      <c r="N213" s="103" t="s">
        <v>946</v>
      </c>
      <c r="O213" s="104">
        <f t="shared" si="23"/>
        <v>638.4</v>
      </c>
    </row>
    <row r="214" spans="1:15" s="8" customFormat="1" ht="15.75" x14ac:dyDescent="0.25">
      <c r="A214" s="113" t="s">
        <v>442</v>
      </c>
      <c r="B214" s="102"/>
      <c r="C214" s="26" t="s">
        <v>808</v>
      </c>
      <c r="D214" s="38">
        <v>9</v>
      </c>
      <c r="E214" s="13">
        <v>352</v>
      </c>
      <c r="F214" s="50">
        <f t="shared" si="26"/>
        <v>3168</v>
      </c>
      <c r="G214" s="103"/>
      <c r="H214" s="103"/>
      <c r="I214" s="104"/>
      <c r="J214" s="103"/>
      <c r="K214" s="103"/>
      <c r="L214" s="103">
        <f t="shared" si="25"/>
        <v>9</v>
      </c>
      <c r="M214" s="103"/>
      <c r="N214" s="103" t="s">
        <v>946</v>
      </c>
      <c r="O214" s="104">
        <f t="shared" si="23"/>
        <v>3168</v>
      </c>
    </row>
    <row r="215" spans="1:15" s="92" customFormat="1" x14ac:dyDescent="0.3">
      <c r="A215" s="113" t="s">
        <v>443</v>
      </c>
      <c r="B215" s="102">
        <v>44456</v>
      </c>
      <c r="C215" s="26" t="s">
        <v>698</v>
      </c>
      <c r="D215" s="38">
        <v>3</v>
      </c>
      <c r="E215" s="13">
        <v>600</v>
      </c>
      <c r="F215" s="50">
        <f t="shared" si="26"/>
        <v>1800</v>
      </c>
      <c r="G215" s="103"/>
      <c r="H215" s="103"/>
      <c r="I215" s="104"/>
      <c r="J215" s="103"/>
      <c r="K215" s="103"/>
      <c r="L215" s="103">
        <f t="shared" si="25"/>
        <v>3</v>
      </c>
      <c r="M215" s="103"/>
      <c r="N215" s="103" t="s">
        <v>945</v>
      </c>
      <c r="O215" s="104">
        <f t="shared" si="23"/>
        <v>1800</v>
      </c>
    </row>
    <row r="216" spans="1:15" s="92" customFormat="1" x14ac:dyDescent="0.3">
      <c r="A216" s="113" t="s">
        <v>444</v>
      </c>
      <c r="B216" s="102">
        <v>44193</v>
      </c>
      <c r="C216" s="26" t="s">
        <v>699</v>
      </c>
      <c r="D216" s="38">
        <v>15</v>
      </c>
      <c r="E216" s="13">
        <v>140</v>
      </c>
      <c r="F216" s="50">
        <f t="shared" si="26"/>
        <v>2100</v>
      </c>
      <c r="G216" s="103"/>
      <c r="H216" s="103"/>
      <c r="I216" s="104"/>
      <c r="J216" s="103"/>
      <c r="K216" s="103">
        <v>1</v>
      </c>
      <c r="L216" s="103">
        <f t="shared" si="25"/>
        <v>14</v>
      </c>
      <c r="M216" s="103"/>
      <c r="N216" s="103" t="s">
        <v>945</v>
      </c>
      <c r="O216" s="104">
        <f t="shared" si="23"/>
        <v>1960</v>
      </c>
    </row>
    <row r="217" spans="1:15" s="8" customFormat="1" ht="15.75" x14ac:dyDescent="0.25">
      <c r="A217" s="113" t="s">
        <v>445</v>
      </c>
      <c r="B217" s="102">
        <v>44193</v>
      </c>
      <c r="C217" s="9" t="s">
        <v>706</v>
      </c>
      <c r="D217" s="48">
        <v>1</v>
      </c>
      <c r="E217" s="13">
        <v>5250</v>
      </c>
      <c r="F217" s="50">
        <f t="shared" si="26"/>
        <v>5250</v>
      </c>
      <c r="G217" s="103"/>
      <c r="H217" s="103"/>
      <c r="I217" s="104"/>
      <c r="J217" s="103"/>
      <c r="K217" s="103"/>
      <c r="L217" s="103">
        <f t="shared" si="25"/>
        <v>1</v>
      </c>
      <c r="M217" s="103"/>
      <c r="N217" s="103" t="s">
        <v>947</v>
      </c>
      <c r="O217" s="104">
        <f>+E217*L217</f>
        <v>5250</v>
      </c>
    </row>
    <row r="218" spans="1:15" s="8" customFormat="1" ht="15.75" x14ac:dyDescent="0.25">
      <c r="A218" s="113" t="s">
        <v>446</v>
      </c>
      <c r="B218" s="102">
        <v>44193</v>
      </c>
      <c r="C218" s="9" t="s">
        <v>700</v>
      </c>
      <c r="D218" s="48">
        <f>9+12+12+24</f>
        <v>57</v>
      </c>
      <c r="E218" s="13">
        <v>12.93</v>
      </c>
      <c r="F218" s="50">
        <f t="shared" si="26"/>
        <v>737.01</v>
      </c>
      <c r="G218" s="103"/>
      <c r="H218" s="103"/>
      <c r="I218" s="104"/>
      <c r="J218" s="103"/>
      <c r="K218" s="103"/>
      <c r="L218" s="103">
        <f t="shared" si="25"/>
        <v>57</v>
      </c>
      <c r="M218" s="103"/>
      <c r="N218" s="103" t="s">
        <v>947</v>
      </c>
      <c r="O218" s="104">
        <f t="shared" si="23"/>
        <v>737.01</v>
      </c>
    </row>
    <row r="219" spans="1:15" s="8" customFormat="1" ht="15.75" x14ac:dyDescent="0.25">
      <c r="A219" s="113" t="s">
        <v>447</v>
      </c>
      <c r="B219" s="102">
        <v>44193</v>
      </c>
      <c r="C219" s="9" t="s">
        <v>701</v>
      </c>
      <c r="D219" s="48">
        <f>16+12+12</f>
        <v>40</v>
      </c>
      <c r="E219" s="13">
        <v>14.37</v>
      </c>
      <c r="F219" s="50">
        <f t="shared" si="26"/>
        <v>574.79999999999995</v>
      </c>
      <c r="G219" s="103"/>
      <c r="H219" s="103"/>
      <c r="I219" s="104"/>
      <c r="J219" s="103"/>
      <c r="K219" s="103"/>
      <c r="L219" s="103">
        <f t="shared" si="25"/>
        <v>40</v>
      </c>
      <c r="M219" s="103"/>
      <c r="N219" s="103" t="s">
        <v>947</v>
      </c>
      <c r="O219" s="104">
        <f t="shared" si="23"/>
        <v>574.79999999999995</v>
      </c>
    </row>
    <row r="220" spans="1:15" s="8" customFormat="1" ht="15.75" x14ac:dyDescent="0.25">
      <c r="A220" s="113" t="s">
        <v>448</v>
      </c>
      <c r="B220" s="102">
        <v>44193</v>
      </c>
      <c r="C220" s="9" t="s">
        <v>702</v>
      </c>
      <c r="D220" s="48">
        <v>6</v>
      </c>
      <c r="E220" s="13">
        <v>35</v>
      </c>
      <c r="F220" s="50">
        <f t="shared" si="26"/>
        <v>210</v>
      </c>
      <c r="G220" s="103"/>
      <c r="H220" s="103"/>
      <c r="I220" s="104"/>
      <c r="J220" s="103"/>
      <c r="K220" s="103"/>
      <c r="L220" s="103">
        <f t="shared" si="25"/>
        <v>6</v>
      </c>
      <c r="M220" s="103"/>
      <c r="N220" s="103" t="s">
        <v>947</v>
      </c>
      <c r="O220" s="104">
        <f t="shared" si="23"/>
        <v>210</v>
      </c>
    </row>
    <row r="221" spans="1:15" s="8" customFormat="1" ht="15.75" x14ac:dyDescent="0.25">
      <c r="A221" s="113" t="s">
        <v>449</v>
      </c>
      <c r="B221" s="102">
        <v>44193</v>
      </c>
      <c r="C221" s="9" t="s">
        <v>703</v>
      </c>
      <c r="D221" s="48"/>
      <c r="E221" s="13">
        <v>30</v>
      </c>
      <c r="F221" s="50">
        <f t="shared" si="26"/>
        <v>0</v>
      </c>
      <c r="G221" s="103"/>
      <c r="H221" s="103"/>
      <c r="I221" s="104"/>
      <c r="J221" s="103"/>
      <c r="K221" s="103"/>
      <c r="L221" s="103">
        <f t="shared" si="25"/>
        <v>0</v>
      </c>
      <c r="M221" s="103"/>
      <c r="N221" s="103" t="s">
        <v>947</v>
      </c>
      <c r="O221" s="104">
        <f t="shared" si="23"/>
        <v>0</v>
      </c>
    </row>
    <row r="222" spans="1:15" s="8" customFormat="1" ht="15.75" x14ac:dyDescent="0.25">
      <c r="A222" s="113" t="s">
        <v>450</v>
      </c>
      <c r="B222" s="102">
        <v>44193</v>
      </c>
      <c r="C222" s="9" t="s">
        <v>704</v>
      </c>
      <c r="D222" s="48">
        <v>1300</v>
      </c>
      <c r="E222" s="13">
        <v>2.6</v>
      </c>
      <c r="F222" s="50">
        <f t="shared" si="26"/>
        <v>3380</v>
      </c>
      <c r="G222" s="103"/>
      <c r="H222" s="103"/>
      <c r="I222" s="104"/>
      <c r="J222" s="103"/>
      <c r="K222" s="103"/>
      <c r="L222" s="103">
        <f t="shared" si="25"/>
        <v>1300</v>
      </c>
      <c r="M222" s="103"/>
      <c r="N222" s="103" t="s">
        <v>947</v>
      </c>
      <c r="O222" s="104">
        <f t="shared" si="23"/>
        <v>3380</v>
      </c>
    </row>
    <row r="223" spans="1:15" s="8" customFormat="1" ht="15.75" x14ac:dyDescent="0.25">
      <c r="A223" s="113" t="s">
        <v>451</v>
      </c>
      <c r="B223" s="102">
        <v>44193</v>
      </c>
      <c r="C223" s="9" t="s">
        <v>705</v>
      </c>
      <c r="D223" s="48">
        <v>1</v>
      </c>
      <c r="E223" s="13">
        <v>728.81</v>
      </c>
      <c r="F223" s="50">
        <f t="shared" si="26"/>
        <v>728.81</v>
      </c>
      <c r="G223" s="103"/>
      <c r="H223" s="103"/>
      <c r="I223" s="104"/>
      <c r="J223" s="103"/>
      <c r="K223" s="103"/>
      <c r="L223" s="103">
        <f t="shared" si="25"/>
        <v>1</v>
      </c>
      <c r="M223" s="103"/>
      <c r="N223" s="103" t="s">
        <v>947</v>
      </c>
      <c r="O223" s="104">
        <f t="shared" si="23"/>
        <v>728.81</v>
      </c>
    </row>
    <row r="224" spans="1:15" s="8" customFormat="1" ht="15.75" x14ac:dyDescent="0.25">
      <c r="A224" s="113" t="s">
        <v>452</v>
      </c>
      <c r="B224" s="102">
        <v>44193</v>
      </c>
      <c r="C224" s="9" t="s">
        <v>709</v>
      </c>
      <c r="D224" s="58">
        <v>2</v>
      </c>
      <c r="E224" s="13">
        <v>350</v>
      </c>
      <c r="F224" s="50">
        <f t="shared" si="26"/>
        <v>700</v>
      </c>
      <c r="G224" s="103"/>
      <c r="H224" s="103"/>
      <c r="I224" s="104"/>
      <c r="J224" s="103"/>
      <c r="K224" s="103"/>
      <c r="L224" s="103">
        <f t="shared" si="25"/>
        <v>2</v>
      </c>
      <c r="M224" s="103"/>
      <c r="N224" s="103" t="s">
        <v>947</v>
      </c>
      <c r="O224" s="104">
        <f t="shared" si="23"/>
        <v>700</v>
      </c>
    </row>
    <row r="225" spans="1:15" s="8" customFormat="1" ht="15.75" x14ac:dyDescent="0.25">
      <c r="A225" s="113" t="s">
        <v>453</v>
      </c>
      <c r="B225" s="102">
        <v>44193</v>
      </c>
      <c r="C225" s="9" t="s">
        <v>707</v>
      </c>
      <c r="D225" s="48">
        <v>5</v>
      </c>
      <c r="E225" s="13">
        <v>595</v>
      </c>
      <c r="F225" s="50">
        <f t="shared" si="26"/>
        <v>2975</v>
      </c>
      <c r="G225" s="103"/>
      <c r="H225" s="103"/>
      <c r="I225" s="104"/>
      <c r="J225" s="103"/>
      <c r="K225" s="103"/>
      <c r="L225" s="103">
        <f t="shared" si="25"/>
        <v>5</v>
      </c>
      <c r="M225" s="103"/>
      <c r="N225" s="103" t="s">
        <v>947</v>
      </c>
      <c r="O225" s="104">
        <f t="shared" si="23"/>
        <v>2975</v>
      </c>
    </row>
    <row r="226" spans="1:15" s="8" customFormat="1" ht="15.75" x14ac:dyDescent="0.25">
      <c r="A226" s="113" t="s">
        <v>454</v>
      </c>
      <c r="B226" s="102">
        <v>44193</v>
      </c>
      <c r="C226" s="9" t="s">
        <v>868</v>
      </c>
      <c r="D226" s="48">
        <v>2</v>
      </c>
      <c r="E226" s="13">
        <v>300</v>
      </c>
      <c r="F226" s="50">
        <f t="shared" si="26"/>
        <v>600</v>
      </c>
      <c r="G226" s="103"/>
      <c r="H226" s="103"/>
      <c r="I226" s="104"/>
      <c r="J226" s="103"/>
      <c r="K226" s="103"/>
      <c r="L226" s="103">
        <f t="shared" si="25"/>
        <v>2</v>
      </c>
      <c r="M226" s="103"/>
      <c r="N226" s="103" t="s">
        <v>947</v>
      </c>
      <c r="O226" s="104">
        <f t="shared" si="23"/>
        <v>600</v>
      </c>
    </row>
    <row r="227" spans="1:15" s="8" customFormat="1" ht="15.75" x14ac:dyDescent="0.25">
      <c r="A227" s="113" t="s">
        <v>455</v>
      </c>
      <c r="B227" s="102">
        <v>44193</v>
      </c>
      <c r="C227" s="26" t="s">
        <v>710</v>
      </c>
      <c r="D227" s="32">
        <v>0</v>
      </c>
      <c r="E227" s="13">
        <v>3950</v>
      </c>
      <c r="F227" s="50">
        <f t="shared" si="26"/>
        <v>0</v>
      </c>
      <c r="G227" s="103"/>
      <c r="H227" s="103"/>
      <c r="I227" s="104"/>
      <c r="J227" s="103"/>
      <c r="K227" s="103"/>
      <c r="L227" s="103">
        <f t="shared" si="25"/>
        <v>0</v>
      </c>
      <c r="M227" s="103"/>
      <c r="N227" s="103" t="s">
        <v>947</v>
      </c>
      <c r="O227" s="104">
        <f t="shared" si="23"/>
        <v>0</v>
      </c>
    </row>
    <row r="228" spans="1:15" s="8" customFormat="1" ht="15.75" x14ac:dyDescent="0.25">
      <c r="A228" s="113" t="s">
        <v>456</v>
      </c>
      <c r="B228" s="106" t="s">
        <v>108</v>
      </c>
      <c r="C228" s="26" t="s">
        <v>714</v>
      </c>
      <c r="D228" s="55">
        <v>6</v>
      </c>
      <c r="E228" s="51">
        <v>11000</v>
      </c>
      <c r="F228" s="50">
        <f t="shared" si="26"/>
        <v>66000</v>
      </c>
      <c r="G228" s="103"/>
      <c r="H228" s="103"/>
      <c r="I228" s="104"/>
      <c r="J228" s="103"/>
      <c r="K228" s="103"/>
      <c r="L228" s="103">
        <f t="shared" si="25"/>
        <v>6</v>
      </c>
      <c r="M228" s="103"/>
      <c r="N228" s="103" t="s">
        <v>947</v>
      </c>
      <c r="O228" s="104">
        <f t="shared" ref="O228:O236" si="27">+E228*L228</f>
        <v>66000</v>
      </c>
    </row>
    <row r="229" spans="1:15" s="8" customFormat="1" ht="15.75" x14ac:dyDescent="0.25">
      <c r="A229" s="113" t="s">
        <v>457</v>
      </c>
      <c r="B229" s="102">
        <v>44652</v>
      </c>
      <c r="C229" s="26" t="s">
        <v>856</v>
      </c>
      <c r="D229" s="38">
        <v>5</v>
      </c>
      <c r="E229" s="59">
        <v>1700</v>
      </c>
      <c r="F229" s="50">
        <f t="shared" si="26"/>
        <v>8500</v>
      </c>
      <c r="G229" s="103"/>
      <c r="H229" s="103"/>
      <c r="I229" s="104"/>
      <c r="J229" s="103"/>
      <c r="K229" s="103"/>
      <c r="L229" s="103">
        <f t="shared" si="25"/>
        <v>5</v>
      </c>
      <c r="M229" s="103"/>
      <c r="N229" s="103" t="s">
        <v>946</v>
      </c>
      <c r="O229" s="104">
        <f t="shared" si="27"/>
        <v>8500</v>
      </c>
    </row>
    <row r="230" spans="1:15" s="8" customFormat="1" ht="15.75" x14ac:dyDescent="0.25">
      <c r="A230" s="113" t="s">
        <v>458</v>
      </c>
      <c r="B230" s="102">
        <v>44193</v>
      </c>
      <c r="C230" s="26" t="s">
        <v>712</v>
      </c>
      <c r="D230" s="32">
        <v>0</v>
      </c>
      <c r="E230" s="13">
        <v>148.31</v>
      </c>
      <c r="F230" s="50">
        <f t="shared" si="26"/>
        <v>0</v>
      </c>
      <c r="G230" s="103"/>
      <c r="H230" s="103"/>
      <c r="I230" s="104"/>
      <c r="J230" s="103"/>
      <c r="K230" s="103"/>
      <c r="L230" s="103">
        <f t="shared" si="25"/>
        <v>0</v>
      </c>
      <c r="M230" s="103"/>
      <c r="N230" s="103" t="s">
        <v>946</v>
      </c>
      <c r="O230" s="104">
        <f t="shared" si="27"/>
        <v>0</v>
      </c>
    </row>
    <row r="231" spans="1:15" s="8" customFormat="1" ht="15.75" x14ac:dyDescent="0.25">
      <c r="A231" s="113" t="s">
        <v>459</v>
      </c>
      <c r="B231" s="102">
        <v>44193</v>
      </c>
      <c r="C231" s="26" t="s">
        <v>713</v>
      </c>
      <c r="D231" s="32">
        <v>0</v>
      </c>
      <c r="E231" s="13">
        <v>122.88</v>
      </c>
      <c r="F231" s="50">
        <f t="shared" si="26"/>
        <v>0</v>
      </c>
      <c r="G231" s="103"/>
      <c r="H231" s="103"/>
      <c r="I231" s="104"/>
      <c r="J231" s="103"/>
      <c r="K231" s="103"/>
      <c r="L231" s="103">
        <f t="shared" si="25"/>
        <v>0</v>
      </c>
      <c r="M231" s="103"/>
      <c r="N231" s="103" t="s">
        <v>946</v>
      </c>
      <c r="O231" s="104">
        <f t="shared" si="27"/>
        <v>0</v>
      </c>
    </row>
    <row r="232" spans="1:15" s="8" customFormat="1" ht="15.75" x14ac:dyDescent="0.25">
      <c r="A232" s="113" t="s">
        <v>460</v>
      </c>
      <c r="B232" s="102">
        <v>44193</v>
      </c>
      <c r="C232" s="26" t="s">
        <v>847</v>
      </c>
      <c r="D232" s="32">
        <v>0</v>
      </c>
      <c r="E232" s="13">
        <v>0</v>
      </c>
      <c r="F232" s="50">
        <f t="shared" si="26"/>
        <v>0</v>
      </c>
      <c r="G232" s="103"/>
      <c r="H232" s="103"/>
      <c r="I232" s="104"/>
      <c r="J232" s="103"/>
      <c r="K232" s="103"/>
      <c r="L232" s="103">
        <f t="shared" si="25"/>
        <v>0</v>
      </c>
      <c r="M232" s="103"/>
      <c r="N232" s="103" t="s">
        <v>946</v>
      </c>
      <c r="O232" s="104">
        <f t="shared" si="27"/>
        <v>0</v>
      </c>
    </row>
    <row r="233" spans="1:15" s="8" customFormat="1" ht="15.75" x14ac:dyDescent="0.25">
      <c r="A233" s="113" t="s">
        <v>461</v>
      </c>
      <c r="B233" s="102">
        <v>44193</v>
      </c>
      <c r="C233" s="26" t="s">
        <v>711</v>
      </c>
      <c r="D233" s="32">
        <v>0</v>
      </c>
      <c r="E233" s="13">
        <v>237.29</v>
      </c>
      <c r="F233" s="50">
        <f t="shared" si="26"/>
        <v>0</v>
      </c>
      <c r="G233" s="124">
        <v>44851</v>
      </c>
      <c r="H233" s="125">
        <v>100</v>
      </c>
      <c r="I233" s="126">
        <v>156.35</v>
      </c>
      <c r="J233" s="127">
        <f>+H233*I233</f>
        <v>15635</v>
      </c>
      <c r="K233" s="125">
        <v>1</v>
      </c>
      <c r="L233" s="103">
        <f t="shared" si="25"/>
        <v>99</v>
      </c>
      <c r="M233" s="103"/>
      <c r="N233" s="103" t="s">
        <v>946</v>
      </c>
      <c r="O233" s="104">
        <f t="shared" si="27"/>
        <v>23491.71</v>
      </c>
    </row>
    <row r="234" spans="1:15" s="92" customFormat="1" x14ac:dyDescent="0.3">
      <c r="A234" s="113" t="s">
        <v>462</v>
      </c>
      <c r="B234" s="102">
        <v>44193</v>
      </c>
      <c r="C234" s="25" t="s">
        <v>716</v>
      </c>
      <c r="D234" s="32">
        <v>2</v>
      </c>
      <c r="E234" s="51">
        <v>82</v>
      </c>
      <c r="F234" s="50">
        <f t="shared" si="26"/>
        <v>164</v>
      </c>
      <c r="G234" s="125"/>
      <c r="H234" s="125"/>
      <c r="I234" s="126"/>
      <c r="J234" s="125"/>
      <c r="K234" s="125">
        <v>1</v>
      </c>
      <c r="L234" s="103">
        <f t="shared" si="25"/>
        <v>1</v>
      </c>
      <c r="M234" s="103"/>
      <c r="N234" s="103" t="s">
        <v>945</v>
      </c>
      <c r="O234" s="104">
        <f t="shared" si="27"/>
        <v>82</v>
      </c>
    </row>
    <row r="235" spans="1:15" s="92" customFormat="1" x14ac:dyDescent="0.3">
      <c r="A235" s="113" t="s">
        <v>463</v>
      </c>
      <c r="B235" s="102">
        <v>44193</v>
      </c>
      <c r="C235" s="25" t="s">
        <v>717</v>
      </c>
      <c r="D235" s="32">
        <v>0</v>
      </c>
      <c r="E235" s="51">
        <v>14.29</v>
      </c>
      <c r="F235" s="50">
        <f t="shared" si="26"/>
        <v>0</v>
      </c>
      <c r="G235" s="103"/>
      <c r="H235" s="103"/>
      <c r="I235" s="104"/>
      <c r="J235" s="103"/>
      <c r="K235" s="103"/>
      <c r="L235" s="103">
        <f t="shared" si="25"/>
        <v>0</v>
      </c>
      <c r="M235" s="103"/>
      <c r="N235" s="103" t="s">
        <v>945</v>
      </c>
      <c r="O235" s="104">
        <f t="shared" si="27"/>
        <v>0</v>
      </c>
    </row>
    <row r="236" spans="1:15" s="92" customFormat="1" x14ac:dyDescent="0.3">
      <c r="A236" s="113" t="s">
        <v>464</v>
      </c>
      <c r="B236" s="106" t="s">
        <v>770</v>
      </c>
      <c r="C236" s="25" t="s">
        <v>715</v>
      </c>
      <c r="D236" s="32">
        <v>6</v>
      </c>
      <c r="E236" s="51">
        <v>82</v>
      </c>
      <c r="F236" s="50">
        <f t="shared" si="26"/>
        <v>492</v>
      </c>
      <c r="G236" s="103"/>
      <c r="H236" s="103"/>
      <c r="I236" s="104"/>
      <c r="J236" s="103"/>
      <c r="K236" s="103"/>
      <c r="L236" s="103">
        <f t="shared" si="25"/>
        <v>6</v>
      </c>
      <c r="M236" s="103"/>
      <c r="N236" s="103" t="s">
        <v>945</v>
      </c>
      <c r="O236" s="104">
        <f t="shared" si="27"/>
        <v>492</v>
      </c>
    </row>
    <row r="237" spans="1:15" s="8" customFormat="1" ht="15.75" x14ac:dyDescent="0.25">
      <c r="A237" s="113" t="s">
        <v>465</v>
      </c>
      <c r="B237" s="106" t="s">
        <v>108</v>
      </c>
      <c r="C237" s="25" t="s">
        <v>718</v>
      </c>
      <c r="D237" s="32">
        <v>2</v>
      </c>
      <c r="E237" s="51">
        <v>6375</v>
      </c>
      <c r="F237" s="50">
        <f t="shared" si="26"/>
        <v>12750</v>
      </c>
      <c r="G237" s="103"/>
      <c r="H237" s="103"/>
      <c r="I237" s="104"/>
      <c r="J237" s="103"/>
      <c r="K237" s="103">
        <v>1</v>
      </c>
      <c r="L237" s="103">
        <f t="shared" si="25"/>
        <v>1</v>
      </c>
      <c r="M237" s="103"/>
      <c r="N237" s="103" t="s">
        <v>946</v>
      </c>
      <c r="O237" s="104">
        <f>+E237*L237</f>
        <v>6375</v>
      </c>
    </row>
    <row r="238" spans="1:15" s="8" customFormat="1" ht="15.75" x14ac:dyDescent="0.25">
      <c r="A238" s="113" t="s">
        <v>466</v>
      </c>
      <c r="B238" s="102">
        <v>44193</v>
      </c>
      <c r="C238" s="9" t="s">
        <v>781</v>
      </c>
      <c r="D238" s="48">
        <v>2</v>
      </c>
      <c r="E238" s="13">
        <v>725</v>
      </c>
      <c r="F238" s="50">
        <f t="shared" si="26"/>
        <v>1450</v>
      </c>
      <c r="G238" s="103"/>
      <c r="H238" s="103"/>
      <c r="I238" s="104"/>
      <c r="J238" s="103"/>
      <c r="K238" s="103"/>
      <c r="L238" s="103">
        <f t="shared" si="25"/>
        <v>2</v>
      </c>
      <c r="M238" s="103"/>
      <c r="N238" s="103" t="s">
        <v>947</v>
      </c>
      <c r="O238" s="104">
        <f t="shared" ref="O238:O267" si="28">+L238*E238</f>
        <v>1450</v>
      </c>
    </row>
    <row r="239" spans="1:15" s="8" customFormat="1" ht="15.75" x14ac:dyDescent="0.25">
      <c r="A239" s="113" t="s">
        <v>467</v>
      </c>
      <c r="B239" s="102">
        <v>44193</v>
      </c>
      <c r="C239" s="9" t="s">
        <v>721</v>
      </c>
      <c r="D239" s="30">
        <v>40</v>
      </c>
      <c r="E239" s="13">
        <v>230</v>
      </c>
      <c r="F239" s="50">
        <f t="shared" si="26"/>
        <v>9200</v>
      </c>
      <c r="G239" s="107">
        <v>44852</v>
      </c>
      <c r="H239" s="103">
        <f>10*10</f>
        <v>100</v>
      </c>
      <c r="I239" s="104">
        <v>326.62</v>
      </c>
      <c r="J239" s="104">
        <f>+I239*H239</f>
        <v>32662</v>
      </c>
      <c r="K239" s="103">
        <f>6+1+1+8</f>
        <v>16</v>
      </c>
      <c r="L239" s="103">
        <f t="shared" si="25"/>
        <v>124</v>
      </c>
      <c r="M239" s="103" t="s">
        <v>1037</v>
      </c>
      <c r="N239" s="103" t="s">
        <v>947</v>
      </c>
      <c r="O239" s="104">
        <f>+L239*I239</f>
        <v>40500.879999999997</v>
      </c>
    </row>
    <row r="240" spans="1:15" s="8" customFormat="1" ht="15.75" x14ac:dyDescent="0.25">
      <c r="A240" s="113" t="s">
        <v>468</v>
      </c>
      <c r="B240" s="102">
        <v>44193</v>
      </c>
      <c r="C240" s="9" t="s">
        <v>722</v>
      </c>
      <c r="D240" s="48">
        <v>100</v>
      </c>
      <c r="E240" s="13">
        <v>2.25</v>
      </c>
      <c r="F240" s="50">
        <f t="shared" si="26"/>
        <v>225</v>
      </c>
      <c r="G240" s="103"/>
      <c r="H240" s="103"/>
      <c r="I240" s="104"/>
      <c r="J240" s="104">
        <f t="shared" ref="J240:J251" si="29">+I240*H240</f>
        <v>0</v>
      </c>
      <c r="K240" s="103">
        <v>5</v>
      </c>
      <c r="L240" s="103">
        <f t="shared" ref="L240:L303" si="30">+D240+H240-K240</f>
        <v>95</v>
      </c>
      <c r="M240" s="103"/>
      <c r="N240" s="103" t="s">
        <v>947</v>
      </c>
      <c r="O240" s="104">
        <f t="shared" si="28"/>
        <v>213.75</v>
      </c>
    </row>
    <row r="241" spans="1:15" s="105" customFormat="1" ht="15.75" x14ac:dyDescent="0.25">
      <c r="A241" s="113" t="s">
        <v>469</v>
      </c>
      <c r="B241" s="102">
        <v>44193</v>
      </c>
      <c r="C241" s="9" t="s">
        <v>1039</v>
      </c>
      <c r="D241" s="48">
        <v>7</v>
      </c>
      <c r="E241" s="13">
        <v>250</v>
      </c>
      <c r="F241" s="50">
        <f t="shared" si="26"/>
        <v>1750</v>
      </c>
      <c r="G241" s="107">
        <v>44852</v>
      </c>
      <c r="H241" s="103">
        <f>2*10</f>
        <v>20</v>
      </c>
      <c r="I241" s="104">
        <v>428.22</v>
      </c>
      <c r="J241" s="104">
        <f t="shared" si="29"/>
        <v>8564.4000000000015</v>
      </c>
      <c r="K241" s="103"/>
      <c r="L241" s="103">
        <f t="shared" si="30"/>
        <v>27</v>
      </c>
      <c r="M241" s="103" t="s">
        <v>1037</v>
      </c>
      <c r="N241" s="103" t="s">
        <v>947</v>
      </c>
      <c r="O241" s="104">
        <f>+L241*I241</f>
        <v>11561.94</v>
      </c>
    </row>
    <row r="242" spans="1:15" s="8" customFormat="1" ht="15.75" x14ac:dyDescent="0.25">
      <c r="A242" s="113" t="s">
        <v>470</v>
      </c>
      <c r="B242" s="102">
        <v>44193</v>
      </c>
      <c r="C242" s="9" t="s">
        <v>725</v>
      </c>
      <c r="D242" s="48">
        <v>61</v>
      </c>
      <c r="E242" s="13">
        <v>30</v>
      </c>
      <c r="F242" s="50">
        <f t="shared" si="26"/>
        <v>1830</v>
      </c>
      <c r="G242" s="107">
        <v>44852</v>
      </c>
      <c r="H242" s="103">
        <v>2</v>
      </c>
      <c r="I242" s="104">
        <v>21.69</v>
      </c>
      <c r="J242" s="104">
        <f t="shared" si="29"/>
        <v>43.38</v>
      </c>
      <c r="K242" s="103">
        <v>15</v>
      </c>
      <c r="L242" s="103">
        <f t="shared" si="30"/>
        <v>48</v>
      </c>
      <c r="M242" s="103" t="s">
        <v>1037</v>
      </c>
      <c r="N242" s="103" t="s">
        <v>947</v>
      </c>
      <c r="O242" s="104">
        <f>+L242*I242</f>
        <v>1041.1200000000001</v>
      </c>
    </row>
    <row r="243" spans="1:15" s="105" customFormat="1" ht="15.75" x14ac:dyDescent="0.25">
      <c r="A243" s="113" t="s">
        <v>466</v>
      </c>
      <c r="B243" s="102">
        <v>44193</v>
      </c>
      <c r="C243" s="9" t="s">
        <v>781</v>
      </c>
      <c r="D243" s="48">
        <v>2</v>
      </c>
      <c r="E243" s="13">
        <v>725</v>
      </c>
      <c r="F243" s="50">
        <f t="shared" si="26"/>
        <v>1450</v>
      </c>
      <c r="G243" s="107">
        <v>44851</v>
      </c>
      <c r="H243" s="103">
        <v>2</v>
      </c>
      <c r="I243" s="104">
        <v>857.86</v>
      </c>
      <c r="J243" s="103">
        <f>+I243*H243</f>
        <v>1715.72</v>
      </c>
      <c r="K243" s="103"/>
      <c r="L243" s="103">
        <f t="shared" si="30"/>
        <v>4</v>
      </c>
      <c r="M243" s="103" t="s">
        <v>1037</v>
      </c>
      <c r="N243" s="103" t="s">
        <v>947</v>
      </c>
      <c r="O243" s="104">
        <f>+L243*I243</f>
        <v>3431.44</v>
      </c>
    </row>
    <row r="244" spans="1:15" s="8" customFormat="1" ht="15.75" x14ac:dyDescent="0.25">
      <c r="A244" s="113" t="s">
        <v>472</v>
      </c>
      <c r="B244" s="102">
        <v>44652</v>
      </c>
      <c r="C244" s="128" t="s">
        <v>727</v>
      </c>
      <c r="D244" s="14">
        <v>190</v>
      </c>
      <c r="E244" s="13">
        <v>560</v>
      </c>
      <c r="F244" s="50">
        <f t="shared" si="26"/>
        <v>106400</v>
      </c>
      <c r="G244" s="107">
        <v>44778</v>
      </c>
      <c r="H244" s="103">
        <f>70*6</f>
        <v>420</v>
      </c>
      <c r="I244" s="104">
        <f>65254/H244</f>
        <v>155.36666666666667</v>
      </c>
      <c r="J244" s="104">
        <f t="shared" si="29"/>
        <v>65254</v>
      </c>
      <c r="K244" s="103">
        <f>4+4+4+2+4+3+6+6+3+12+4+4+3+6+1+2+4+5+18+24+6+18+4+24+12+12+12</f>
        <v>207</v>
      </c>
      <c r="L244" s="103">
        <f t="shared" si="30"/>
        <v>403</v>
      </c>
      <c r="M244" s="103" t="s">
        <v>943</v>
      </c>
      <c r="N244" s="103" t="s">
        <v>947</v>
      </c>
      <c r="O244" s="104">
        <f>+L244*I244</f>
        <v>62612.76666666667</v>
      </c>
    </row>
    <row r="245" spans="1:15" s="8" customFormat="1" ht="15.75" x14ac:dyDescent="0.25">
      <c r="A245" s="113" t="s">
        <v>473</v>
      </c>
      <c r="B245" s="106" t="s">
        <v>112</v>
      </c>
      <c r="C245" s="26" t="s">
        <v>752</v>
      </c>
      <c r="D245" s="38">
        <v>3</v>
      </c>
      <c r="E245" s="13">
        <v>135</v>
      </c>
      <c r="F245" s="50">
        <f t="shared" si="26"/>
        <v>405</v>
      </c>
      <c r="G245" s="103"/>
      <c r="H245" s="103"/>
      <c r="I245" s="104"/>
      <c r="J245" s="104">
        <f t="shared" si="29"/>
        <v>0</v>
      </c>
      <c r="K245" s="103"/>
      <c r="L245" s="103">
        <f t="shared" si="30"/>
        <v>3</v>
      </c>
      <c r="M245" s="103"/>
      <c r="N245" s="103" t="s">
        <v>947</v>
      </c>
      <c r="O245" s="104">
        <f t="shared" si="28"/>
        <v>405</v>
      </c>
    </row>
    <row r="246" spans="1:15" s="105" customFormat="1" ht="15.75" x14ac:dyDescent="0.25">
      <c r="A246" s="113" t="s">
        <v>507</v>
      </c>
      <c r="B246" s="102">
        <v>44193</v>
      </c>
      <c r="C246" s="9" t="s">
        <v>728</v>
      </c>
      <c r="D246" s="30">
        <v>0</v>
      </c>
      <c r="E246" s="13">
        <v>62.5</v>
      </c>
      <c r="F246" s="50">
        <f t="shared" si="26"/>
        <v>0</v>
      </c>
      <c r="G246" s="107">
        <v>44852</v>
      </c>
      <c r="H246" s="103">
        <v>5</v>
      </c>
      <c r="I246" s="104">
        <v>206.54</v>
      </c>
      <c r="J246" s="103">
        <f>+I246*H246</f>
        <v>1032.7</v>
      </c>
      <c r="K246" s="103">
        <v>1</v>
      </c>
      <c r="L246" s="103">
        <f t="shared" si="30"/>
        <v>4</v>
      </c>
      <c r="M246" s="103" t="s">
        <v>1037</v>
      </c>
      <c r="N246" s="103" t="s">
        <v>947</v>
      </c>
      <c r="O246" s="104">
        <f>+L246*I246</f>
        <v>826.16</v>
      </c>
    </row>
    <row r="247" spans="1:15" s="8" customFormat="1" ht="15.75" x14ac:dyDescent="0.25">
      <c r="A247" s="113" t="s">
        <v>508</v>
      </c>
      <c r="B247" s="102">
        <v>44193</v>
      </c>
      <c r="C247" s="9" t="s">
        <v>729</v>
      </c>
      <c r="D247" s="30">
        <v>226</v>
      </c>
      <c r="E247" s="13">
        <v>22.2</v>
      </c>
      <c r="F247" s="50">
        <f t="shared" si="26"/>
        <v>5017.2</v>
      </c>
      <c r="G247" s="103"/>
      <c r="H247" s="103"/>
      <c r="I247" s="104"/>
      <c r="J247" s="104">
        <f t="shared" si="29"/>
        <v>0</v>
      </c>
      <c r="K247" s="103"/>
      <c r="L247" s="103">
        <f t="shared" si="30"/>
        <v>226</v>
      </c>
      <c r="M247" s="103"/>
      <c r="N247" s="103" t="s">
        <v>947</v>
      </c>
      <c r="O247" s="104">
        <f t="shared" si="28"/>
        <v>5017.2</v>
      </c>
    </row>
    <row r="248" spans="1:15" s="8" customFormat="1" ht="15.75" x14ac:dyDescent="0.25">
      <c r="A248" s="113" t="s">
        <v>509</v>
      </c>
      <c r="B248" s="102">
        <v>44193</v>
      </c>
      <c r="C248" s="9" t="s">
        <v>730</v>
      </c>
      <c r="D248" s="30">
        <v>2</v>
      </c>
      <c r="E248" s="13">
        <v>375</v>
      </c>
      <c r="F248" s="50">
        <f t="shared" si="26"/>
        <v>750</v>
      </c>
      <c r="G248" s="107">
        <v>44610</v>
      </c>
      <c r="H248" s="103">
        <v>2</v>
      </c>
      <c r="I248" s="104">
        <v>284.99</v>
      </c>
      <c r="J248" s="104">
        <f t="shared" si="29"/>
        <v>569.98</v>
      </c>
      <c r="K248" s="103"/>
      <c r="L248" s="103">
        <f t="shared" si="30"/>
        <v>4</v>
      </c>
      <c r="M248" s="103" t="s">
        <v>1037</v>
      </c>
      <c r="N248" s="103" t="s">
        <v>947</v>
      </c>
      <c r="O248" s="104">
        <f>+L248*I248</f>
        <v>1139.96</v>
      </c>
    </row>
    <row r="249" spans="1:15" s="8" customFormat="1" ht="15.75" x14ac:dyDescent="0.25">
      <c r="A249" s="113" t="s">
        <v>869</v>
      </c>
      <c r="B249" s="102">
        <v>44193</v>
      </c>
      <c r="C249" s="25" t="s">
        <v>825</v>
      </c>
      <c r="D249" s="38">
        <v>11</v>
      </c>
      <c r="E249" s="13">
        <v>301</v>
      </c>
      <c r="F249" s="50">
        <f t="shared" si="26"/>
        <v>3311</v>
      </c>
      <c r="G249" s="103"/>
      <c r="H249" s="103"/>
      <c r="I249" s="104"/>
      <c r="J249" s="104">
        <f t="shared" si="29"/>
        <v>0</v>
      </c>
      <c r="K249" s="103"/>
      <c r="L249" s="103">
        <f t="shared" si="30"/>
        <v>11</v>
      </c>
      <c r="M249" s="103"/>
      <c r="N249" s="103" t="s">
        <v>947</v>
      </c>
      <c r="O249" s="104">
        <f t="shared" si="28"/>
        <v>3311</v>
      </c>
    </row>
    <row r="250" spans="1:15" s="92" customFormat="1" x14ac:dyDescent="0.3">
      <c r="A250" s="113" t="s">
        <v>512</v>
      </c>
      <c r="B250" s="106" t="s">
        <v>106</v>
      </c>
      <c r="C250" s="25" t="s">
        <v>731</v>
      </c>
      <c r="D250" s="30">
        <v>0</v>
      </c>
      <c r="E250" s="51">
        <v>171.6</v>
      </c>
      <c r="F250" s="50">
        <f t="shared" si="26"/>
        <v>0</v>
      </c>
      <c r="G250" s="107">
        <v>44903</v>
      </c>
      <c r="H250" s="103">
        <f>5*48</f>
        <v>240</v>
      </c>
      <c r="I250" s="104">
        <v>56.54</v>
      </c>
      <c r="J250" s="104">
        <f t="shared" si="29"/>
        <v>13569.6</v>
      </c>
      <c r="K250" s="103">
        <v>48</v>
      </c>
      <c r="L250" s="103">
        <f t="shared" si="30"/>
        <v>192</v>
      </c>
      <c r="M250" s="103" t="s">
        <v>1006</v>
      </c>
      <c r="N250" s="103" t="s">
        <v>945</v>
      </c>
      <c r="O250" s="104">
        <f t="shared" si="28"/>
        <v>32947.199999999997</v>
      </c>
    </row>
    <row r="251" spans="1:15" s="105" customFormat="1" ht="15.75" x14ac:dyDescent="0.25">
      <c r="A251" s="113" t="s">
        <v>870</v>
      </c>
      <c r="B251" s="102">
        <v>44193</v>
      </c>
      <c r="C251" s="9" t="s">
        <v>950</v>
      </c>
      <c r="D251" s="30">
        <v>12</v>
      </c>
      <c r="E251" s="13">
        <v>65</v>
      </c>
      <c r="F251" s="50">
        <f t="shared" si="26"/>
        <v>780</v>
      </c>
      <c r="G251" s="107">
        <v>44852</v>
      </c>
      <c r="H251" s="103">
        <v>32</v>
      </c>
      <c r="I251" s="104">
        <v>44.54</v>
      </c>
      <c r="J251" s="104">
        <f t="shared" si="29"/>
        <v>1425.28</v>
      </c>
      <c r="K251" s="103">
        <f>4+4</f>
        <v>8</v>
      </c>
      <c r="L251" s="103">
        <f t="shared" si="30"/>
        <v>36</v>
      </c>
      <c r="M251" s="103"/>
      <c r="N251" s="103" t="s">
        <v>945</v>
      </c>
      <c r="O251" s="104">
        <f>+L251*I251</f>
        <v>1603.44</v>
      </c>
    </row>
    <row r="252" spans="1:15" s="92" customFormat="1" x14ac:dyDescent="0.3">
      <c r="A252" s="113" t="s">
        <v>513</v>
      </c>
      <c r="B252" s="102">
        <v>44678</v>
      </c>
      <c r="C252" s="25" t="s">
        <v>853</v>
      </c>
      <c r="D252" s="56">
        <v>16</v>
      </c>
      <c r="E252" s="13">
        <v>3000</v>
      </c>
      <c r="F252" s="50">
        <f t="shared" si="26"/>
        <v>48000</v>
      </c>
      <c r="G252" s="103"/>
      <c r="H252" s="103"/>
      <c r="I252" s="104"/>
      <c r="J252" s="103"/>
      <c r="K252" s="103"/>
      <c r="L252" s="103">
        <f t="shared" si="30"/>
        <v>16</v>
      </c>
      <c r="M252" s="103"/>
      <c r="N252" s="103" t="s">
        <v>945</v>
      </c>
      <c r="O252" s="104">
        <f t="shared" si="28"/>
        <v>48000</v>
      </c>
    </row>
    <row r="253" spans="1:15" s="92" customFormat="1" x14ac:dyDescent="0.3">
      <c r="A253" s="113" t="s">
        <v>514</v>
      </c>
      <c r="B253" s="102">
        <v>44193</v>
      </c>
      <c r="C253" s="25" t="s">
        <v>734</v>
      </c>
      <c r="D253" s="38">
        <v>0</v>
      </c>
      <c r="E253" s="13">
        <v>1500</v>
      </c>
      <c r="F253" s="50">
        <f t="shared" si="26"/>
        <v>0</v>
      </c>
      <c r="G253" s="103"/>
      <c r="H253" s="103"/>
      <c r="I253" s="104"/>
      <c r="J253" s="103"/>
      <c r="K253" s="103"/>
      <c r="L253" s="103">
        <f t="shared" si="30"/>
        <v>0</v>
      </c>
      <c r="M253" s="103"/>
      <c r="N253" s="103" t="s">
        <v>945</v>
      </c>
      <c r="O253" s="104">
        <f t="shared" si="28"/>
        <v>0</v>
      </c>
    </row>
    <row r="254" spans="1:15" s="92" customFormat="1" x14ac:dyDescent="0.3">
      <c r="A254" s="113" t="s">
        <v>871</v>
      </c>
      <c r="B254" s="102">
        <v>44678</v>
      </c>
      <c r="C254" s="25" t="s">
        <v>852</v>
      </c>
      <c r="D254" s="57">
        <v>11</v>
      </c>
      <c r="E254" s="13">
        <v>1500</v>
      </c>
      <c r="F254" s="50">
        <f t="shared" si="26"/>
        <v>16500</v>
      </c>
      <c r="G254" s="103"/>
      <c r="H254" s="103"/>
      <c r="I254" s="104"/>
      <c r="J254" s="103"/>
      <c r="K254" s="103"/>
      <c r="L254" s="103">
        <f t="shared" si="30"/>
        <v>11</v>
      </c>
      <c r="M254" s="103"/>
      <c r="N254" s="103" t="s">
        <v>945</v>
      </c>
      <c r="O254" s="104">
        <f t="shared" si="28"/>
        <v>16500</v>
      </c>
    </row>
    <row r="255" spans="1:15" s="92" customFormat="1" x14ac:dyDescent="0.3">
      <c r="A255" s="113" t="s">
        <v>872</v>
      </c>
      <c r="B255" s="102">
        <v>44678</v>
      </c>
      <c r="C255" s="25" t="s">
        <v>735</v>
      </c>
      <c r="D255" s="57">
        <v>3</v>
      </c>
      <c r="E255" s="13">
        <v>3800</v>
      </c>
      <c r="F255" s="50">
        <f t="shared" si="26"/>
        <v>11400</v>
      </c>
      <c r="G255" s="103"/>
      <c r="H255" s="103"/>
      <c r="I255" s="104"/>
      <c r="J255" s="103"/>
      <c r="K255" s="103"/>
      <c r="L255" s="103">
        <f t="shared" si="30"/>
        <v>3</v>
      </c>
      <c r="M255" s="103"/>
      <c r="N255" s="103" t="s">
        <v>945</v>
      </c>
      <c r="O255" s="104">
        <f t="shared" si="28"/>
        <v>11400</v>
      </c>
    </row>
    <row r="256" spans="1:15" s="92" customFormat="1" x14ac:dyDescent="0.3">
      <c r="A256" s="113" t="s">
        <v>515</v>
      </c>
      <c r="B256" s="102">
        <v>44678</v>
      </c>
      <c r="C256" s="25" t="s">
        <v>737</v>
      </c>
      <c r="D256" s="57">
        <v>2</v>
      </c>
      <c r="E256" s="13">
        <v>1500</v>
      </c>
      <c r="F256" s="50">
        <f t="shared" si="26"/>
        <v>3000</v>
      </c>
      <c r="G256" s="103"/>
      <c r="H256" s="103"/>
      <c r="I256" s="104"/>
      <c r="J256" s="103"/>
      <c r="K256" s="103"/>
      <c r="L256" s="103">
        <f t="shared" si="30"/>
        <v>2</v>
      </c>
      <c r="M256" s="103"/>
      <c r="N256" s="103" t="s">
        <v>945</v>
      </c>
      <c r="O256" s="104">
        <f t="shared" si="28"/>
        <v>3000</v>
      </c>
    </row>
    <row r="257" spans="1:15" s="92" customFormat="1" x14ac:dyDescent="0.3">
      <c r="A257" s="113" t="s">
        <v>516</v>
      </c>
      <c r="B257" s="102">
        <v>44678</v>
      </c>
      <c r="C257" s="25" t="s">
        <v>736</v>
      </c>
      <c r="D257" s="57">
        <v>2</v>
      </c>
      <c r="E257" s="13">
        <v>3800</v>
      </c>
      <c r="F257" s="50">
        <f t="shared" si="26"/>
        <v>7600</v>
      </c>
      <c r="G257" s="103"/>
      <c r="H257" s="103"/>
      <c r="I257" s="104"/>
      <c r="J257" s="103"/>
      <c r="K257" s="103"/>
      <c r="L257" s="103">
        <f t="shared" si="30"/>
        <v>2</v>
      </c>
      <c r="M257" s="103"/>
      <c r="N257" s="103" t="s">
        <v>945</v>
      </c>
      <c r="O257" s="104">
        <f t="shared" si="28"/>
        <v>7600</v>
      </c>
    </row>
    <row r="258" spans="1:15" s="92" customFormat="1" x14ac:dyDescent="0.3">
      <c r="A258" s="113" t="s">
        <v>517</v>
      </c>
      <c r="B258" s="102">
        <v>44678</v>
      </c>
      <c r="C258" s="25" t="s">
        <v>738</v>
      </c>
      <c r="D258" s="57">
        <v>4</v>
      </c>
      <c r="E258" s="13">
        <v>3800</v>
      </c>
      <c r="F258" s="50">
        <f t="shared" si="26"/>
        <v>15200</v>
      </c>
      <c r="G258" s="103"/>
      <c r="H258" s="103"/>
      <c r="I258" s="104"/>
      <c r="J258" s="103"/>
      <c r="K258" s="103"/>
      <c r="L258" s="103">
        <f t="shared" si="30"/>
        <v>4</v>
      </c>
      <c r="M258" s="103"/>
      <c r="N258" s="103" t="s">
        <v>945</v>
      </c>
      <c r="O258" s="104">
        <f t="shared" si="28"/>
        <v>15200</v>
      </c>
    </row>
    <row r="259" spans="1:15" s="92" customFormat="1" x14ac:dyDescent="0.3">
      <c r="A259" s="113" t="s">
        <v>518</v>
      </c>
      <c r="B259" s="102">
        <v>44678</v>
      </c>
      <c r="C259" s="26" t="s">
        <v>751</v>
      </c>
      <c r="D259" s="57">
        <v>16</v>
      </c>
      <c r="E259" s="13">
        <v>3000</v>
      </c>
      <c r="F259" s="50">
        <f t="shared" si="26"/>
        <v>48000</v>
      </c>
      <c r="G259" s="103"/>
      <c r="H259" s="103"/>
      <c r="I259" s="104"/>
      <c r="J259" s="103"/>
      <c r="K259" s="103"/>
      <c r="L259" s="103">
        <f t="shared" si="30"/>
        <v>16</v>
      </c>
      <c r="M259" s="103"/>
      <c r="N259" s="103" t="s">
        <v>945</v>
      </c>
      <c r="O259" s="104">
        <f t="shared" si="28"/>
        <v>48000</v>
      </c>
    </row>
    <row r="260" spans="1:15" s="92" customFormat="1" x14ac:dyDescent="0.3">
      <c r="A260" s="113" t="s">
        <v>519</v>
      </c>
      <c r="B260" s="102">
        <v>44678</v>
      </c>
      <c r="C260" s="25" t="s">
        <v>845</v>
      </c>
      <c r="D260" s="38">
        <v>2</v>
      </c>
      <c r="E260" s="13">
        <v>200</v>
      </c>
      <c r="F260" s="50">
        <f t="shared" si="26"/>
        <v>400</v>
      </c>
      <c r="G260" s="103"/>
      <c r="H260" s="103"/>
      <c r="I260" s="104"/>
      <c r="J260" s="103"/>
      <c r="K260" s="103"/>
      <c r="L260" s="103">
        <f t="shared" si="30"/>
        <v>2</v>
      </c>
      <c r="M260" s="103"/>
      <c r="N260" s="103" t="s">
        <v>945</v>
      </c>
      <c r="O260" s="104">
        <f t="shared" si="28"/>
        <v>400</v>
      </c>
    </row>
    <row r="261" spans="1:15" s="8" customFormat="1" ht="15.75" x14ac:dyDescent="0.25">
      <c r="A261" s="113" t="s">
        <v>520</v>
      </c>
      <c r="B261" s="102">
        <v>44193</v>
      </c>
      <c r="C261" s="9" t="s">
        <v>740</v>
      </c>
      <c r="D261" s="30">
        <v>3</v>
      </c>
      <c r="E261" s="13">
        <v>75</v>
      </c>
      <c r="F261" s="50">
        <f>D261*E261</f>
        <v>225</v>
      </c>
      <c r="G261" s="103"/>
      <c r="H261" s="103"/>
      <c r="I261" s="104"/>
      <c r="J261" s="103"/>
      <c r="K261" s="103"/>
      <c r="L261" s="103">
        <f t="shared" si="30"/>
        <v>3</v>
      </c>
      <c r="M261" s="103"/>
      <c r="N261" s="103" t="s">
        <v>947</v>
      </c>
      <c r="O261" s="104">
        <f t="shared" si="28"/>
        <v>225</v>
      </c>
    </row>
    <row r="262" spans="1:15" s="8" customFormat="1" ht="15.75" x14ac:dyDescent="0.25">
      <c r="A262" s="113" t="s">
        <v>521</v>
      </c>
      <c r="B262" s="102">
        <v>44193</v>
      </c>
      <c r="C262" s="9" t="s">
        <v>739</v>
      </c>
      <c r="D262" s="30">
        <v>300</v>
      </c>
      <c r="E262" s="13">
        <v>29</v>
      </c>
      <c r="F262" s="50">
        <f>D262*E262</f>
        <v>8700</v>
      </c>
      <c r="G262" s="103"/>
      <c r="H262" s="103"/>
      <c r="I262" s="104"/>
      <c r="J262" s="103"/>
      <c r="K262" s="103"/>
      <c r="L262" s="103">
        <f t="shared" si="30"/>
        <v>300</v>
      </c>
      <c r="M262" s="103"/>
      <c r="N262" s="103" t="s">
        <v>947</v>
      </c>
      <c r="O262" s="104">
        <f t="shared" si="28"/>
        <v>8700</v>
      </c>
    </row>
    <row r="263" spans="1:15" s="8" customFormat="1" ht="15.75" x14ac:dyDescent="0.25">
      <c r="A263" s="113" t="s">
        <v>522</v>
      </c>
      <c r="B263" s="102">
        <v>44193</v>
      </c>
      <c r="C263" s="25" t="s">
        <v>826</v>
      </c>
      <c r="D263" s="38">
        <v>16</v>
      </c>
      <c r="E263" s="13">
        <v>143</v>
      </c>
      <c r="F263" s="50">
        <f>D263*E263</f>
        <v>2288</v>
      </c>
      <c r="G263" s="103"/>
      <c r="H263" s="103"/>
      <c r="I263" s="104"/>
      <c r="J263" s="103"/>
      <c r="K263" s="103"/>
      <c r="L263" s="103">
        <f t="shared" si="30"/>
        <v>16</v>
      </c>
      <c r="M263" s="103"/>
      <c r="N263" s="103" t="s">
        <v>946</v>
      </c>
      <c r="O263" s="104">
        <f t="shared" si="28"/>
        <v>2288</v>
      </c>
    </row>
    <row r="264" spans="1:15" s="8" customFormat="1" ht="15.75" x14ac:dyDescent="0.25">
      <c r="A264" s="113" t="s">
        <v>523</v>
      </c>
      <c r="B264" s="102">
        <v>44193</v>
      </c>
      <c r="C264" s="9" t="s">
        <v>741</v>
      </c>
      <c r="D264" s="56">
        <v>112</v>
      </c>
      <c r="E264" s="13">
        <v>8.5</v>
      </c>
      <c r="F264" s="50">
        <f t="shared" ref="F264:F271" si="31">D264*E264</f>
        <v>952</v>
      </c>
      <c r="G264" s="103"/>
      <c r="H264" s="103"/>
      <c r="I264" s="104"/>
      <c r="J264" s="103"/>
      <c r="K264" s="103"/>
      <c r="L264" s="103">
        <f t="shared" si="30"/>
        <v>112</v>
      </c>
      <c r="M264" s="103"/>
      <c r="N264" s="103" t="s">
        <v>947</v>
      </c>
      <c r="O264" s="104">
        <f t="shared" si="28"/>
        <v>952</v>
      </c>
    </row>
    <row r="265" spans="1:15" s="8" customFormat="1" ht="15.75" x14ac:dyDescent="0.25">
      <c r="A265" s="113" t="s">
        <v>524</v>
      </c>
      <c r="B265" s="102">
        <v>44193</v>
      </c>
      <c r="C265" s="9" t="s">
        <v>742</v>
      </c>
      <c r="D265" s="56">
        <v>24</v>
      </c>
      <c r="E265" s="13">
        <v>12</v>
      </c>
      <c r="F265" s="50">
        <f t="shared" si="31"/>
        <v>288</v>
      </c>
      <c r="G265" s="103"/>
      <c r="H265" s="103"/>
      <c r="I265" s="104"/>
      <c r="J265" s="103"/>
      <c r="K265" s="103"/>
      <c r="L265" s="103">
        <f t="shared" si="30"/>
        <v>24</v>
      </c>
      <c r="M265" s="103"/>
      <c r="N265" s="103" t="s">
        <v>947</v>
      </c>
      <c r="O265" s="104">
        <f t="shared" si="28"/>
        <v>288</v>
      </c>
    </row>
    <row r="266" spans="1:15" s="8" customFormat="1" ht="15.75" x14ac:dyDescent="0.25">
      <c r="A266" s="113" t="s">
        <v>525</v>
      </c>
      <c r="B266" s="102">
        <v>44193</v>
      </c>
      <c r="C266" s="9" t="s">
        <v>743</v>
      </c>
      <c r="D266" s="30">
        <v>34</v>
      </c>
      <c r="E266" s="13">
        <v>8</v>
      </c>
      <c r="F266" s="50">
        <f t="shared" si="31"/>
        <v>272</v>
      </c>
      <c r="G266" s="103"/>
      <c r="H266" s="103"/>
      <c r="I266" s="104"/>
      <c r="J266" s="103"/>
      <c r="K266" s="103"/>
      <c r="L266" s="103">
        <f t="shared" si="30"/>
        <v>34</v>
      </c>
      <c r="M266" s="103"/>
      <c r="N266" s="103" t="s">
        <v>947</v>
      </c>
      <c r="O266" s="104">
        <f t="shared" si="28"/>
        <v>272</v>
      </c>
    </row>
    <row r="267" spans="1:15" s="105" customFormat="1" ht="15.75" x14ac:dyDescent="0.25">
      <c r="A267" s="113" t="s">
        <v>526</v>
      </c>
      <c r="B267" s="102">
        <v>44193</v>
      </c>
      <c r="C267" s="9" t="s">
        <v>744</v>
      </c>
      <c r="D267" s="30">
        <v>1</v>
      </c>
      <c r="E267" s="13">
        <v>150</v>
      </c>
      <c r="F267" s="50">
        <f t="shared" si="31"/>
        <v>150</v>
      </c>
      <c r="G267" s="107">
        <v>44852</v>
      </c>
      <c r="H267" s="103">
        <v>5</v>
      </c>
      <c r="I267" s="104">
        <v>91.99</v>
      </c>
      <c r="J267" s="108">
        <f>+H267*I267</f>
        <v>459.95</v>
      </c>
      <c r="K267" s="103"/>
      <c r="L267" s="103">
        <f t="shared" si="30"/>
        <v>6</v>
      </c>
      <c r="M267" s="103" t="s">
        <v>1037</v>
      </c>
      <c r="N267" s="103" t="s">
        <v>947</v>
      </c>
      <c r="O267" s="104">
        <f t="shared" si="28"/>
        <v>900</v>
      </c>
    </row>
    <row r="268" spans="1:15" s="8" customFormat="1" ht="31.5" x14ac:dyDescent="0.25">
      <c r="A268" s="113" t="s">
        <v>527</v>
      </c>
      <c r="B268" s="102">
        <v>44193</v>
      </c>
      <c r="C268" s="9" t="s">
        <v>745</v>
      </c>
      <c r="D268" s="30">
        <v>1</v>
      </c>
      <c r="E268" s="13">
        <v>211.86</v>
      </c>
      <c r="F268" s="50">
        <f t="shared" si="31"/>
        <v>211.86</v>
      </c>
      <c r="G268" s="107">
        <v>44851</v>
      </c>
      <c r="H268" s="103">
        <v>20</v>
      </c>
      <c r="I268" s="104">
        <v>188.21</v>
      </c>
      <c r="J268" s="108">
        <f>+H268*I268</f>
        <v>3764.2000000000003</v>
      </c>
      <c r="K268" s="103">
        <v>3</v>
      </c>
      <c r="L268" s="103">
        <f t="shared" si="30"/>
        <v>18</v>
      </c>
      <c r="M268" s="121" t="s">
        <v>1006</v>
      </c>
      <c r="N268" s="103" t="s">
        <v>946</v>
      </c>
      <c r="O268" s="104">
        <f>+L268*I268</f>
        <v>3387.78</v>
      </c>
    </row>
    <row r="269" spans="1:15" s="8" customFormat="1" ht="15.75" x14ac:dyDescent="0.25">
      <c r="A269" s="113" t="s">
        <v>528</v>
      </c>
      <c r="B269" s="106" t="s">
        <v>105</v>
      </c>
      <c r="C269" s="9" t="s">
        <v>747</v>
      </c>
      <c r="D269" s="30">
        <f>90+44</f>
        <v>134</v>
      </c>
      <c r="E269" s="13">
        <v>25.42</v>
      </c>
      <c r="F269" s="50">
        <f t="shared" si="31"/>
        <v>3406.28</v>
      </c>
      <c r="G269" s="103"/>
      <c r="H269" s="103"/>
      <c r="I269" s="104"/>
      <c r="J269" s="103"/>
      <c r="K269" s="103"/>
      <c r="L269" s="103">
        <f t="shared" si="30"/>
        <v>134</v>
      </c>
      <c r="M269" s="103"/>
      <c r="N269" s="103" t="s">
        <v>947</v>
      </c>
      <c r="O269" s="104">
        <f t="shared" ref="O269:O274" si="32">+L269*E269</f>
        <v>3406.28</v>
      </c>
    </row>
    <row r="270" spans="1:15" s="8" customFormat="1" ht="15.75" x14ac:dyDescent="0.25">
      <c r="A270" s="113" t="s">
        <v>529</v>
      </c>
      <c r="B270" s="102">
        <v>44193</v>
      </c>
      <c r="C270" s="9" t="s">
        <v>748</v>
      </c>
      <c r="D270" s="30">
        <v>31</v>
      </c>
      <c r="E270" s="13">
        <v>50</v>
      </c>
      <c r="F270" s="50">
        <f t="shared" si="31"/>
        <v>1550</v>
      </c>
      <c r="G270" s="107">
        <v>44852</v>
      </c>
      <c r="H270" s="103">
        <f>10*12</f>
        <v>120</v>
      </c>
      <c r="I270" s="104">
        <v>23.82</v>
      </c>
      <c r="J270" s="108">
        <f>+H270*I270</f>
        <v>2858.4</v>
      </c>
      <c r="K270" s="103"/>
      <c r="L270" s="103">
        <f t="shared" si="30"/>
        <v>151</v>
      </c>
      <c r="M270" s="103" t="s">
        <v>1037</v>
      </c>
      <c r="N270" s="103" t="s">
        <v>947</v>
      </c>
      <c r="O270" s="104">
        <f>+L270*I270</f>
        <v>3596.82</v>
      </c>
    </row>
    <row r="271" spans="1:15" s="8" customFormat="1" ht="15.75" x14ac:dyDescent="0.25">
      <c r="A271" s="113" t="s">
        <v>873</v>
      </c>
      <c r="B271" s="102">
        <v>44193</v>
      </c>
      <c r="C271" s="25" t="s">
        <v>785</v>
      </c>
      <c r="D271" s="38">
        <v>4</v>
      </c>
      <c r="E271" s="13">
        <v>45</v>
      </c>
      <c r="F271" s="50">
        <f t="shared" si="31"/>
        <v>180</v>
      </c>
      <c r="G271" s="103"/>
      <c r="H271" s="103"/>
      <c r="I271" s="104"/>
      <c r="J271" s="103"/>
      <c r="K271" s="103"/>
      <c r="L271" s="103">
        <f t="shared" si="30"/>
        <v>4</v>
      </c>
      <c r="M271" s="103"/>
      <c r="N271" s="103" t="s">
        <v>947</v>
      </c>
      <c r="O271" s="104">
        <f t="shared" si="32"/>
        <v>180</v>
      </c>
    </row>
    <row r="272" spans="1:15" s="8" customFormat="1" ht="15.75" x14ac:dyDescent="0.25">
      <c r="A272" s="113" t="s">
        <v>874</v>
      </c>
      <c r="B272" s="106" t="s">
        <v>105</v>
      </c>
      <c r="C272" s="9" t="s">
        <v>746</v>
      </c>
      <c r="D272" s="30">
        <v>7</v>
      </c>
      <c r="E272" s="51">
        <v>48</v>
      </c>
      <c r="F272" s="50">
        <f>D272*E272</f>
        <v>336</v>
      </c>
      <c r="G272" s="103"/>
      <c r="H272" s="103"/>
      <c r="I272" s="104"/>
      <c r="J272" s="103"/>
      <c r="K272" s="103">
        <f>3+2</f>
        <v>5</v>
      </c>
      <c r="L272" s="103">
        <f t="shared" si="30"/>
        <v>2</v>
      </c>
      <c r="M272" s="103"/>
      <c r="N272" s="103" t="s">
        <v>947</v>
      </c>
      <c r="O272" s="104">
        <f t="shared" si="32"/>
        <v>96</v>
      </c>
    </row>
    <row r="273" spans="1:15" s="8" customFormat="1" ht="15.75" x14ac:dyDescent="0.25">
      <c r="A273" s="113" t="s">
        <v>875</v>
      </c>
      <c r="B273" s="102"/>
      <c r="C273" s="25" t="s">
        <v>815</v>
      </c>
      <c r="D273" s="38">
        <v>6</v>
      </c>
      <c r="E273" s="13"/>
      <c r="F273" s="50"/>
      <c r="G273" s="103"/>
      <c r="H273" s="103"/>
      <c r="I273" s="104"/>
      <c r="J273" s="103"/>
      <c r="K273" s="103"/>
      <c r="L273" s="103">
        <f t="shared" si="30"/>
        <v>6</v>
      </c>
      <c r="M273" s="103"/>
      <c r="N273" s="103" t="s">
        <v>946</v>
      </c>
      <c r="O273" s="104">
        <f t="shared" si="32"/>
        <v>0</v>
      </c>
    </row>
    <row r="274" spans="1:15" s="92" customFormat="1" x14ac:dyDescent="0.3">
      <c r="A274" s="113" t="s">
        <v>876</v>
      </c>
      <c r="B274" s="102">
        <v>44193</v>
      </c>
      <c r="C274" s="26" t="s">
        <v>750</v>
      </c>
      <c r="D274" s="38">
        <v>20</v>
      </c>
      <c r="E274" s="13">
        <v>1449.14</v>
      </c>
      <c r="F274" s="50">
        <f t="shared" ref="F274:F286" si="33">D274*E274</f>
        <v>28982.800000000003</v>
      </c>
      <c r="G274" s="103"/>
      <c r="H274" s="103"/>
      <c r="I274" s="104"/>
      <c r="J274" s="103"/>
      <c r="K274" s="103"/>
      <c r="L274" s="103">
        <f t="shared" si="30"/>
        <v>20</v>
      </c>
      <c r="M274" s="103"/>
      <c r="N274" s="103" t="s">
        <v>945</v>
      </c>
      <c r="O274" s="104">
        <f t="shared" si="32"/>
        <v>28982.800000000003</v>
      </c>
    </row>
    <row r="275" spans="1:15" s="92" customFormat="1" x14ac:dyDescent="0.3">
      <c r="A275" s="113" t="s">
        <v>877</v>
      </c>
      <c r="B275" s="102">
        <v>44193</v>
      </c>
      <c r="C275" s="26" t="s">
        <v>771</v>
      </c>
      <c r="D275" s="38">
        <v>3</v>
      </c>
      <c r="E275" s="13">
        <v>289</v>
      </c>
      <c r="F275" s="50">
        <f t="shared" si="33"/>
        <v>867</v>
      </c>
      <c r="G275" s="107">
        <v>44778</v>
      </c>
      <c r="H275" s="103">
        <v>10</v>
      </c>
      <c r="I275" s="104">
        <v>3481</v>
      </c>
      <c r="J275" s="103">
        <f>+I275/10</f>
        <v>348.1</v>
      </c>
      <c r="K275" s="103"/>
      <c r="L275" s="103">
        <f t="shared" si="30"/>
        <v>13</v>
      </c>
      <c r="M275" s="103" t="s">
        <v>943</v>
      </c>
      <c r="N275" s="103" t="s">
        <v>945</v>
      </c>
      <c r="O275" s="104">
        <f>+L275*I275</f>
        <v>45253</v>
      </c>
    </row>
    <row r="276" spans="1:15" s="8" customFormat="1" ht="15.75" x14ac:dyDescent="0.25">
      <c r="A276" s="113" t="s">
        <v>878</v>
      </c>
      <c r="B276" s="102">
        <v>44193</v>
      </c>
      <c r="C276" s="26" t="s">
        <v>754</v>
      </c>
      <c r="D276" s="38">
        <v>7</v>
      </c>
      <c r="E276" s="13">
        <v>38</v>
      </c>
      <c r="F276" s="50">
        <f t="shared" si="33"/>
        <v>266</v>
      </c>
      <c r="G276" s="103"/>
      <c r="H276" s="103"/>
      <c r="I276" s="104"/>
      <c r="J276" s="103"/>
      <c r="K276" s="103"/>
      <c r="L276" s="103">
        <f t="shared" si="30"/>
        <v>7</v>
      </c>
      <c r="M276" s="103"/>
      <c r="N276" s="103" t="s">
        <v>946</v>
      </c>
      <c r="O276" s="104">
        <f>+L276*E276</f>
        <v>266</v>
      </c>
    </row>
    <row r="277" spans="1:15" s="8" customFormat="1" ht="15.75" x14ac:dyDescent="0.25">
      <c r="A277" s="113" t="s">
        <v>879</v>
      </c>
      <c r="B277" s="106" t="s">
        <v>105</v>
      </c>
      <c r="C277" s="26" t="s">
        <v>753</v>
      </c>
      <c r="D277" s="38">
        <v>12</v>
      </c>
      <c r="E277" s="13">
        <v>38</v>
      </c>
      <c r="F277" s="50">
        <f t="shared" si="33"/>
        <v>456</v>
      </c>
      <c r="G277" s="103"/>
      <c r="H277" s="103"/>
      <c r="I277" s="104"/>
      <c r="J277" s="103"/>
      <c r="K277" s="103"/>
      <c r="L277" s="103">
        <f t="shared" si="30"/>
        <v>12</v>
      </c>
      <c r="M277" s="103"/>
      <c r="N277" s="103" t="s">
        <v>946</v>
      </c>
      <c r="O277" s="104">
        <f t="shared" ref="O277:O302" si="34">+L277*E277</f>
        <v>456</v>
      </c>
    </row>
    <row r="278" spans="1:15" s="8" customFormat="1" ht="15.75" x14ac:dyDescent="0.25">
      <c r="A278" s="113" t="s">
        <v>880</v>
      </c>
      <c r="B278" s="102">
        <v>44193</v>
      </c>
      <c r="C278" s="26" t="s">
        <v>757</v>
      </c>
      <c r="D278" s="38">
        <v>1</v>
      </c>
      <c r="E278" s="13">
        <v>38</v>
      </c>
      <c r="F278" s="50">
        <f t="shared" si="33"/>
        <v>38</v>
      </c>
      <c r="G278" s="103"/>
      <c r="H278" s="103"/>
      <c r="I278" s="104"/>
      <c r="J278" s="103"/>
      <c r="K278" s="103"/>
      <c r="L278" s="103">
        <f t="shared" si="30"/>
        <v>1</v>
      </c>
      <c r="M278" s="103"/>
      <c r="N278" s="103" t="s">
        <v>946</v>
      </c>
      <c r="O278" s="104">
        <f t="shared" si="34"/>
        <v>38</v>
      </c>
    </row>
    <row r="279" spans="1:15" s="8" customFormat="1" ht="15.75" x14ac:dyDescent="0.25">
      <c r="A279" s="113" t="s">
        <v>881</v>
      </c>
      <c r="B279" s="102">
        <v>44193</v>
      </c>
      <c r="C279" s="26" t="s">
        <v>760</v>
      </c>
      <c r="D279" s="38">
        <v>1</v>
      </c>
      <c r="E279" s="13">
        <v>41</v>
      </c>
      <c r="F279" s="50">
        <f t="shared" si="33"/>
        <v>41</v>
      </c>
      <c r="G279" s="103"/>
      <c r="H279" s="103"/>
      <c r="I279" s="104"/>
      <c r="J279" s="103"/>
      <c r="K279" s="103"/>
      <c r="L279" s="103">
        <f t="shared" si="30"/>
        <v>1</v>
      </c>
      <c r="M279" s="103"/>
      <c r="N279" s="103" t="s">
        <v>946</v>
      </c>
      <c r="O279" s="104">
        <f t="shared" si="34"/>
        <v>41</v>
      </c>
    </row>
    <row r="280" spans="1:15" s="8" customFormat="1" ht="15.75" x14ac:dyDescent="0.25">
      <c r="A280" s="113" t="s">
        <v>882</v>
      </c>
      <c r="B280" s="102">
        <v>44193</v>
      </c>
      <c r="C280" s="26" t="s">
        <v>758</v>
      </c>
      <c r="D280" s="38">
        <v>1</v>
      </c>
      <c r="E280" s="13">
        <v>38</v>
      </c>
      <c r="F280" s="50">
        <f t="shared" si="33"/>
        <v>38</v>
      </c>
      <c r="G280" s="103"/>
      <c r="H280" s="103"/>
      <c r="I280" s="104"/>
      <c r="J280" s="103"/>
      <c r="K280" s="103"/>
      <c r="L280" s="103">
        <f t="shared" si="30"/>
        <v>1</v>
      </c>
      <c r="M280" s="103"/>
      <c r="N280" s="103" t="s">
        <v>946</v>
      </c>
      <c r="O280" s="104">
        <f t="shared" si="34"/>
        <v>38</v>
      </c>
    </row>
    <row r="281" spans="1:15" s="8" customFormat="1" ht="15.75" x14ac:dyDescent="0.25">
      <c r="A281" s="113" t="s">
        <v>883</v>
      </c>
      <c r="B281" s="102">
        <v>44193</v>
      </c>
      <c r="C281" s="26" t="s">
        <v>759</v>
      </c>
      <c r="D281" s="38">
        <v>1</v>
      </c>
      <c r="E281" s="13">
        <v>38</v>
      </c>
      <c r="F281" s="50">
        <f t="shared" si="33"/>
        <v>38</v>
      </c>
      <c r="G281" s="103"/>
      <c r="H281" s="103"/>
      <c r="I281" s="104"/>
      <c r="J281" s="103"/>
      <c r="K281" s="103"/>
      <c r="L281" s="103">
        <f t="shared" si="30"/>
        <v>1</v>
      </c>
      <c r="M281" s="103"/>
      <c r="N281" s="103" t="s">
        <v>946</v>
      </c>
      <c r="O281" s="104">
        <f t="shared" si="34"/>
        <v>38</v>
      </c>
    </row>
    <row r="282" spans="1:15" s="8" customFormat="1" ht="15.75" x14ac:dyDescent="0.25">
      <c r="A282" s="113" t="s">
        <v>884</v>
      </c>
      <c r="B282" s="106" t="s">
        <v>105</v>
      </c>
      <c r="C282" s="26" t="s">
        <v>755</v>
      </c>
      <c r="D282" s="38">
        <v>1</v>
      </c>
      <c r="E282" s="13">
        <v>38</v>
      </c>
      <c r="F282" s="50">
        <f t="shared" si="33"/>
        <v>38</v>
      </c>
      <c r="G282" s="103"/>
      <c r="H282" s="103"/>
      <c r="I282" s="104"/>
      <c r="J282" s="103"/>
      <c r="K282" s="103"/>
      <c r="L282" s="103">
        <f t="shared" si="30"/>
        <v>1</v>
      </c>
      <c r="M282" s="103"/>
      <c r="N282" s="103" t="s">
        <v>946</v>
      </c>
      <c r="O282" s="104">
        <f t="shared" si="34"/>
        <v>38</v>
      </c>
    </row>
    <row r="283" spans="1:15" s="8" customFormat="1" ht="15.75" x14ac:dyDescent="0.25">
      <c r="A283" s="113" t="s">
        <v>885</v>
      </c>
      <c r="B283" s="102">
        <v>44193</v>
      </c>
      <c r="C283" s="26" t="s">
        <v>756</v>
      </c>
      <c r="D283" s="38">
        <v>1</v>
      </c>
      <c r="E283" s="13">
        <v>38</v>
      </c>
      <c r="F283" s="50">
        <f t="shared" si="33"/>
        <v>38</v>
      </c>
      <c r="G283" s="103"/>
      <c r="H283" s="103"/>
      <c r="I283" s="104"/>
      <c r="J283" s="103"/>
      <c r="K283" s="103"/>
      <c r="L283" s="103">
        <f t="shared" si="30"/>
        <v>1</v>
      </c>
      <c r="M283" s="103"/>
      <c r="N283" s="103" t="s">
        <v>946</v>
      </c>
      <c r="O283" s="104">
        <f t="shared" si="34"/>
        <v>38</v>
      </c>
    </row>
    <row r="284" spans="1:15" s="8" customFormat="1" ht="15.75" x14ac:dyDescent="0.25">
      <c r="A284" s="113" t="s">
        <v>886</v>
      </c>
      <c r="B284" s="102">
        <v>44193</v>
      </c>
      <c r="C284" s="26" t="s">
        <v>762</v>
      </c>
      <c r="D284" s="38">
        <v>7</v>
      </c>
      <c r="E284" s="13">
        <v>537</v>
      </c>
      <c r="F284" s="50">
        <f t="shared" si="33"/>
        <v>3759</v>
      </c>
      <c r="G284" s="103"/>
      <c r="H284" s="103"/>
      <c r="I284" s="104"/>
      <c r="J284" s="103"/>
      <c r="K284" s="103"/>
      <c r="L284" s="103">
        <f t="shared" si="30"/>
        <v>7</v>
      </c>
      <c r="M284" s="103"/>
      <c r="N284" s="103" t="s">
        <v>946</v>
      </c>
      <c r="O284" s="104">
        <f t="shared" si="34"/>
        <v>3759</v>
      </c>
    </row>
    <row r="285" spans="1:15" s="8" customFormat="1" ht="15.75" x14ac:dyDescent="0.25">
      <c r="A285" s="113" t="s">
        <v>887</v>
      </c>
      <c r="B285" s="102">
        <v>44193</v>
      </c>
      <c r="C285" s="26" t="s">
        <v>761</v>
      </c>
      <c r="D285" s="38">
        <v>3</v>
      </c>
      <c r="E285" s="13">
        <v>537</v>
      </c>
      <c r="F285" s="50">
        <f t="shared" si="33"/>
        <v>1611</v>
      </c>
      <c r="G285" s="103"/>
      <c r="H285" s="103"/>
      <c r="I285" s="104"/>
      <c r="J285" s="103"/>
      <c r="K285" s="103"/>
      <c r="L285" s="103">
        <f t="shared" si="30"/>
        <v>3</v>
      </c>
      <c r="M285" s="103"/>
      <c r="N285" s="103" t="s">
        <v>946</v>
      </c>
      <c r="O285" s="104">
        <f t="shared" si="34"/>
        <v>1611</v>
      </c>
    </row>
    <row r="286" spans="1:15" s="8" customFormat="1" ht="15.75" x14ac:dyDescent="0.25">
      <c r="A286" s="113" t="s">
        <v>888</v>
      </c>
      <c r="B286" s="102">
        <v>44193</v>
      </c>
      <c r="C286" s="9" t="s">
        <v>763</v>
      </c>
      <c r="D286" s="30">
        <v>13</v>
      </c>
      <c r="E286" s="13">
        <v>13.87</v>
      </c>
      <c r="F286" s="50">
        <f t="shared" si="33"/>
        <v>180.31</v>
      </c>
      <c r="G286" s="103"/>
      <c r="H286" s="103"/>
      <c r="I286" s="104"/>
      <c r="J286" s="103"/>
      <c r="K286" s="103"/>
      <c r="L286" s="103">
        <f t="shared" si="30"/>
        <v>13</v>
      </c>
      <c r="M286" s="103"/>
      <c r="N286" s="103" t="s">
        <v>947</v>
      </c>
      <c r="O286" s="104">
        <f t="shared" si="34"/>
        <v>180.31</v>
      </c>
    </row>
    <row r="287" spans="1:15" s="8" customFormat="1" ht="15.75" x14ac:dyDescent="0.25">
      <c r="A287" s="113" t="s">
        <v>889</v>
      </c>
      <c r="B287" s="102"/>
      <c r="C287" s="25" t="s">
        <v>814</v>
      </c>
      <c r="D287" s="38">
        <v>5</v>
      </c>
      <c r="E287" s="13"/>
      <c r="F287" s="50"/>
      <c r="G287" s="103"/>
      <c r="H287" s="103"/>
      <c r="I287" s="104"/>
      <c r="J287" s="103"/>
      <c r="K287" s="103"/>
      <c r="L287" s="103">
        <f t="shared" si="30"/>
        <v>5</v>
      </c>
      <c r="M287" s="103"/>
      <c r="N287" s="103" t="s">
        <v>946</v>
      </c>
      <c r="O287" s="104">
        <f>+L287*E287</f>
        <v>0</v>
      </c>
    </row>
    <row r="288" spans="1:15" s="8" customFormat="1" ht="15.75" x14ac:dyDescent="0.25">
      <c r="A288" s="113" t="s">
        <v>890</v>
      </c>
      <c r="B288" s="102"/>
      <c r="C288" s="25" t="s">
        <v>805</v>
      </c>
      <c r="D288" s="38">
        <v>9</v>
      </c>
      <c r="E288" s="13"/>
      <c r="F288" s="50"/>
      <c r="G288" s="103"/>
      <c r="H288" s="103"/>
      <c r="I288" s="104"/>
      <c r="J288" s="103"/>
      <c r="K288" s="103"/>
      <c r="L288" s="103">
        <f t="shared" si="30"/>
        <v>9</v>
      </c>
      <c r="M288" s="103"/>
      <c r="N288" s="103" t="s">
        <v>946</v>
      </c>
      <c r="O288" s="104">
        <f t="shared" si="34"/>
        <v>0</v>
      </c>
    </row>
    <row r="289" spans="1:15" s="105" customFormat="1" ht="15.75" x14ac:dyDescent="0.25">
      <c r="A289" s="113" t="s">
        <v>891</v>
      </c>
      <c r="B289" s="102"/>
      <c r="C289" s="25" t="s">
        <v>784</v>
      </c>
      <c r="D289" s="38">
        <v>29</v>
      </c>
      <c r="E289" s="13"/>
      <c r="F289" s="50"/>
      <c r="G289" s="107">
        <v>44852</v>
      </c>
      <c r="H289" s="103">
        <v>15</v>
      </c>
      <c r="I289" s="104">
        <v>25.52</v>
      </c>
      <c r="J289" s="108">
        <f>+H289*I289</f>
        <v>382.8</v>
      </c>
      <c r="K289" s="103">
        <v>1</v>
      </c>
      <c r="L289" s="103">
        <f t="shared" si="30"/>
        <v>43</v>
      </c>
      <c r="M289" s="103" t="s">
        <v>1037</v>
      </c>
      <c r="N289" s="103" t="s">
        <v>947</v>
      </c>
      <c r="O289" s="104">
        <f>+L289*I289</f>
        <v>1097.3599999999999</v>
      </c>
    </row>
    <row r="290" spans="1:15" s="105" customFormat="1" ht="15.75" x14ac:dyDescent="0.25">
      <c r="A290" s="113" t="s">
        <v>892</v>
      </c>
      <c r="B290" s="102">
        <v>44729</v>
      </c>
      <c r="C290" s="25" t="s">
        <v>860</v>
      </c>
      <c r="D290" s="38">
        <v>12</v>
      </c>
      <c r="E290" s="13">
        <v>1637.5</v>
      </c>
      <c r="F290" s="50">
        <f>+D290*E290</f>
        <v>19650</v>
      </c>
      <c r="G290" s="103"/>
      <c r="H290" s="103"/>
      <c r="I290" s="104"/>
      <c r="J290" s="103"/>
      <c r="K290" s="103"/>
      <c r="L290" s="103">
        <f t="shared" si="30"/>
        <v>12</v>
      </c>
      <c r="M290" s="103"/>
      <c r="N290" s="103" t="s">
        <v>946</v>
      </c>
      <c r="O290" s="104">
        <f t="shared" ref="O290" si="35">+L290*E290</f>
        <v>19650</v>
      </c>
    </row>
    <row r="291" spans="1:15" s="92" customFormat="1" x14ac:dyDescent="0.3">
      <c r="A291" s="113" t="s">
        <v>893</v>
      </c>
      <c r="B291" s="102">
        <v>44652</v>
      </c>
      <c r="C291" s="25" t="s">
        <v>859</v>
      </c>
      <c r="D291" s="38">
        <f>11+6+12+11</f>
        <v>40</v>
      </c>
      <c r="E291" s="13">
        <v>159</v>
      </c>
      <c r="F291" s="50">
        <f>+D291*E291</f>
        <v>6360</v>
      </c>
      <c r="G291" s="103"/>
      <c r="H291" s="103"/>
      <c r="I291" s="104"/>
      <c r="J291" s="103"/>
      <c r="K291" s="103">
        <f>3+1+1+1</f>
        <v>6</v>
      </c>
      <c r="L291" s="103">
        <f t="shared" si="30"/>
        <v>34</v>
      </c>
      <c r="M291" s="103"/>
      <c r="N291" s="103" t="s">
        <v>945</v>
      </c>
      <c r="O291" s="104">
        <f t="shared" si="34"/>
        <v>5406</v>
      </c>
    </row>
    <row r="292" spans="1:15" s="92" customFormat="1" x14ac:dyDescent="0.3">
      <c r="A292" s="113" t="s">
        <v>894</v>
      </c>
      <c r="B292" s="102">
        <v>44652</v>
      </c>
      <c r="C292" s="25" t="s">
        <v>858</v>
      </c>
      <c r="D292" s="38">
        <v>11</v>
      </c>
      <c r="E292" s="13"/>
      <c r="F292" s="50">
        <f>+D292*E292</f>
        <v>0</v>
      </c>
      <c r="G292" s="103"/>
      <c r="H292" s="103"/>
      <c r="I292" s="104"/>
      <c r="J292" s="103"/>
      <c r="K292" s="103"/>
      <c r="L292" s="103">
        <f t="shared" si="30"/>
        <v>11</v>
      </c>
      <c r="M292" s="103"/>
      <c r="N292" s="103" t="s">
        <v>945</v>
      </c>
      <c r="O292" s="104">
        <f t="shared" si="34"/>
        <v>0</v>
      </c>
    </row>
    <row r="293" spans="1:15" s="92" customFormat="1" x14ac:dyDescent="0.3">
      <c r="A293" s="113" t="s">
        <v>895</v>
      </c>
      <c r="B293" s="102">
        <v>44652</v>
      </c>
      <c r="C293" s="25" t="s">
        <v>920</v>
      </c>
      <c r="D293" s="38">
        <f>9+11+7</f>
        <v>27</v>
      </c>
      <c r="E293" s="13">
        <v>145</v>
      </c>
      <c r="F293" s="50">
        <f>+D293*E293</f>
        <v>3915</v>
      </c>
      <c r="G293" s="103"/>
      <c r="H293" s="103"/>
      <c r="I293" s="104"/>
      <c r="J293" s="103"/>
      <c r="K293" s="103">
        <v>1</v>
      </c>
      <c r="L293" s="103">
        <f t="shared" si="30"/>
        <v>26</v>
      </c>
      <c r="M293" s="103"/>
      <c r="N293" s="103" t="s">
        <v>945</v>
      </c>
      <c r="O293" s="104">
        <f t="shared" si="34"/>
        <v>3770</v>
      </c>
    </row>
    <row r="294" spans="1:15" s="8" customFormat="1" ht="15.75" x14ac:dyDescent="0.25">
      <c r="A294" s="113" t="s">
        <v>896</v>
      </c>
      <c r="B294" s="102"/>
      <c r="C294" s="25" t="s">
        <v>795</v>
      </c>
      <c r="D294" s="38">
        <v>29</v>
      </c>
      <c r="E294" s="13">
        <v>29.35</v>
      </c>
      <c r="F294" s="50">
        <f t="shared" ref="F294:F310" si="36">+D294*E294</f>
        <v>851.15000000000009</v>
      </c>
      <c r="G294" s="103"/>
      <c r="H294" s="103"/>
      <c r="I294" s="104"/>
      <c r="J294" s="103"/>
      <c r="K294" s="103"/>
      <c r="L294" s="103">
        <f t="shared" si="30"/>
        <v>29</v>
      </c>
      <c r="M294" s="103"/>
      <c r="N294" s="103" t="s">
        <v>946</v>
      </c>
      <c r="O294" s="104">
        <f t="shared" si="34"/>
        <v>851.15000000000009</v>
      </c>
    </row>
    <row r="295" spans="1:15" s="8" customFormat="1" ht="15.75" x14ac:dyDescent="0.25">
      <c r="A295" s="113" t="s">
        <v>897</v>
      </c>
      <c r="B295" s="102"/>
      <c r="C295" s="25" t="s">
        <v>843</v>
      </c>
      <c r="D295" s="38">
        <v>8</v>
      </c>
      <c r="E295" s="13"/>
      <c r="F295" s="50">
        <f t="shared" si="36"/>
        <v>0</v>
      </c>
      <c r="G295" s="103"/>
      <c r="H295" s="103"/>
      <c r="I295" s="104"/>
      <c r="J295" s="103"/>
      <c r="K295" s="103"/>
      <c r="L295" s="103">
        <f t="shared" si="30"/>
        <v>8</v>
      </c>
      <c r="M295" s="103"/>
      <c r="N295" s="103" t="s">
        <v>946</v>
      </c>
      <c r="O295" s="104">
        <f t="shared" si="34"/>
        <v>0</v>
      </c>
    </row>
    <row r="296" spans="1:15" s="8" customFormat="1" ht="15.75" x14ac:dyDescent="0.25">
      <c r="A296" s="113" t="s">
        <v>898</v>
      </c>
      <c r="B296" s="102"/>
      <c r="C296" s="25" t="s">
        <v>793</v>
      </c>
      <c r="D296" s="38">
        <f>3+1</f>
        <v>4</v>
      </c>
      <c r="E296" s="13"/>
      <c r="F296" s="50">
        <f t="shared" si="36"/>
        <v>0</v>
      </c>
      <c r="G296" s="103"/>
      <c r="H296" s="103"/>
      <c r="I296" s="104"/>
      <c r="J296" s="103"/>
      <c r="K296" s="103">
        <v>1</v>
      </c>
      <c r="L296" s="103">
        <f t="shared" si="30"/>
        <v>3</v>
      </c>
      <c r="M296" s="103"/>
      <c r="N296" s="103" t="s">
        <v>946</v>
      </c>
      <c r="O296" s="104">
        <f t="shared" si="34"/>
        <v>0</v>
      </c>
    </row>
    <row r="297" spans="1:15" s="8" customFormat="1" ht="15.75" x14ac:dyDescent="0.25">
      <c r="A297" s="113" t="s">
        <v>899</v>
      </c>
      <c r="B297" s="102"/>
      <c r="C297" s="25" t="s">
        <v>842</v>
      </c>
      <c r="D297" s="38">
        <v>2</v>
      </c>
      <c r="E297" s="13"/>
      <c r="F297" s="50">
        <f t="shared" si="36"/>
        <v>0</v>
      </c>
      <c r="G297" s="103"/>
      <c r="H297" s="103"/>
      <c r="I297" s="104"/>
      <c r="J297" s="103"/>
      <c r="K297" s="103"/>
      <c r="L297" s="103">
        <f t="shared" si="30"/>
        <v>2</v>
      </c>
      <c r="M297" s="103"/>
      <c r="N297" s="103" t="s">
        <v>946</v>
      </c>
      <c r="O297" s="104">
        <f t="shared" si="34"/>
        <v>0</v>
      </c>
    </row>
    <row r="298" spans="1:15" s="8" customFormat="1" ht="15.75" x14ac:dyDescent="0.25">
      <c r="A298" s="113" t="s">
        <v>900</v>
      </c>
      <c r="B298" s="102">
        <v>44193</v>
      </c>
      <c r="C298" s="25" t="s">
        <v>841</v>
      </c>
      <c r="D298" s="38">
        <v>1</v>
      </c>
      <c r="E298" s="13">
        <v>18.86</v>
      </c>
      <c r="F298" s="50">
        <f t="shared" si="36"/>
        <v>18.86</v>
      </c>
      <c r="G298" s="103"/>
      <c r="H298" s="103"/>
      <c r="I298" s="104"/>
      <c r="J298" s="103"/>
      <c r="K298" s="103"/>
      <c r="L298" s="103">
        <f t="shared" si="30"/>
        <v>1</v>
      </c>
      <c r="M298" s="103"/>
      <c r="N298" s="103" t="s">
        <v>946</v>
      </c>
      <c r="O298" s="104">
        <f>+L298*E298</f>
        <v>18.86</v>
      </c>
    </row>
    <row r="299" spans="1:15" s="8" customFormat="1" ht="15.75" x14ac:dyDescent="0.25">
      <c r="A299" s="113" t="s">
        <v>901</v>
      </c>
      <c r="B299" s="102">
        <v>44193</v>
      </c>
      <c r="C299" s="25" t="s">
        <v>848</v>
      </c>
      <c r="D299" s="38">
        <v>1</v>
      </c>
      <c r="E299" s="13"/>
      <c r="F299" s="50">
        <f t="shared" si="36"/>
        <v>0</v>
      </c>
      <c r="G299" s="103"/>
      <c r="H299" s="103"/>
      <c r="I299" s="104"/>
      <c r="J299" s="103"/>
      <c r="K299" s="103"/>
      <c r="L299" s="103">
        <f t="shared" si="30"/>
        <v>1</v>
      </c>
      <c r="M299" s="103"/>
      <c r="N299" s="103" t="s">
        <v>946</v>
      </c>
      <c r="O299" s="104">
        <f t="shared" si="34"/>
        <v>0</v>
      </c>
    </row>
    <row r="300" spans="1:15" s="8" customFormat="1" ht="15.75" x14ac:dyDescent="0.25">
      <c r="A300" s="113" t="s">
        <v>902</v>
      </c>
      <c r="B300" s="102">
        <v>44193</v>
      </c>
      <c r="C300" s="25" t="s">
        <v>839</v>
      </c>
      <c r="D300" s="38">
        <v>7</v>
      </c>
      <c r="E300" s="13"/>
      <c r="F300" s="50">
        <f t="shared" si="36"/>
        <v>0</v>
      </c>
      <c r="G300" s="103"/>
      <c r="H300" s="103"/>
      <c r="I300" s="104"/>
      <c r="J300" s="103"/>
      <c r="K300" s="103"/>
      <c r="L300" s="103">
        <f t="shared" si="30"/>
        <v>7</v>
      </c>
      <c r="M300" s="103"/>
      <c r="N300" s="103" t="s">
        <v>946</v>
      </c>
      <c r="O300" s="104">
        <f t="shared" si="34"/>
        <v>0</v>
      </c>
    </row>
    <row r="301" spans="1:15" s="8" customFormat="1" ht="15.75" x14ac:dyDescent="0.25">
      <c r="A301" s="113" t="s">
        <v>903</v>
      </c>
      <c r="B301" s="102">
        <v>44193</v>
      </c>
      <c r="C301" s="25" t="s">
        <v>867</v>
      </c>
      <c r="D301" s="38">
        <v>6</v>
      </c>
      <c r="E301" s="13">
        <v>176</v>
      </c>
      <c r="F301" s="50">
        <f t="shared" si="36"/>
        <v>1056</v>
      </c>
      <c r="G301" s="103"/>
      <c r="H301" s="103"/>
      <c r="I301" s="104"/>
      <c r="J301" s="103"/>
      <c r="K301" s="103"/>
      <c r="L301" s="103">
        <f t="shared" si="30"/>
        <v>6</v>
      </c>
      <c r="M301" s="103"/>
      <c r="N301" s="103" t="s">
        <v>947</v>
      </c>
      <c r="O301" s="104">
        <f t="shared" si="34"/>
        <v>1056</v>
      </c>
    </row>
    <row r="302" spans="1:15" s="8" customFormat="1" ht="15.75" x14ac:dyDescent="0.25">
      <c r="A302" s="113" t="s">
        <v>904</v>
      </c>
      <c r="B302" s="102">
        <v>44193</v>
      </c>
      <c r="C302" s="25" t="s">
        <v>798</v>
      </c>
      <c r="D302" s="38">
        <v>3</v>
      </c>
      <c r="E302" s="13">
        <v>234</v>
      </c>
      <c r="F302" s="50">
        <f t="shared" si="36"/>
        <v>702</v>
      </c>
      <c r="G302" s="103"/>
      <c r="H302" s="103"/>
      <c r="I302" s="104"/>
      <c r="J302" s="103"/>
      <c r="K302" s="103"/>
      <c r="L302" s="103">
        <f t="shared" si="30"/>
        <v>3</v>
      </c>
      <c r="M302" s="103"/>
      <c r="N302" s="103" t="s">
        <v>946</v>
      </c>
      <c r="O302" s="104">
        <f t="shared" si="34"/>
        <v>702</v>
      </c>
    </row>
    <row r="303" spans="1:15" s="92" customFormat="1" x14ac:dyDescent="0.3">
      <c r="A303" s="113" t="s">
        <v>905</v>
      </c>
      <c r="B303" s="102">
        <v>44193</v>
      </c>
      <c r="C303" s="25" t="s">
        <v>764</v>
      </c>
      <c r="D303" s="38">
        <v>0</v>
      </c>
      <c r="E303" s="13">
        <v>39</v>
      </c>
      <c r="F303" s="50">
        <f t="shared" si="36"/>
        <v>0</v>
      </c>
      <c r="G303" s="107">
        <v>44755</v>
      </c>
      <c r="H303" s="103">
        <v>25</v>
      </c>
      <c r="I303" s="104">
        <v>50.84</v>
      </c>
      <c r="J303" s="108">
        <f>+H303*I303</f>
        <v>1271</v>
      </c>
      <c r="K303" s="38">
        <f>1+1+2+1+1</f>
        <v>6</v>
      </c>
      <c r="L303" s="103">
        <f t="shared" si="30"/>
        <v>19</v>
      </c>
      <c r="M303" s="103" t="s">
        <v>928</v>
      </c>
      <c r="N303" s="103" t="s">
        <v>945</v>
      </c>
      <c r="O303" s="104">
        <f>+L303*I303</f>
        <v>965.96</v>
      </c>
    </row>
    <row r="304" spans="1:15" s="8" customFormat="1" ht="15.75" x14ac:dyDescent="0.25">
      <c r="A304" s="113" t="s">
        <v>906</v>
      </c>
      <c r="B304" s="102"/>
      <c r="C304" s="25" t="s">
        <v>799</v>
      </c>
      <c r="D304" s="38">
        <v>120</v>
      </c>
      <c r="E304" s="13"/>
      <c r="F304" s="50">
        <f t="shared" si="36"/>
        <v>0</v>
      </c>
      <c r="G304" s="103"/>
      <c r="H304" s="103"/>
      <c r="I304" s="104"/>
      <c r="J304" s="103"/>
      <c r="K304" s="103"/>
      <c r="L304" s="103">
        <f t="shared" ref="L304:L367" si="37">+D304+H304-K304</f>
        <v>120</v>
      </c>
      <c r="M304" s="103"/>
      <c r="N304" s="103" t="s">
        <v>946</v>
      </c>
      <c r="O304" s="104">
        <f>+L304*E304</f>
        <v>0</v>
      </c>
    </row>
    <row r="305" spans="1:15" s="8" customFormat="1" ht="15.75" x14ac:dyDescent="0.25">
      <c r="A305" s="113" t="s">
        <v>907</v>
      </c>
      <c r="B305" s="102"/>
      <c r="C305" s="25" t="s">
        <v>824</v>
      </c>
      <c r="D305" s="38">
        <v>15</v>
      </c>
      <c r="E305" s="13"/>
      <c r="F305" s="50">
        <f t="shared" si="36"/>
        <v>0</v>
      </c>
      <c r="G305" s="107"/>
      <c r="H305" s="103"/>
      <c r="I305" s="104"/>
      <c r="J305" s="108"/>
      <c r="K305" s="108"/>
      <c r="L305" s="103">
        <f t="shared" si="37"/>
        <v>15</v>
      </c>
      <c r="M305" s="103"/>
      <c r="N305" s="103" t="s">
        <v>946</v>
      </c>
      <c r="O305" s="104">
        <f t="shared" ref="O305:O322" si="38">+L305*E305</f>
        <v>0</v>
      </c>
    </row>
    <row r="306" spans="1:15" s="8" customFormat="1" ht="15.75" x14ac:dyDescent="0.25">
      <c r="A306" s="113" t="s">
        <v>908</v>
      </c>
      <c r="B306" s="102"/>
      <c r="C306" s="25" t="s">
        <v>837</v>
      </c>
      <c r="D306" s="38">
        <v>9</v>
      </c>
      <c r="E306" s="13"/>
      <c r="F306" s="50">
        <f t="shared" si="36"/>
        <v>0</v>
      </c>
      <c r="G306" s="103"/>
      <c r="H306" s="103"/>
      <c r="I306" s="104"/>
      <c r="J306" s="103"/>
      <c r="K306" s="103"/>
      <c r="L306" s="103">
        <f t="shared" si="37"/>
        <v>9</v>
      </c>
      <c r="M306" s="103"/>
      <c r="N306" s="103" t="s">
        <v>946</v>
      </c>
      <c r="O306" s="104">
        <f t="shared" si="38"/>
        <v>0</v>
      </c>
    </row>
    <row r="307" spans="1:15" s="8" customFormat="1" ht="15.75" x14ac:dyDescent="0.25">
      <c r="A307" s="113" t="s">
        <v>909</v>
      </c>
      <c r="B307" s="102"/>
      <c r="C307" s="25" t="s">
        <v>792</v>
      </c>
      <c r="D307" s="38">
        <v>19</v>
      </c>
      <c r="E307" s="13"/>
      <c r="F307" s="50">
        <f t="shared" si="36"/>
        <v>0</v>
      </c>
      <c r="G307" s="103"/>
      <c r="H307" s="103"/>
      <c r="I307" s="104"/>
      <c r="J307" s="103"/>
      <c r="K307" s="103"/>
      <c r="L307" s="103">
        <f t="shared" si="37"/>
        <v>19</v>
      </c>
      <c r="M307" s="103"/>
      <c r="N307" s="103" t="s">
        <v>946</v>
      </c>
      <c r="O307" s="104">
        <f t="shared" si="38"/>
        <v>0</v>
      </c>
    </row>
    <row r="308" spans="1:15" s="8" customFormat="1" ht="15.75" x14ac:dyDescent="0.25">
      <c r="A308" s="113" t="s">
        <v>910</v>
      </c>
      <c r="B308" s="102"/>
      <c r="C308" s="25" t="s">
        <v>329</v>
      </c>
      <c r="D308" s="38">
        <v>21</v>
      </c>
      <c r="E308" s="13"/>
      <c r="F308" s="50">
        <f t="shared" si="36"/>
        <v>0</v>
      </c>
      <c r="G308" s="103"/>
      <c r="H308" s="103"/>
      <c r="I308" s="104"/>
      <c r="J308" s="103"/>
      <c r="K308" s="103"/>
      <c r="L308" s="103">
        <f t="shared" si="37"/>
        <v>21</v>
      </c>
      <c r="M308" s="103"/>
      <c r="N308" s="103" t="s">
        <v>946</v>
      </c>
      <c r="O308" s="104">
        <f t="shared" si="38"/>
        <v>0</v>
      </c>
    </row>
    <row r="309" spans="1:15" s="8" customFormat="1" ht="15.75" x14ac:dyDescent="0.25">
      <c r="A309" s="113" t="s">
        <v>911</v>
      </c>
      <c r="B309" s="102"/>
      <c r="C309" s="25" t="s">
        <v>330</v>
      </c>
      <c r="D309" s="38">
        <f>2+18</f>
        <v>20</v>
      </c>
      <c r="E309" s="13"/>
      <c r="F309" s="50">
        <f t="shared" si="36"/>
        <v>0</v>
      </c>
      <c r="G309" s="103"/>
      <c r="H309" s="103"/>
      <c r="I309" s="104"/>
      <c r="J309" s="103"/>
      <c r="K309" s="103"/>
      <c r="L309" s="103">
        <f t="shared" si="37"/>
        <v>20</v>
      </c>
      <c r="M309" s="103"/>
      <c r="N309" s="103" t="s">
        <v>946</v>
      </c>
      <c r="O309" s="104">
        <f t="shared" si="38"/>
        <v>0</v>
      </c>
    </row>
    <row r="310" spans="1:15" s="8" customFormat="1" ht="15.75" x14ac:dyDescent="0.25">
      <c r="A310" s="113" t="s">
        <v>912</v>
      </c>
      <c r="B310" s="102">
        <v>44193</v>
      </c>
      <c r="C310" s="25" t="s">
        <v>836</v>
      </c>
      <c r="D310" s="38">
        <v>19</v>
      </c>
      <c r="E310" s="13">
        <v>30</v>
      </c>
      <c r="F310" s="50">
        <f t="shared" si="36"/>
        <v>570</v>
      </c>
      <c r="G310" s="103"/>
      <c r="H310" s="103"/>
      <c r="I310" s="104"/>
      <c r="J310" s="103"/>
      <c r="K310" s="103"/>
      <c r="L310" s="103">
        <f t="shared" si="37"/>
        <v>19</v>
      </c>
      <c r="M310" s="103"/>
      <c r="N310" s="103" t="s">
        <v>946</v>
      </c>
      <c r="O310" s="104">
        <f t="shared" si="38"/>
        <v>570</v>
      </c>
    </row>
    <row r="311" spans="1:15" s="8" customFormat="1" ht="15.75" x14ac:dyDescent="0.25">
      <c r="A311" s="113" t="s">
        <v>530</v>
      </c>
      <c r="B311" s="102">
        <v>44193</v>
      </c>
      <c r="C311" s="25" t="s">
        <v>810</v>
      </c>
      <c r="D311" s="38">
        <v>6</v>
      </c>
      <c r="E311" s="13">
        <v>299.72000000000003</v>
      </c>
      <c r="F311" s="50">
        <f>+D311*E311</f>
        <v>1798.3200000000002</v>
      </c>
      <c r="G311" s="103"/>
      <c r="H311" s="103"/>
      <c r="I311" s="104"/>
      <c r="J311" s="103"/>
      <c r="K311" s="103"/>
      <c r="L311" s="103">
        <f t="shared" si="37"/>
        <v>6</v>
      </c>
      <c r="M311" s="103"/>
      <c r="N311" s="103" t="s">
        <v>946</v>
      </c>
      <c r="O311" s="104">
        <f t="shared" si="38"/>
        <v>1798.3200000000002</v>
      </c>
    </row>
    <row r="312" spans="1:15" s="8" customFormat="1" ht="15.75" x14ac:dyDescent="0.25">
      <c r="A312" s="113" t="s">
        <v>916</v>
      </c>
      <c r="B312" s="102"/>
      <c r="C312" s="25" t="s">
        <v>836</v>
      </c>
      <c r="D312" s="38">
        <v>19</v>
      </c>
      <c r="E312" s="13"/>
      <c r="F312" s="50"/>
      <c r="G312" s="103"/>
      <c r="H312" s="103"/>
      <c r="I312" s="104"/>
      <c r="J312" s="103"/>
      <c r="K312" s="103"/>
      <c r="L312" s="103">
        <f t="shared" si="37"/>
        <v>19</v>
      </c>
      <c r="M312" s="103"/>
      <c r="N312" s="103" t="s">
        <v>946</v>
      </c>
      <c r="O312" s="104">
        <f t="shared" si="38"/>
        <v>0</v>
      </c>
    </row>
    <row r="313" spans="1:15" s="92" customFormat="1" x14ac:dyDescent="0.3">
      <c r="A313" s="113" t="s">
        <v>917</v>
      </c>
      <c r="B313" s="102"/>
      <c r="C313" s="25" t="s">
        <v>918</v>
      </c>
      <c r="D313" s="38">
        <v>5</v>
      </c>
      <c r="E313" s="13"/>
      <c r="F313" s="50"/>
      <c r="G313" s="103"/>
      <c r="H313" s="103"/>
      <c r="I313" s="104"/>
      <c r="J313" s="103"/>
      <c r="K313" s="103"/>
      <c r="L313" s="103">
        <f t="shared" si="37"/>
        <v>5</v>
      </c>
      <c r="M313" s="103"/>
      <c r="N313" s="103" t="s">
        <v>945</v>
      </c>
      <c r="O313" s="104">
        <f t="shared" si="38"/>
        <v>0</v>
      </c>
    </row>
    <row r="314" spans="1:15" s="92" customFormat="1" x14ac:dyDescent="0.3">
      <c r="A314" s="113" t="s">
        <v>921</v>
      </c>
      <c r="B314" s="102"/>
      <c r="C314" s="25" t="s">
        <v>919</v>
      </c>
      <c r="D314" s="38">
        <f>12+10+11</f>
        <v>33</v>
      </c>
      <c r="E314" s="13">
        <v>150</v>
      </c>
      <c r="F314" s="50"/>
      <c r="G314" s="103"/>
      <c r="H314" s="103"/>
      <c r="I314" s="104"/>
      <c r="J314" s="103"/>
      <c r="K314" s="103"/>
      <c r="L314" s="103">
        <f t="shared" si="37"/>
        <v>33</v>
      </c>
      <c r="M314" s="103"/>
      <c r="N314" s="103" t="s">
        <v>945</v>
      </c>
      <c r="O314" s="104">
        <f t="shared" si="38"/>
        <v>4950</v>
      </c>
    </row>
    <row r="315" spans="1:15" s="92" customFormat="1" x14ac:dyDescent="0.3">
      <c r="A315" s="113" t="s">
        <v>922</v>
      </c>
      <c r="B315" s="102"/>
      <c r="C315" s="25" t="s">
        <v>926</v>
      </c>
      <c r="D315" s="38">
        <v>1</v>
      </c>
      <c r="E315" s="13"/>
      <c r="F315" s="50"/>
      <c r="G315" s="103"/>
      <c r="H315" s="103"/>
      <c r="I315" s="104"/>
      <c r="J315" s="103"/>
      <c r="K315" s="103"/>
      <c r="L315" s="103">
        <f t="shared" si="37"/>
        <v>1</v>
      </c>
      <c r="M315" s="103"/>
      <c r="N315" s="103" t="s">
        <v>945</v>
      </c>
      <c r="O315" s="104">
        <f t="shared" si="38"/>
        <v>0</v>
      </c>
    </row>
    <row r="316" spans="1:15" s="92" customFormat="1" x14ac:dyDescent="0.3">
      <c r="A316" s="113" t="s">
        <v>923</v>
      </c>
      <c r="B316" s="102"/>
      <c r="C316" s="25" t="s">
        <v>930</v>
      </c>
      <c r="D316" s="38">
        <v>15</v>
      </c>
      <c r="E316" s="13"/>
      <c r="F316" s="50"/>
      <c r="G316" s="103"/>
      <c r="H316" s="103"/>
      <c r="I316" s="104"/>
      <c r="J316" s="103"/>
      <c r="K316" s="103">
        <v>10</v>
      </c>
      <c r="L316" s="103">
        <f t="shared" si="37"/>
        <v>5</v>
      </c>
      <c r="M316" s="103"/>
      <c r="N316" s="103" t="s">
        <v>945</v>
      </c>
      <c r="O316" s="104">
        <f t="shared" si="38"/>
        <v>0</v>
      </c>
    </row>
    <row r="317" spans="1:15" s="8" customFormat="1" ht="15.75" x14ac:dyDescent="0.25">
      <c r="A317" s="113" t="s">
        <v>932</v>
      </c>
      <c r="B317" s="102"/>
      <c r="C317" s="25" t="s">
        <v>931</v>
      </c>
      <c r="D317" s="38">
        <v>2</v>
      </c>
      <c r="E317" s="13"/>
      <c r="F317" s="50"/>
      <c r="G317" s="103"/>
      <c r="H317" s="103"/>
      <c r="I317" s="104"/>
      <c r="J317" s="103"/>
      <c r="K317" s="103">
        <f>1+1</f>
        <v>2</v>
      </c>
      <c r="L317" s="103">
        <f t="shared" si="37"/>
        <v>0</v>
      </c>
      <c r="M317" s="103"/>
      <c r="N317" s="103" t="s">
        <v>947</v>
      </c>
      <c r="O317" s="104">
        <f t="shared" si="38"/>
        <v>0</v>
      </c>
    </row>
    <row r="318" spans="1:15" s="8" customFormat="1" ht="15.75" x14ac:dyDescent="0.25">
      <c r="A318" s="113" t="s">
        <v>933</v>
      </c>
      <c r="B318" s="102"/>
      <c r="C318" s="68" t="s">
        <v>934</v>
      </c>
      <c r="D318" s="38">
        <v>20</v>
      </c>
      <c r="E318" s="13"/>
      <c r="F318" s="50"/>
      <c r="G318" s="103"/>
      <c r="H318" s="103"/>
      <c r="I318" s="104"/>
      <c r="J318" s="103"/>
      <c r="K318" s="103">
        <f>1+1+15+1</f>
        <v>18</v>
      </c>
      <c r="L318" s="103">
        <f t="shared" si="37"/>
        <v>2</v>
      </c>
      <c r="M318" s="103"/>
      <c r="N318" s="103" t="s">
        <v>946</v>
      </c>
      <c r="O318" s="104">
        <f t="shared" si="38"/>
        <v>0</v>
      </c>
    </row>
    <row r="319" spans="1:15" s="8" customFormat="1" ht="15.75" x14ac:dyDescent="0.25">
      <c r="A319" s="113" t="s">
        <v>936</v>
      </c>
      <c r="B319" s="102">
        <v>44193</v>
      </c>
      <c r="C319" s="25" t="s">
        <v>613</v>
      </c>
      <c r="D319" s="38">
        <v>25</v>
      </c>
      <c r="E319" s="13">
        <v>5.78</v>
      </c>
      <c r="F319" s="50">
        <f>+D319*E319</f>
        <v>144.5</v>
      </c>
      <c r="G319" s="103"/>
      <c r="H319" s="103"/>
      <c r="I319" s="104"/>
      <c r="J319" s="103"/>
      <c r="K319" s="103">
        <v>1</v>
      </c>
      <c r="L319" s="103">
        <f t="shared" si="37"/>
        <v>24</v>
      </c>
      <c r="M319" s="103"/>
      <c r="N319" s="103" t="s">
        <v>946</v>
      </c>
      <c r="O319" s="104">
        <f t="shared" si="38"/>
        <v>138.72</v>
      </c>
    </row>
    <row r="320" spans="1:15" s="8" customFormat="1" ht="15.75" x14ac:dyDescent="0.25">
      <c r="A320" s="113" t="s">
        <v>937</v>
      </c>
      <c r="B320" s="102"/>
      <c r="C320" s="25" t="s">
        <v>935</v>
      </c>
      <c r="D320" s="38">
        <v>2</v>
      </c>
      <c r="E320" s="13"/>
      <c r="F320" s="50"/>
      <c r="G320" s="103"/>
      <c r="H320" s="103"/>
      <c r="I320" s="104"/>
      <c r="J320" s="103"/>
      <c r="K320" s="103">
        <v>2</v>
      </c>
      <c r="L320" s="103">
        <f t="shared" si="37"/>
        <v>0</v>
      </c>
      <c r="M320" s="103"/>
      <c r="N320" s="103" t="s">
        <v>946</v>
      </c>
      <c r="O320" s="104">
        <f t="shared" si="38"/>
        <v>0</v>
      </c>
    </row>
    <row r="321" spans="1:15" s="8" customFormat="1" ht="15.75" x14ac:dyDescent="0.25">
      <c r="A321" s="113" t="s">
        <v>938</v>
      </c>
      <c r="B321" s="102"/>
      <c r="C321" s="25" t="s">
        <v>939</v>
      </c>
      <c r="D321" s="38">
        <v>1</v>
      </c>
      <c r="E321" s="13"/>
      <c r="F321" s="50"/>
      <c r="G321" s="103"/>
      <c r="H321" s="103"/>
      <c r="I321" s="104"/>
      <c r="J321" s="103"/>
      <c r="K321" s="103">
        <v>1</v>
      </c>
      <c r="L321" s="103">
        <f t="shared" si="37"/>
        <v>0</v>
      </c>
      <c r="M321" s="103"/>
      <c r="N321" s="103" t="s">
        <v>946</v>
      </c>
      <c r="O321" s="104">
        <f t="shared" si="38"/>
        <v>0</v>
      </c>
    </row>
    <row r="322" spans="1:15" s="8" customFormat="1" ht="15.75" x14ac:dyDescent="0.25">
      <c r="A322" s="113" t="s">
        <v>941</v>
      </c>
      <c r="B322" s="102"/>
      <c r="C322" s="25" t="s">
        <v>940</v>
      </c>
      <c r="D322" s="38">
        <v>1</v>
      </c>
      <c r="E322" s="13"/>
      <c r="F322" s="50"/>
      <c r="G322" s="103"/>
      <c r="H322" s="103"/>
      <c r="I322" s="104"/>
      <c r="J322" s="103"/>
      <c r="K322" s="103">
        <v>1</v>
      </c>
      <c r="L322" s="103">
        <f t="shared" si="37"/>
        <v>0</v>
      </c>
      <c r="M322" s="103"/>
      <c r="N322" s="103" t="s">
        <v>946</v>
      </c>
      <c r="O322" s="104">
        <f t="shared" si="38"/>
        <v>0</v>
      </c>
    </row>
    <row r="323" spans="1:15" s="8" customFormat="1" ht="15.75" x14ac:dyDescent="0.25">
      <c r="A323" s="113" t="s">
        <v>948</v>
      </c>
      <c r="B323" s="102"/>
      <c r="C323" s="25" t="s">
        <v>942</v>
      </c>
      <c r="D323" s="38"/>
      <c r="E323" s="13"/>
      <c r="F323" s="50"/>
      <c r="G323" s="107">
        <v>44778</v>
      </c>
      <c r="H323" s="103">
        <f>120*12</f>
        <v>1440</v>
      </c>
      <c r="I323" s="104">
        <f>111864/H323</f>
        <v>77.683333333333337</v>
      </c>
      <c r="J323" s="104">
        <f>+I323*H323</f>
        <v>111864</v>
      </c>
      <c r="K323" s="103">
        <v>273</v>
      </c>
      <c r="L323" s="103">
        <f t="shared" si="37"/>
        <v>1167</v>
      </c>
      <c r="M323" s="103"/>
      <c r="N323" s="103" t="s">
        <v>946</v>
      </c>
      <c r="O323" s="104">
        <f>+L323*I323</f>
        <v>90656.450000000012</v>
      </c>
    </row>
    <row r="324" spans="1:15" s="8" customFormat="1" ht="15.75" x14ac:dyDescent="0.25">
      <c r="A324" s="113" t="s">
        <v>953</v>
      </c>
      <c r="B324" s="102"/>
      <c r="C324" s="25" t="s">
        <v>949</v>
      </c>
      <c r="D324" s="38">
        <v>1</v>
      </c>
      <c r="E324" s="13"/>
      <c r="F324" s="50"/>
      <c r="G324" s="103"/>
      <c r="H324" s="103"/>
      <c r="I324" s="104"/>
      <c r="J324" s="103"/>
      <c r="K324" s="103">
        <v>1</v>
      </c>
      <c r="L324" s="103">
        <f t="shared" si="37"/>
        <v>0</v>
      </c>
      <c r="M324" s="103"/>
      <c r="N324" s="103" t="s">
        <v>946</v>
      </c>
      <c r="O324" s="104">
        <f>+L324*I324</f>
        <v>0</v>
      </c>
    </row>
    <row r="325" spans="1:15" s="92" customFormat="1" x14ac:dyDescent="0.3">
      <c r="A325" s="113" t="s">
        <v>954</v>
      </c>
      <c r="B325" s="102"/>
      <c r="C325" s="25" t="s">
        <v>952</v>
      </c>
      <c r="D325" s="38">
        <v>4</v>
      </c>
      <c r="E325" s="13"/>
      <c r="F325" s="50"/>
      <c r="G325" s="103"/>
      <c r="H325" s="103"/>
      <c r="I325" s="104"/>
      <c r="J325" s="103"/>
      <c r="K325" s="103">
        <f>1+1+2</f>
        <v>4</v>
      </c>
      <c r="L325" s="103">
        <f t="shared" si="37"/>
        <v>0</v>
      </c>
      <c r="M325" s="103"/>
      <c r="N325" s="103" t="s">
        <v>945</v>
      </c>
      <c r="O325" s="104">
        <f t="shared" ref="O325:O330" si="39">+L325*I325</f>
        <v>0</v>
      </c>
    </row>
    <row r="326" spans="1:15" s="92" customFormat="1" x14ac:dyDescent="0.3">
      <c r="A326" s="113" t="s">
        <v>957</v>
      </c>
      <c r="B326" s="102"/>
      <c r="C326" s="25" t="s">
        <v>958</v>
      </c>
      <c r="D326" s="38">
        <v>9</v>
      </c>
      <c r="E326" s="13"/>
      <c r="F326" s="50"/>
      <c r="G326" s="103"/>
      <c r="H326" s="103"/>
      <c r="I326" s="104"/>
      <c r="J326" s="103"/>
      <c r="K326" s="103">
        <v>9</v>
      </c>
      <c r="L326" s="103">
        <f t="shared" si="37"/>
        <v>0</v>
      </c>
      <c r="M326" s="103"/>
      <c r="N326" s="103" t="s">
        <v>945</v>
      </c>
      <c r="O326" s="104">
        <f t="shared" si="39"/>
        <v>0</v>
      </c>
    </row>
    <row r="327" spans="1:15" s="105" customFormat="1" ht="15.75" x14ac:dyDescent="0.25">
      <c r="A327" s="113" t="s">
        <v>972</v>
      </c>
      <c r="B327" s="102"/>
      <c r="C327" s="25" t="s">
        <v>959</v>
      </c>
      <c r="D327" s="38"/>
      <c r="E327" s="13"/>
      <c r="F327" s="50"/>
      <c r="G327" s="107">
        <v>44852</v>
      </c>
      <c r="H327" s="103">
        <v>20</v>
      </c>
      <c r="I327" s="104">
        <v>19.329999999999998</v>
      </c>
      <c r="J327" s="108">
        <f>+H327*I327</f>
        <v>386.59999999999997</v>
      </c>
      <c r="K327" s="103">
        <f>1+1+2+2</f>
        <v>6</v>
      </c>
      <c r="L327" s="103">
        <f t="shared" si="37"/>
        <v>14</v>
      </c>
      <c r="M327" s="103" t="s">
        <v>1037</v>
      </c>
      <c r="N327" s="103" t="s">
        <v>947</v>
      </c>
      <c r="O327" s="104">
        <f t="shared" si="39"/>
        <v>270.62</v>
      </c>
    </row>
    <row r="328" spans="1:15" s="105" customFormat="1" ht="15.75" x14ac:dyDescent="0.25">
      <c r="A328" s="113" t="s">
        <v>973</v>
      </c>
      <c r="B328" s="102"/>
      <c r="C328" s="25" t="s">
        <v>1036</v>
      </c>
      <c r="D328" s="38"/>
      <c r="E328" s="13"/>
      <c r="F328" s="50"/>
      <c r="G328" s="107">
        <v>44852</v>
      </c>
      <c r="H328" s="103">
        <v>10</v>
      </c>
      <c r="I328" s="104">
        <v>145.80000000000001</v>
      </c>
      <c r="J328" s="108">
        <f>+H328*I328</f>
        <v>1458</v>
      </c>
      <c r="K328" s="103">
        <f>1+1+2+1</f>
        <v>5</v>
      </c>
      <c r="L328" s="103">
        <f t="shared" si="37"/>
        <v>5</v>
      </c>
      <c r="M328" s="103" t="s">
        <v>1037</v>
      </c>
      <c r="N328" s="103" t="s">
        <v>947</v>
      </c>
      <c r="O328" s="104">
        <f t="shared" si="39"/>
        <v>729</v>
      </c>
    </row>
    <row r="329" spans="1:15" s="105" customFormat="1" ht="15.75" x14ac:dyDescent="0.25">
      <c r="A329" s="113" t="s">
        <v>974</v>
      </c>
      <c r="B329" s="102"/>
      <c r="C329" s="25" t="s">
        <v>1040</v>
      </c>
      <c r="D329" s="38"/>
      <c r="E329" s="13"/>
      <c r="F329" s="50"/>
      <c r="G329" s="107">
        <v>44852</v>
      </c>
      <c r="H329" s="103">
        <v>30</v>
      </c>
      <c r="I329" s="104">
        <v>97.59</v>
      </c>
      <c r="J329" s="108">
        <f>+H329*I329</f>
        <v>2927.7000000000003</v>
      </c>
      <c r="K329" s="103">
        <f t="shared" ref="K329" si="40">1+1+2</f>
        <v>4</v>
      </c>
      <c r="L329" s="103">
        <f t="shared" si="37"/>
        <v>26</v>
      </c>
      <c r="M329" s="103" t="s">
        <v>1037</v>
      </c>
      <c r="N329" s="103" t="s">
        <v>947</v>
      </c>
      <c r="O329" s="104">
        <f t="shared" si="39"/>
        <v>2537.34</v>
      </c>
    </row>
    <row r="330" spans="1:15" s="92" customFormat="1" x14ac:dyDescent="0.3">
      <c r="A330" s="113" t="s">
        <v>975</v>
      </c>
      <c r="B330" s="102"/>
      <c r="C330" s="25" t="s">
        <v>960</v>
      </c>
      <c r="D330" s="38">
        <v>2</v>
      </c>
      <c r="E330" s="13"/>
      <c r="F330" s="50"/>
      <c r="G330" s="103"/>
      <c r="H330" s="103"/>
      <c r="I330" s="104"/>
      <c r="J330" s="103"/>
      <c r="K330" s="103">
        <v>2</v>
      </c>
      <c r="L330" s="103">
        <f t="shared" si="37"/>
        <v>0</v>
      </c>
      <c r="M330" s="103"/>
      <c r="N330" s="103" t="s">
        <v>946</v>
      </c>
      <c r="O330" s="104">
        <f t="shared" si="39"/>
        <v>0</v>
      </c>
    </row>
    <row r="331" spans="1:15" s="92" customFormat="1" ht="32.25" x14ac:dyDescent="0.3">
      <c r="A331" s="113" t="s">
        <v>976</v>
      </c>
      <c r="B331" s="102"/>
      <c r="C331" s="25" t="s">
        <v>961</v>
      </c>
      <c r="D331" s="38"/>
      <c r="E331" s="13"/>
      <c r="F331" s="50"/>
      <c r="G331" s="107">
        <v>44851</v>
      </c>
      <c r="H331" s="103">
        <v>25</v>
      </c>
      <c r="I331" s="104">
        <v>672.78</v>
      </c>
      <c r="J331" s="108">
        <f>+H331*I331</f>
        <v>16819.5</v>
      </c>
      <c r="K331" s="103">
        <f>1+1</f>
        <v>2</v>
      </c>
      <c r="L331" s="103">
        <f t="shared" si="37"/>
        <v>23</v>
      </c>
      <c r="M331" s="121" t="s">
        <v>1006</v>
      </c>
      <c r="N331" s="103" t="s">
        <v>946</v>
      </c>
      <c r="O331" s="104">
        <f>+L331*I331</f>
        <v>15473.939999999999</v>
      </c>
    </row>
    <row r="332" spans="1:15" s="92" customFormat="1" x14ac:dyDescent="0.3">
      <c r="A332" s="113" t="s">
        <v>977</v>
      </c>
      <c r="B332" s="102"/>
      <c r="C332" s="25" t="s">
        <v>962</v>
      </c>
      <c r="D332" s="38"/>
      <c r="E332" s="13"/>
      <c r="F332" s="50"/>
      <c r="G332" s="107">
        <v>44852</v>
      </c>
      <c r="H332" s="103">
        <v>12</v>
      </c>
      <c r="I332" s="104">
        <f>1452+261.36</f>
        <v>1713.3600000000001</v>
      </c>
      <c r="J332" s="108">
        <f>+H332*I332</f>
        <v>20560.32</v>
      </c>
      <c r="K332" s="103">
        <v>1</v>
      </c>
      <c r="L332" s="103">
        <f t="shared" si="37"/>
        <v>11</v>
      </c>
      <c r="M332" s="103"/>
      <c r="N332" s="103" t="s">
        <v>946</v>
      </c>
      <c r="O332" s="104">
        <f t="shared" ref="O332:O404" si="41">+L332*I332</f>
        <v>18846.960000000003</v>
      </c>
    </row>
    <row r="333" spans="1:15" s="92" customFormat="1" x14ac:dyDescent="0.3">
      <c r="A333" s="113" t="s">
        <v>978</v>
      </c>
      <c r="B333" s="102"/>
      <c r="C333" s="25" t="s">
        <v>963</v>
      </c>
      <c r="D333" s="38"/>
      <c r="E333" s="13"/>
      <c r="F333" s="50"/>
      <c r="G333" s="107">
        <v>44852</v>
      </c>
      <c r="H333" s="103">
        <v>15</v>
      </c>
      <c r="I333" s="104">
        <f>4210+757.8</f>
        <v>4967.8</v>
      </c>
      <c r="J333" s="108">
        <f>+H333*I333</f>
        <v>74517</v>
      </c>
      <c r="K333" s="103"/>
      <c r="L333" s="103">
        <f t="shared" si="37"/>
        <v>15</v>
      </c>
      <c r="M333" s="103"/>
      <c r="N333" s="103" t="s">
        <v>946</v>
      </c>
      <c r="O333" s="104">
        <f t="shared" si="41"/>
        <v>74517</v>
      </c>
    </row>
    <row r="334" spans="1:15" s="92" customFormat="1" x14ac:dyDescent="0.3">
      <c r="A334" s="113" t="s">
        <v>979</v>
      </c>
      <c r="B334" s="102"/>
      <c r="C334" s="25" t="s">
        <v>964</v>
      </c>
      <c r="D334" s="38"/>
      <c r="E334" s="13"/>
      <c r="F334" s="50"/>
      <c r="G334" s="107">
        <v>44852</v>
      </c>
      <c r="H334" s="103">
        <v>16</v>
      </c>
      <c r="I334" s="104">
        <f>3200+576</f>
        <v>3776</v>
      </c>
      <c r="J334" s="108">
        <f>+H334*I334</f>
        <v>60416</v>
      </c>
      <c r="K334" s="103"/>
      <c r="L334" s="103">
        <f t="shared" si="37"/>
        <v>16</v>
      </c>
      <c r="M334" s="103"/>
      <c r="N334" s="103" t="s">
        <v>946</v>
      </c>
      <c r="O334" s="104">
        <f t="shared" si="41"/>
        <v>60416</v>
      </c>
    </row>
    <row r="335" spans="1:15" s="92" customFormat="1" x14ac:dyDescent="0.3">
      <c r="A335" s="113" t="s">
        <v>980</v>
      </c>
      <c r="B335" s="102"/>
      <c r="C335" s="25" t="s">
        <v>965</v>
      </c>
      <c r="D335" s="38"/>
      <c r="E335" s="13"/>
      <c r="F335" s="50"/>
      <c r="G335" s="107">
        <v>44852</v>
      </c>
      <c r="H335" s="103">
        <v>5</v>
      </c>
      <c r="I335" s="104">
        <f>1911+343.98</f>
        <v>2254.98</v>
      </c>
      <c r="J335" s="108">
        <f t="shared" ref="J335:J345" si="42">+H335*I335</f>
        <v>11274.9</v>
      </c>
      <c r="K335" s="103"/>
      <c r="L335" s="103">
        <f t="shared" si="37"/>
        <v>5</v>
      </c>
      <c r="M335" s="103"/>
      <c r="N335" s="103" t="s">
        <v>946</v>
      </c>
      <c r="O335" s="104">
        <f t="shared" si="41"/>
        <v>11274.9</v>
      </c>
    </row>
    <row r="336" spans="1:15" s="92" customFormat="1" x14ac:dyDescent="0.3">
      <c r="A336" s="113" t="s">
        <v>981</v>
      </c>
      <c r="B336" s="102"/>
      <c r="C336" s="25" t="s">
        <v>966</v>
      </c>
      <c r="D336" s="38"/>
      <c r="E336" s="13"/>
      <c r="F336" s="50"/>
      <c r="G336" s="107">
        <v>44852</v>
      </c>
      <c r="H336" s="103">
        <v>20</v>
      </c>
      <c r="I336" s="104">
        <f>3200+576</f>
        <v>3776</v>
      </c>
      <c r="J336" s="108">
        <f t="shared" si="42"/>
        <v>75520</v>
      </c>
      <c r="K336" s="103"/>
      <c r="L336" s="103">
        <f t="shared" si="37"/>
        <v>20</v>
      </c>
      <c r="M336" s="103"/>
      <c r="N336" s="103" t="s">
        <v>946</v>
      </c>
      <c r="O336" s="104">
        <f t="shared" si="41"/>
        <v>75520</v>
      </c>
    </row>
    <row r="337" spans="1:15" s="92" customFormat="1" x14ac:dyDescent="0.3">
      <c r="A337" s="113" t="s">
        <v>982</v>
      </c>
      <c r="B337" s="102"/>
      <c r="C337" s="25" t="s">
        <v>967</v>
      </c>
      <c r="D337" s="38"/>
      <c r="E337" s="13"/>
      <c r="F337" s="50"/>
      <c r="G337" s="107">
        <v>44852</v>
      </c>
      <c r="H337" s="103">
        <v>10</v>
      </c>
      <c r="I337" s="104">
        <f>4800+864</f>
        <v>5664</v>
      </c>
      <c r="J337" s="108">
        <f t="shared" si="42"/>
        <v>56640</v>
      </c>
      <c r="K337" s="103"/>
      <c r="L337" s="103">
        <f t="shared" si="37"/>
        <v>10</v>
      </c>
      <c r="M337" s="103"/>
      <c r="N337" s="103" t="s">
        <v>946</v>
      </c>
      <c r="O337" s="104">
        <f t="shared" si="41"/>
        <v>56640</v>
      </c>
    </row>
    <row r="338" spans="1:15" s="92" customFormat="1" x14ac:dyDescent="0.3">
      <c r="A338" s="113" t="s">
        <v>983</v>
      </c>
      <c r="B338" s="102"/>
      <c r="C338" s="25" t="s">
        <v>968</v>
      </c>
      <c r="D338" s="38"/>
      <c r="E338" s="13"/>
      <c r="F338" s="50"/>
      <c r="G338" s="107">
        <v>44852</v>
      </c>
      <c r="H338" s="103">
        <v>35</v>
      </c>
      <c r="I338" s="104">
        <f>2050+369</f>
        <v>2419</v>
      </c>
      <c r="J338" s="108">
        <f t="shared" si="42"/>
        <v>84665</v>
      </c>
      <c r="K338" s="103">
        <v>4</v>
      </c>
      <c r="L338" s="103">
        <f t="shared" si="37"/>
        <v>31</v>
      </c>
      <c r="M338" s="103"/>
      <c r="N338" s="103" t="s">
        <v>946</v>
      </c>
      <c r="O338" s="104">
        <f t="shared" si="41"/>
        <v>74989</v>
      </c>
    </row>
    <row r="339" spans="1:15" s="92" customFormat="1" x14ac:dyDescent="0.3">
      <c r="A339" s="113" t="s">
        <v>984</v>
      </c>
      <c r="B339" s="102"/>
      <c r="C339" s="25" t="s">
        <v>969</v>
      </c>
      <c r="D339" s="38"/>
      <c r="E339" s="13"/>
      <c r="F339" s="50"/>
      <c r="G339" s="107">
        <v>44852</v>
      </c>
      <c r="H339" s="103">
        <v>5</v>
      </c>
      <c r="I339" s="104">
        <f>3737+672.66</f>
        <v>4409.66</v>
      </c>
      <c r="J339" s="108">
        <f t="shared" si="42"/>
        <v>22048.3</v>
      </c>
      <c r="K339" s="103"/>
      <c r="L339" s="103">
        <f t="shared" si="37"/>
        <v>5</v>
      </c>
      <c r="M339" s="103"/>
      <c r="N339" s="103" t="s">
        <v>946</v>
      </c>
      <c r="O339" s="104">
        <f t="shared" si="41"/>
        <v>22048.3</v>
      </c>
    </row>
    <row r="340" spans="1:15" s="92" customFormat="1" x14ac:dyDescent="0.3">
      <c r="A340" s="113" t="s">
        <v>985</v>
      </c>
      <c r="B340" s="102"/>
      <c r="C340" s="25" t="s">
        <v>994</v>
      </c>
      <c r="D340" s="38"/>
      <c r="E340" s="13"/>
      <c r="F340" s="50"/>
      <c r="G340" s="107">
        <v>44862</v>
      </c>
      <c r="H340" s="103">
        <v>40</v>
      </c>
      <c r="I340" s="104">
        <f>8750+1575</f>
        <v>10325</v>
      </c>
      <c r="J340" s="108">
        <f t="shared" si="42"/>
        <v>413000</v>
      </c>
      <c r="K340" s="103">
        <v>17</v>
      </c>
      <c r="L340" s="103">
        <f t="shared" si="37"/>
        <v>23</v>
      </c>
      <c r="M340" s="103"/>
      <c r="N340" s="103" t="s">
        <v>946</v>
      </c>
      <c r="O340" s="104">
        <f t="shared" si="41"/>
        <v>237475</v>
      </c>
    </row>
    <row r="341" spans="1:15" s="92" customFormat="1" x14ac:dyDescent="0.3">
      <c r="A341" s="113" t="s">
        <v>986</v>
      </c>
      <c r="B341" s="102"/>
      <c r="C341" s="25" t="s">
        <v>995</v>
      </c>
      <c r="D341" s="38"/>
      <c r="E341" s="13"/>
      <c r="F341" s="50"/>
      <c r="G341" s="107">
        <v>44862</v>
      </c>
      <c r="H341" s="103">
        <v>4</v>
      </c>
      <c r="I341" s="104">
        <f>1311+235.98</f>
        <v>1546.98</v>
      </c>
      <c r="J341" s="108">
        <f t="shared" si="42"/>
        <v>6187.92</v>
      </c>
      <c r="K341" s="103"/>
      <c r="L341" s="103">
        <f t="shared" si="37"/>
        <v>4</v>
      </c>
      <c r="M341" s="103"/>
      <c r="N341" s="103" t="s">
        <v>946</v>
      </c>
      <c r="O341" s="104">
        <f t="shared" si="41"/>
        <v>6187.92</v>
      </c>
    </row>
    <row r="342" spans="1:15" s="92" customFormat="1" x14ac:dyDescent="0.3">
      <c r="A342" s="113" t="s">
        <v>987</v>
      </c>
      <c r="B342" s="102"/>
      <c r="C342" s="25" t="s">
        <v>295</v>
      </c>
      <c r="D342" s="38">
        <v>1</v>
      </c>
      <c r="E342" s="13"/>
      <c r="F342" s="50"/>
      <c r="G342" s="103"/>
      <c r="H342" s="103"/>
      <c r="I342" s="104"/>
      <c r="J342" s="108">
        <f t="shared" si="42"/>
        <v>0</v>
      </c>
      <c r="K342" s="103">
        <v>1</v>
      </c>
      <c r="L342" s="103">
        <f t="shared" si="37"/>
        <v>0</v>
      </c>
      <c r="M342" s="103"/>
      <c r="N342" s="103" t="s">
        <v>946</v>
      </c>
      <c r="O342" s="104">
        <f t="shared" si="41"/>
        <v>0</v>
      </c>
    </row>
    <row r="343" spans="1:15" s="92" customFormat="1" x14ac:dyDescent="0.3">
      <c r="A343" s="113" t="s">
        <v>988</v>
      </c>
      <c r="B343" s="102"/>
      <c r="C343" s="25" t="s">
        <v>970</v>
      </c>
      <c r="D343" s="38">
        <v>4</v>
      </c>
      <c r="E343" s="13"/>
      <c r="F343" s="50"/>
      <c r="G343" s="103"/>
      <c r="H343" s="103"/>
      <c r="I343" s="104"/>
      <c r="J343" s="108">
        <f t="shared" si="42"/>
        <v>0</v>
      </c>
      <c r="K343" s="103">
        <f>2+2</f>
        <v>4</v>
      </c>
      <c r="L343" s="103">
        <f t="shared" si="37"/>
        <v>0</v>
      </c>
      <c r="M343" s="103"/>
      <c r="N343" s="103" t="s">
        <v>946</v>
      </c>
      <c r="O343" s="104">
        <f t="shared" si="41"/>
        <v>0</v>
      </c>
    </row>
    <row r="344" spans="1:15" s="92" customFormat="1" x14ac:dyDescent="0.3">
      <c r="A344" s="113" t="s">
        <v>989</v>
      </c>
      <c r="B344" s="102"/>
      <c r="C344" s="25" t="s">
        <v>971</v>
      </c>
      <c r="D344" s="38"/>
      <c r="E344" s="13"/>
      <c r="F344" s="50"/>
      <c r="G344" s="107">
        <v>44903</v>
      </c>
      <c r="H344" s="103">
        <f>2*12</f>
        <v>24</v>
      </c>
      <c r="I344" s="104">
        <v>118.15</v>
      </c>
      <c r="J344" s="108">
        <f t="shared" si="42"/>
        <v>2835.6000000000004</v>
      </c>
      <c r="K344" s="103">
        <f>3+3</f>
        <v>6</v>
      </c>
      <c r="L344" s="103">
        <f t="shared" si="37"/>
        <v>18</v>
      </c>
      <c r="M344" s="103"/>
      <c r="N344" s="103" t="s">
        <v>946</v>
      </c>
      <c r="O344" s="104">
        <f t="shared" si="41"/>
        <v>2126.7000000000003</v>
      </c>
    </row>
    <row r="345" spans="1:15" s="92" customFormat="1" ht="32.25" x14ac:dyDescent="0.3">
      <c r="A345" s="113" t="s">
        <v>990</v>
      </c>
      <c r="B345" s="102"/>
      <c r="C345" s="123" t="s">
        <v>996</v>
      </c>
      <c r="D345" s="38"/>
      <c r="E345" s="13"/>
      <c r="F345" s="50"/>
      <c r="G345" s="107">
        <v>44851</v>
      </c>
      <c r="H345" s="103">
        <v>30</v>
      </c>
      <c r="I345" s="104">
        <v>240.72</v>
      </c>
      <c r="J345" s="108">
        <f t="shared" si="42"/>
        <v>7221.6</v>
      </c>
      <c r="K345" s="103"/>
      <c r="L345" s="103">
        <f t="shared" si="37"/>
        <v>30</v>
      </c>
      <c r="M345" s="121" t="s">
        <v>1006</v>
      </c>
      <c r="N345" s="103" t="s">
        <v>946</v>
      </c>
      <c r="O345" s="104">
        <f>+L345*I345</f>
        <v>7221.6</v>
      </c>
    </row>
    <row r="346" spans="1:15" s="92" customFormat="1" ht="32.25" x14ac:dyDescent="0.3">
      <c r="A346" s="113" t="s">
        <v>991</v>
      </c>
      <c r="B346" s="102"/>
      <c r="C346" s="25" t="s">
        <v>997</v>
      </c>
      <c r="D346" s="38"/>
      <c r="E346" s="13"/>
      <c r="F346" s="50"/>
      <c r="G346" s="107">
        <v>44851</v>
      </c>
      <c r="H346" s="103">
        <v>10</v>
      </c>
      <c r="I346" s="104">
        <v>40.119999999999997</v>
      </c>
      <c r="J346" s="108">
        <f>+H346*I346</f>
        <v>401.2</v>
      </c>
      <c r="K346" s="103"/>
      <c r="L346" s="103">
        <f t="shared" si="37"/>
        <v>10</v>
      </c>
      <c r="M346" s="121" t="s">
        <v>1006</v>
      </c>
      <c r="N346" s="103" t="s">
        <v>946</v>
      </c>
      <c r="O346" s="104">
        <f t="shared" si="41"/>
        <v>401.2</v>
      </c>
    </row>
    <row r="347" spans="1:15" s="92" customFormat="1" ht="32.25" x14ac:dyDescent="0.3">
      <c r="A347" s="113" t="s">
        <v>992</v>
      </c>
      <c r="B347" s="102"/>
      <c r="C347" s="25" t="s">
        <v>998</v>
      </c>
      <c r="D347" s="38"/>
      <c r="E347" s="13"/>
      <c r="F347" s="50"/>
      <c r="G347" s="107">
        <v>44851</v>
      </c>
      <c r="H347" s="103">
        <v>25</v>
      </c>
      <c r="I347" s="104">
        <v>141.6</v>
      </c>
      <c r="J347" s="108">
        <f t="shared" ref="J347:J365" si="43">+H347*I347</f>
        <v>3540</v>
      </c>
      <c r="K347" s="103"/>
      <c r="L347" s="103">
        <f t="shared" si="37"/>
        <v>25</v>
      </c>
      <c r="M347" s="121" t="s">
        <v>1006</v>
      </c>
      <c r="N347" s="103" t="s">
        <v>946</v>
      </c>
      <c r="O347" s="104">
        <f t="shared" si="41"/>
        <v>3540</v>
      </c>
    </row>
    <row r="348" spans="1:15" s="92" customFormat="1" ht="32.25" x14ac:dyDescent="0.3">
      <c r="A348" s="113" t="s">
        <v>993</v>
      </c>
      <c r="B348" s="102"/>
      <c r="C348" s="25" t="s">
        <v>999</v>
      </c>
      <c r="D348" s="38"/>
      <c r="E348" s="13"/>
      <c r="F348" s="50"/>
      <c r="G348" s="107">
        <v>44851</v>
      </c>
      <c r="H348" s="103">
        <v>4</v>
      </c>
      <c r="I348" s="104">
        <v>1443.73</v>
      </c>
      <c r="J348" s="104">
        <f t="shared" si="43"/>
        <v>5774.92</v>
      </c>
      <c r="K348" s="103"/>
      <c r="L348" s="103">
        <f t="shared" si="37"/>
        <v>4</v>
      </c>
      <c r="M348" s="121" t="s">
        <v>1006</v>
      </c>
      <c r="N348" s="103" t="s">
        <v>946</v>
      </c>
      <c r="O348" s="104">
        <f t="shared" si="41"/>
        <v>5774.92</v>
      </c>
    </row>
    <row r="349" spans="1:15" s="92" customFormat="1" ht="32.25" x14ac:dyDescent="0.3">
      <c r="A349" s="113" t="s">
        <v>1015</v>
      </c>
      <c r="B349" s="102"/>
      <c r="C349" s="25" t="s">
        <v>1000</v>
      </c>
      <c r="D349" s="38"/>
      <c r="E349" s="13"/>
      <c r="F349" s="50"/>
      <c r="G349" s="107">
        <v>44851</v>
      </c>
      <c r="H349" s="103">
        <v>10</v>
      </c>
      <c r="I349" s="104">
        <v>1177.05</v>
      </c>
      <c r="J349" s="104">
        <f t="shared" si="43"/>
        <v>11770.5</v>
      </c>
      <c r="K349" s="103"/>
      <c r="L349" s="103">
        <f t="shared" si="37"/>
        <v>10</v>
      </c>
      <c r="M349" s="121" t="s">
        <v>1006</v>
      </c>
      <c r="N349" s="103" t="s">
        <v>946</v>
      </c>
      <c r="O349" s="104">
        <f t="shared" si="41"/>
        <v>11770.5</v>
      </c>
    </row>
    <row r="350" spans="1:15" s="92" customFormat="1" ht="32.25" x14ac:dyDescent="0.3">
      <c r="A350" s="113" t="s">
        <v>1016</v>
      </c>
      <c r="B350" s="102"/>
      <c r="C350" s="25" t="s">
        <v>1001</v>
      </c>
      <c r="D350" s="38"/>
      <c r="E350" s="13"/>
      <c r="F350" s="50"/>
      <c r="G350" s="107">
        <v>44851</v>
      </c>
      <c r="H350" s="103">
        <v>4</v>
      </c>
      <c r="I350" s="104">
        <v>1330.45</v>
      </c>
      <c r="J350" s="104">
        <f t="shared" si="43"/>
        <v>5321.8</v>
      </c>
      <c r="K350" s="103"/>
      <c r="L350" s="103">
        <f t="shared" si="37"/>
        <v>4</v>
      </c>
      <c r="M350" s="121" t="s">
        <v>1006</v>
      </c>
      <c r="N350" s="103" t="s">
        <v>946</v>
      </c>
      <c r="O350" s="104">
        <f t="shared" si="41"/>
        <v>5321.8</v>
      </c>
    </row>
    <row r="351" spans="1:15" s="92" customFormat="1" ht="32.25" x14ac:dyDescent="0.3">
      <c r="A351" s="113" t="s">
        <v>1017</v>
      </c>
      <c r="B351" s="102"/>
      <c r="C351" s="25" t="s">
        <v>1002</v>
      </c>
      <c r="D351" s="38"/>
      <c r="E351" s="13"/>
      <c r="F351" s="50"/>
      <c r="G351" s="107">
        <v>44851</v>
      </c>
      <c r="H351" s="103">
        <v>4</v>
      </c>
      <c r="I351" s="104">
        <v>676.14</v>
      </c>
      <c r="J351" s="104">
        <f t="shared" si="43"/>
        <v>2704.56</v>
      </c>
      <c r="K351" s="103"/>
      <c r="L351" s="103">
        <f t="shared" si="37"/>
        <v>4</v>
      </c>
      <c r="M351" s="121" t="s">
        <v>1006</v>
      </c>
      <c r="N351" s="103" t="s">
        <v>946</v>
      </c>
      <c r="O351" s="104">
        <f t="shared" si="41"/>
        <v>2704.56</v>
      </c>
    </row>
    <row r="352" spans="1:15" s="92" customFormat="1" ht="32.25" x14ac:dyDescent="0.3">
      <c r="A352" s="113" t="s">
        <v>1018</v>
      </c>
      <c r="B352" s="102"/>
      <c r="C352" s="25" t="s">
        <v>1003</v>
      </c>
      <c r="D352" s="38"/>
      <c r="E352" s="13"/>
      <c r="F352" s="50"/>
      <c r="G352" s="107">
        <v>44851</v>
      </c>
      <c r="H352" s="103">
        <v>4</v>
      </c>
      <c r="I352" s="104">
        <v>693.84</v>
      </c>
      <c r="J352" s="104">
        <f t="shared" si="43"/>
        <v>2775.36</v>
      </c>
      <c r="K352" s="103"/>
      <c r="L352" s="103">
        <f t="shared" si="37"/>
        <v>4</v>
      </c>
      <c r="M352" s="121" t="s">
        <v>1006</v>
      </c>
      <c r="N352" s="103" t="s">
        <v>946</v>
      </c>
      <c r="O352" s="104">
        <f t="shared" si="41"/>
        <v>2775.36</v>
      </c>
    </row>
    <row r="353" spans="1:15" customFormat="1" ht="31.5" x14ac:dyDescent="0.25">
      <c r="A353" s="113" t="s">
        <v>1019</v>
      </c>
      <c r="B353" s="102"/>
      <c r="C353" s="25" t="s">
        <v>1004</v>
      </c>
      <c r="D353" s="38"/>
      <c r="E353" s="13"/>
      <c r="F353" s="50"/>
      <c r="G353" s="107">
        <v>44851</v>
      </c>
      <c r="H353" s="103">
        <v>4</v>
      </c>
      <c r="I353" s="104">
        <v>1632.53</v>
      </c>
      <c r="J353" s="104">
        <f t="shared" si="43"/>
        <v>6530.12</v>
      </c>
      <c r="K353" s="117"/>
      <c r="L353" s="103">
        <f t="shared" si="37"/>
        <v>4</v>
      </c>
      <c r="M353" s="121" t="s">
        <v>1006</v>
      </c>
      <c r="N353" s="117" t="s">
        <v>946</v>
      </c>
      <c r="O353" s="104">
        <f t="shared" si="41"/>
        <v>6530.12</v>
      </c>
    </row>
    <row r="354" spans="1:15" s="2" customFormat="1" ht="31.5" x14ac:dyDescent="0.25">
      <c r="A354" s="113" t="s">
        <v>1020</v>
      </c>
      <c r="B354" s="102"/>
      <c r="C354" s="25" t="s">
        <v>1005</v>
      </c>
      <c r="D354" s="38"/>
      <c r="E354" s="13"/>
      <c r="F354" s="50"/>
      <c r="G354" s="107">
        <v>44851</v>
      </c>
      <c r="H354" s="103">
        <v>1</v>
      </c>
      <c r="I354" s="104">
        <v>3268.6</v>
      </c>
      <c r="J354" s="104">
        <f t="shared" si="43"/>
        <v>3268.6</v>
      </c>
      <c r="K354" s="117"/>
      <c r="L354" s="103">
        <f t="shared" si="37"/>
        <v>1</v>
      </c>
      <c r="M354" s="121" t="s">
        <v>1006</v>
      </c>
      <c r="N354" s="117" t="s">
        <v>946</v>
      </c>
      <c r="O354" s="104">
        <f t="shared" si="41"/>
        <v>3268.6</v>
      </c>
    </row>
    <row r="355" spans="1:15" ht="32.25" x14ac:dyDescent="0.3">
      <c r="A355" s="113" t="s">
        <v>1021</v>
      </c>
      <c r="B355" s="102"/>
      <c r="C355" s="25" t="s">
        <v>1007</v>
      </c>
      <c r="D355" s="38"/>
      <c r="E355" s="13"/>
      <c r="F355" s="50"/>
      <c r="G355" s="107">
        <v>44851</v>
      </c>
      <c r="H355" s="103">
        <v>15</v>
      </c>
      <c r="I355" s="104">
        <v>3908.16</v>
      </c>
      <c r="J355" s="104">
        <f t="shared" si="43"/>
        <v>58622.399999999994</v>
      </c>
      <c r="K355" s="117"/>
      <c r="L355" s="103">
        <f t="shared" si="37"/>
        <v>15</v>
      </c>
      <c r="M355" s="121" t="s">
        <v>1006</v>
      </c>
      <c r="N355" s="117" t="s">
        <v>946</v>
      </c>
      <c r="O355" s="118">
        <f t="shared" si="41"/>
        <v>58622.399999999994</v>
      </c>
    </row>
    <row r="356" spans="1:15" ht="23.25" customHeight="1" x14ac:dyDescent="0.3">
      <c r="A356" s="113" t="s">
        <v>1022</v>
      </c>
      <c r="B356" s="102"/>
      <c r="C356" s="25" t="s">
        <v>1008</v>
      </c>
      <c r="D356" s="38"/>
      <c r="E356" s="13"/>
      <c r="F356" s="50"/>
      <c r="G356" s="107">
        <v>44851</v>
      </c>
      <c r="H356" s="103">
        <v>20</v>
      </c>
      <c r="I356" s="104">
        <v>1711</v>
      </c>
      <c r="J356" s="104">
        <f t="shared" si="43"/>
        <v>34220</v>
      </c>
      <c r="K356" s="117">
        <v>1</v>
      </c>
      <c r="L356" s="103">
        <f t="shared" si="37"/>
        <v>19</v>
      </c>
      <c r="M356" s="121" t="s">
        <v>1006</v>
      </c>
      <c r="N356" s="117" t="s">
        <v>946</v>
      </c>
      <c r="O356" s="118">
        <f t="shared" si="41"/>
        <v>32509</v>
      </c>
    </row>
    <row r="357" spans="1:15" ht="32.25" x14ac:dyDescent="0.3">
      <c r="A357" s="113" t="s">
        <v>1023</v>
      </c>
      <c r="B357" s="102"/>
      <c r="C357" s="25" t="s">
        <v>1009</v>
      </c>
      <c r="D357" s="38"/>
      <c r="E357" s="13"/>
      <c r="F357" s="50"/>
      <c r="G357" s="107">
        <v>44851</v>
      </c>
      <c r="H357" s="103">
        <v>5</v>
      </c>
      <c r="I357" s="104">
        <v>1165.8399999999999</v>
      </c>
      <c r="J357" s="104">
        <f t="shared" si="43"/>
        <v>5829.2</v>
      </c>
      <c r="K357" s="117"/>
      <c r="L357" s="103">
        <f t="shared" si="37"/>
        <v>5</v>
      </c>
      <c r="M357" s="121" t="s">
        <v>1006</v>
      </c>
      <c r="N357" s="117" t="s">
        <v>946</v>
      </c>
      <c r="O357" s="118">
        <f t="shared" si="41"/>
        <v>5829.2</v>
      </c>
    </row>
    <row r="358" spans="1:15" ht="23.25" customHeight="1" x14ac:dyDescent="0.3">
      <c r="A358" s="113" t="s">
        <v>1024</v>
      </c>
      <c r="B358" s="102"/>
      <c r="C358" s="25" t="s">
        <v>1010</v>
      </c>
      <c r="D358" s="38"/>
      <c r="E358" s="13"/>
      <c r="F358" s="50"/>
      <c r="G358" s="107">
        <v>44851</v>
      </c>
      <c r="H358" s="103">
        <v>5</v>
      </c>
      <c r="I358" s="104">
        <v>4399.04</v>
      </c>
      <c r="J358" s="104">
        <f t="shared" si="43"/>
        <v>21995.200000000001</v>
      </c>
      <c r="K358" s="117"/>
      <c r="L358" s="103">
        <f t="shared" si="37"/>
        <v>5</v>
      </c>
      <c r="M358" s="121" t="s">
        <v>1006</v>
      </c>
      <c r="N358" s="117" t="s">
        <v>946</v>
      </c>
      <c r="O358" s="118">
        <f t="shared" si="41"/>
        <v>21995.200000000001</v>
      </c>
    </row>
    <row r="359" spans="1:15" ht="32.25" x14ac:dyDescent="0.3">
      <c r="A359" s="113" t="s">
        <v>1025</v>
      </c>
      <c r="B359" s="102"/>
      <c r="C359" s="25" t="s">
        <v>1011</v>
      </c>
      <c r="D359" s="38"/>
      <c r="E359" s="13"/>
      <c r="F359" s="50"/>
      <c r="G359" s="107">
        <v>44851</v>
      </c>
      <c r="H359" s="117">
        <v>5</v>
      </c>
      <c r="I359" s="118">
        <v>4399.04</v>
      </c>
      <c r="J359" s="118">
        <f t="shared" si="43"/>
        <v>21995.200000000001</v>
      </c>
      <c r="K359" s="117"/>
      <c r="L359" s="103">
        <f t="shared" si="37"/>
        <v>5</v>
      </c>
      <c r="M359" s="121" t="s">
        <v>1006</v>
      </c>
      <c r="N359" s="117" t="s">
        <v>946</v>
      </c>
      <c r="O359" s="118">
        <f t="shared" si="41"/>
        <v>21995.200000000001</v>
      </c>
    </row>
    <row r="360" spans="1:15" ht="32.25" x14ac:dyDescent="0.3">
      <c r="A360" s="113" t="s">
        <v>1026</v>
      </c>
      <c r="B360" s="102"/>
      <c r="C360" s="25" t="s">
        <v>1012</v>
      </c>
      <c r="D360" s="38"/>
      <c r="E360" s="13"/>
      <c r="F360" s="50"/>
      <c r="G360" s="107">
        <v>44851</v>
      </c>
      <c r="H360" s="117">
        <v>5</v>
      </c>
      <c r="I360" s="118">
        <v>4399.04</v>
      </c>
      <c r="J360" s="118">
        <f t="shared" si="43"/>
        <v>21995.200000000001</v>
      </c>
      <c r="K360" s="117"/>
      <c r="L360" s="103">
        <f t="shared" si="37"/>
        <v>5</v>
      </c>
      <c r="M360" s="121" t="s">
        <v>1006</v>
      </c>
      <c r="N360" s="117" t="s">
        <v>946</v>
      </c>
      <c r="O360" s="118">
        <f t="shared" si="41"/>
        <v>21995.200000000001</v>
      </c>
    </row>
    <row r="361" spans="1:15" ht="32.25" x14ac:dyDescent="0.3">
      <c r="A361" s="113" t="s">
        <v>1027</v>
      </c>
      <c r="B361" s="102"/>
      <c r="C361" s="25" t="s">
        <v>1013</v>
      </c>
      <c r="D361" s="38"/>
      <c r="E361" s="13"/>
      <c r="F361" s="50"/>
      <c r="G361" s="107">
        <v>44851</v>
      </c>
      <c r="H361" s="117">
        <v>12</v>
      </c>
      <c r="I361" s="118">
        <v>1869.12</v>
      </c>
      <c r="J361" s="118">
        <f t="shared" si="43"/>
        <v>22429.439999999999</v>
      </c>
      <c r="K361" s="117"/>
      <c r="L361" s="103">
        <f t="shared" si="37"/>
        <v>12</v>
      </c>
      <c r="M361" s="121" t="s">
        <v>1006</v>
      </c>
      <c r="N361" s="117" t="s">
        <v>946</v>
      </c>
      <c r="O361" s="118">
        <f t="shared" si="41"/>
        <v>22429.439999999999</v>
      </c>
    </row>
    <row r="362" spans="1:15" ht="32.25" x14ac:dyDescent="0.3">
      <c r="A362" s="113" t="s">
        <v>1028</v>
      </c>
      <c r="B362" s="102"/>
      <c r="C362" s="25" t="s">
        <v>1014</v>
      </c>
      <c r="D362" s="38"/>
      <c r="E362" s="13"/>
      <c r="F362" s="50"/>
      <c r="G362" s="107">
        <v>44851</v>
      </c>
      <c r="H362" s="117">
        <v>30</v>
      </c>
      <c r="I362" s="118">
        <v>41.3</v>
      </c>
      <c r="J362" s="118">
        <f t="shared" si="43"/>
        <v>1239</v>
      </c>
      <c r="K362" s="117"/>
      <c r="L362" s="103">
        <f t="shared" si="37"/>
        <v>30</v>
      </c>
      <c r="M362" s="121" t="s">
        <v>1006</v>
      </c>
      <c r="N362" s="117" t="s">
        <v>946</v>
      </c>
      <c r="O362" s="118">
        <f t="shared" si="41"/>
        <v>1239</v>
      </c>
    </row>
    <row r="363" spans="1:15" s="105" customFormat="1" ht="15.75" x14ac:dyDescent="0.25">
      <c r="A363" s="113" t="s">
        <v>1029</v>
      </c>
      <c r="B363" s="102"/>
      <c r="C363" s="25" t="s">
        <v>1038</v>
      </c>
      <c r="D363" s="38"/>
      <c r="E363" s="13"/>
      <c r="F363" s="50"/>
      <c r="G363" s="107">
        <v>44852</v>
      </c>
      <c r="H363" s="103">
        <v>10</v>
      </c>
      <c r="I363" s="104">
        <v>18.77</v>
      </c>
      <c r="J363" s="104">
        <f t="shared" si="43"/>
        <v>187.7</v>
      </c>
      <c r="K363" s="103"/>
      <c r="L363" s="103">
        <f t="shared" si="37"/>
        <v>10</v>
      </c>
      <c r="M363" s="121" t="s">
        <v>1037</v>
      </c>
      <c r="N363" s="103" t="s">
        <v>947</v>
      </c>
      <c r="O363" s="104">
        <f t="shared" si="41"/>
        <v>187.7</v>
      </c>
    </row>
    <row r="364" spans="1:15" s="105" customFormat="1" ht="15.75" x14ac:dyDescent="0.25">
      <c r="A364" s="113" t="s">
        <v>1030</v>
      </c>
      <c r="B364" s="102"/>
      <c r="C364" s="25" t="s">
        <v>1041</v>
      </c>
      <c r="D364" s="38"/>
      <c r="E364" s="13"/>
      <c r="F364" s="50"/>
      <c r="G364" s="107">
        <v>44852</v>
      </c>
      <c r="H364" s="103">
        <v>40</v>
      </c>
      <c r="I364" s="104">
        <v>44.55</v>
      </c>
      <c r="J364" s="104">
        <f t="shared" si="43"/>
        <v>1782</v>
      </c>
      <c r="K364" s="103"/>
      <c r="L364" s="103">
        <f t="shared" si="37"/>
        <v>40</v>
      </c>
      <c r="M364" s="121" t="s">
        <v>1037</v>
      </c>
      <c r="N364" s="103" t="s">
        <v>947</v>
      </c>
      <c r="O364" s="104">
        <f t="shared" si="41"/>
        <v>1782</v>
      </c>
    </row>
    <row r="365" spans="1:15" s="105" customFormat="1" ht="15.75" x14ac:dyDescent="0.25">
      <c r="A365" s="113" t="s">
        <v>1031</v>
      </c>
      <c r="B365" s="102"/>
      <c r="C365" s="25" t="s">
        <v>1042</v>
      </c>
      <c r="D365" s="38"/>
      <c r="E365" s="13"/>
      <c r="F365" s="50"/>
      <c r="G365" s="107">
        <v>44851</v>
      </c>
      <c r="H365" s="103">
        <v>2</v>
      </c>
      <c r="I365" s="104">
        <v>650</v>
      </c>
      <c r="J365" s="104">
        <f t="shared" si="43"/>
        <v>1300</v>
      </c>
      <c r="K365" s="103"/>
      <c r="L365" s="103">
        <f t="shared" si="37"/>
        <v>2</v>
      </c>
      <c r="M365" s="121" t="s">
        <v>1037</v>
      </c>
      <c r="N365" s="103" t="s">
        <v>947</v>
      </c>
      <c r="O365" s="104">
        <f t="shared" si="41"/>
        <v>1300</v>
      </c>
    </row>
    <row r="366" spans="1:15" s="105" customFormat="1" ht="15.75" x14ac:dyDescent="0.25">
      <c r="A366" s="113" t="s">
        <v>1032</v>
      </c>
      <c r="B366" s="102"/>
      <c r="C366" s="25" t="s">
        <v>1043</v>
      </c>
      <c r="D366" s="38"/>
      <c r="E366" s="13"/>
      <c r="F366" s="50"/>
      <c r="G366" s="107">
        <v>44852</v>
      </c>
      <c r="H366" s="103">
        <f>10*12</f>
        <v>120</v>
      </c>
      <c r="I366" s="104">
        <v>27</v>
      </c>
      <c r="J366" s="104">
        <f>+I366*H366</f>
        <v>3240</v>
      </c>
      <c r="K366" s="103"/>
      <c r="L366" s="103">
        <f t="shared" si="37"/>
        <v>120</v>
      </c>
      <c r="M366" s="121" t="s">
        <v>1037</v>
      </c>
      <c r="N366" s="103" t="s">
        <v>947</v>
      </c>
      <c r="O366" s="104">
        <f t="shared" si="41"/>
        <v>3240</v>
      </c>
    </row>
    <row r="367" spans="1:15" s="105" customFormat="1" ht="15.75" x14ac:dyDescent="0.25">
      <c r="A367" s="113" t="s">
        <v>1033</v>
      </c>
      <c r="B367" s="102"/>
      <c r="C367" s="25" t="s">
        <v>1044</v>
      </c>
      <c r="D367" s="38"/>
      <c r="E367" s="13"/>
      <c r="F367" s="50"/>
      <c r="G367" s="107">
        <v>44852</v>
      </c>
      <c r="H367" s="103">
        <v>120</v>
      </c>
      <c r="I367" s="104">
        <v>45.89</v>
      </c>
      <c r="J367" s="104">
        <f>+I367*H367</f>
        <v>5506.8</v>
      </c>
      <c r="K367" s="103"/>
      <c r="L367" s="103">
        <f t="shared" si="37"/>
        <v>120</v>
      </c>
      <c r="M367" s="121" t="s">
        <v>1037</v>
      </c>
      <c r="N367" s="103" t="s">
        <v>947</v>
      </c>
      <c r="O367" s="104">
        <f t="shared" si="41"/>
        <v>5506.8</v>
      </c>
    </row>
    <row r="368" spans="1:15" s="105" customFormat="1" ht="15.75" x14ac:dyDescent="0.25">
      <c r="A368" s="113" t="s">
        <v>1034</v>
      </c>
      <c r="B368" s="102"/>
      <c r="C368" s="25" t="s">
        <v>1045</v>
      </c>
      <c r="D368" s="38"/>
      <c r="E368" s="13"/>
      <c r="F368" s="50"/>
      <c r="G368" s="107">
        <v>44852</v>
      </c>
      <c r="H368" s="103">
        <v>120</v>
      </c>
      <c r="I368" s="104">
        <v>51.33</v>
      </c>
      <c r="J368" s="104">
        <f t="shared" ref="J368:J383" si="44">+I368*H368</f>
        <v>6159.5999999999995</v>
      </c>
      <c r="K368" s="103"/>
      <c r="L368" s="103">
        <f t="shared" ref="L368:L404" si="45">+D368+H368-K368</f>
        <v>120</v>
      </c>
      <c r="M368" s="121" t="s">
        <v>1037</v>
      </c>
      <c r="N368" s="103" t="s">
        <v>947</v>
      </c>
      <c r="O368" s="104">
        <f t="shared" si="41"/>
        <v>6159.5999999999995</v>
      </c>
    </row>
    <row r="369" spans="1:15" s="105" customFormat="1" ht="15.75" x14ac:dyDescent="0.25">
      <c r="A369" s="113" t="s">
        <v>1057</v>
      </c>
      <c r="B369" s="102"/>
      <c r="C369" s="25" t="s">
        <v>1046</v>
      </c>
      <c r="D369" s="38"/>
      <c r="E369" s="13"/>
      <c r="F369" s="50"/>
      <c r="G369" s="107">
        <v>44852</v>
      </c>
      <c r="H369" s="103">
        <v>120</v>
      </c>
      <c r="I369" s="104">
        <v>127.65</v>
      </c>
      <c r="J369" s="104">
        <f t="shared" si="44"/>
        <v>15318</v>
      </c>
      <c r="K369" s="103"/>
      <c r="L369" s="103">
        <f t="shared" si="45"/>
        <v>120</v>
      </c>
      <c r="M369" s="121" t="s">
        <v>1037</v>
      </c>
      <c r="N369" s="103" t="s">
        <v>947</v>
      </c>
      <c r="O369" s="104">
        <f t="shared" si="41"/>
        <v>15318</v>
      </c>
    </row>
    <row r="370" spans="1:15" s="105" customFormat="1" ht="15.75" x14ac:dyDescent="0.25">
      <c r="A370" s="113" t="s">
        <v>1058</v>
      </c>
      <c r="B370" s="102"/>
      <c r="C370" s="25" t="s">
        <v>1047</v>
      </c>
      <c r="D370" s="38"/>
      <c r="E370" s="13"/>
      <c r="F370" s="50"/>
      <c r="G370" s="107">
        <v>44852</v>
      </c>
      <c r="H370" s="103">
        <v>5</v>
      </c>
      <c r="I370" s="104">
        <v>5442.16</v>
      </c>
      <c r="J370" s="104">
        <f t="shared" si="44"/>
        <v>27210.799999999999</v>
      </c>
      <c r="K370" s="103"/>
      <c r="L370" s="103">
        <f t="shared" si="45"/>
        <v>5</v>
      </c>
      <c r="M370" s="121" t="s">
        <v>1037</v>
      </c>
      <c r="N370" s="103" t="s">
        <v>947</v>
      </c>
      <c r="O370" s="104">
        <f t="shared" si="41"/>
        <v>27210.799999999999</v>
      </c>
    </row>
    <row r="371" spans="1:15" s="105" customFormat="1" ht="15.75" x14ac:dyDescent="0.25">
      <c r="A371" s="113" t="s">
        <v>1059</v>
      </c>
      <c r="B371" s="102"/>
      <c r="C371" s="25" t="s">
        <v>1048</v>
      </c>
      <c r="D371" s="38"/>
      <c r="E371" s="13"/>
      <c r="F371" s="50"/>
      <c r="G371" s="107">
        <v>44852</v>
      </c>
      <c r="H371" s="103">
        <v>1</v>
      </c>
      <c r="I371" s="104">
        <v>5330</v>
      </c>
      <c r="J371" s="104">
        <f t="shared" si="44"/>
        <v>5330</v>
      </c>
      <c r="K371" s="103">
        <v>1</v>
      </c>
      <c r="L371" s="103">
        <f t="shared" si="45"/>
        <v>0</v>
      </c>
      <c r="M371" s="121" t="s">
        <v>1037</v>
      </c>
      <c r="N371" s="103" t="s">
        <v>947</v>
      </c>
      <c r="O371" s="104">
        <f t="shared" si="41"/>
        <v>0</v>
      </c>
    </row>
    <row r="372" spans="1:15" s="105" customFormat="1" ht="15.75" x14ac:dyDescent="0.25">
      <c r="A372" s="113" t="s">
        <v>1060</v>
      </c>
      <c r="B372" s="102"/>
      <c r="C372" s="25" t="s">
        <v>1049</v>
      </c>
      <c r="D372" s="38"/>
      <c r="E372" s="13"/>
      <c r="F372" s="50"/>
      <c r="G372" s="107">
        <v>44852</v>
      </c>
      <c r="H372" s="103">
        <v>5</v>
      </c>
      <c r="I372" s="104">
        <v>678.24</v>
      </c>
      <c r="J372" s="104">
        <f t="shared" si="44"/>
        <v>3391.2</v>
      </c>
      <c r="K372" s="103"/>
      <c r="L372" s="103">
        <f t="shared" si="45"/>
        <v>5</v>
      </c>
      <c r="M372" s="121" t="s">
        <v>1037</v>
      </c>
      <c r="N372" s="103" t="s">
        <v>947</v>
      </c>
      <c r="O372" s="104">
        <f t="shared" si="41"/>
        <v>3391.2</v>
      </c>
    </row>
    <row r="373" spans="1:15" s="105" customFormat="1" ht="15.75" x14ac:dyDescent="0.25">
      <c r="A373" s="113" t="s">
        <v>1061</v>
      </c>
      <c r="B373" s="102"/>
      <c r="C373" s="25" t="s">
        <v>1050</v>
      </c>
      <c r="D373" s="38"/>
      <c r="E373" s="13"/>
      <c r="F373" s="50"/>
      <c r="G373" s="107">
        <v>44852</v>
      </c>
      <c r="H373" s="103">
        <v>5</v>
      </c>
      <c r="I373" s="104">
        <v>678.24</v>
      </c>
      <c r="J373" s="104">
        <f t="shared" si="44"/>
        <v>3391.2</v>
      </c>
      <c r="K373" s="103"/>
      <c r="L373" s="103">
        <f t="shared" si="45"/>
        <v>5</v>
      </c>
      <c r="M373" s="121" t="s">
        <v>1037</v>
      </c>
      <c r="N373" s="103" t="s">
        <v>947</v>
      </c>
      <c r="O373" s="104">
        <f t="shared" si="41"/>
        <v>3391.2</v>
      </c>
    </row>
    <row r="374" spans="1:15" s="105" customFormat="1" ht="15.75" x14ac:dyDescent="0.25">
      <c r="A374" s="113" t="s">
        <v>1062</v>
      </c>
      <c r="B374" s="102"/>
      <c r="C374" s="25" t="s">
        <v>1051</v>
      </c>
      <c r="D374" s="38"/>
      <c r="E374" s="13"/>
      <c r="F374" s="50"/>
      <c r="G374" s="107">
        <v>44852</v>
      </c>
      <c r="H374" s="103">
        <v>3</v>
      </c>
      <c r="I374" s="104">
        <v>511</v>
      </c>
      <c r="J374" s="104">
        <f t="shared" si="44"/>
        <v>1533</v>
      </c>
      <c r="K374" s="103">
        <v>1</v>
      </c>
      <c r="L374" s="103">
        <f t="shared" si="45"/>
        <v>2</v>
      </c>
      <c r="M374" s="121" t="s">
        <v>1037</v>
      </c>
      <c r="N374" s="103" t="s">
        <v>947</v>
      </c>
      <c r="O374" s="104">
        <f t="shared" si="41"/>
        <v>1022</v>
      </c>
    </row>
    <row r="375" spans="1:15" s="105" customFormat="1" ht="15.75" x14ac:dyDescent="0.25">
      <c r="A375" s="113" t="s">
        <v>1063</v>
      </c>
      <c r="B375" s="102"/>
      <c r="C375" s="25" t="s">
        <v>1052</v>
      </c>
      <c r="D375" s="38"/>
      <c r="E375" s="13"/>
      <c r="F375" s="50"/>
      <c r="G375" s="107">
        <v>44852</v>
      </c>
      <c r="H375" s="103">
        <v>3</v>
      </c>
      <c r="I375" s="104">
        <v>511</v>
      </c>
      <c r="J375" s="104">
        <f t="shared" si="44"/>
        <v>1533</v>
      </c>
      <c r="K375" s="103"/>
      <c r="L375" s="103">
        <f t="shared" si="45"/>
        <v>3</v>
      </c>
      <c r="M375" s="121" t="s">
        <v>1037</v>
      </c>
      <c r="N375" s="103" t="s">
        <v>947</v>
      </c>
      <c r="O375" s="104">
        <f t="shared" si="41"/>
        <v>1533</v>
      </c>
    </row>
    <row r="376" spans="1:15" s="105" customFormat="1" ht="15.75" x14ac:dyDescent="0.25">
      <c r="A376" s="113" t="s">
        <v>1064</v>
      </c>
      <c r="B376" s="102"/>
      <c r="C376" s="25" t="s">
        <v>1053</v>
      </c>
      <c r="D376" s="38"/>
      <c r="E376" s="13"/>
      <c r="F376" s="50"/>
      <c r="G376" s="107">
        <v>44852</v>
      </c>
      <c r="H376" s="103">
        <v>3</v>
      </c>
      <c r="I376" s="104">
        <v>511</v>
      </c>
      <c r="J376" s="104">
        <f t="shared" si="44"/>
        <v>1533</v>
      </c>
      <c r="K376" s="103"/>
      <c r="L376" s="103">
        <f t="shared" si="45"/>
        <v>3</v>
      </c>
      <c r="M376" s="121" t="s">
        <v>1037</v>
      </c>
      <c r="N376" s="103" t="s">
        <v>947</v>
      </c>
      <c r="O376" s="104">
        <f t="shared" si="41"/>
        <v>1533</v>
      </c>
    </row>
    <row r="377" spans="1:15" s="105" customFormat="1" ht="15.75" x14ac:dyDescent="0.25">
      <c r="A377" s="113" t="s">
        <v>1065</v>
      </c>
      <c r="B377" s="102"/>
      <c r="C377" s="25" t="s">
        <v>1054</v>
      </c>
      <c r="D377" s="38"/>
      <c r="E377" s="13"/>
      <c r="F377" s="50"/>
      <c r="G377" s="107">
        <v>44852</v>
      </c>
      <c r="H377" s="103">
        <v>3</v>
      </c>
      <c r="I377" s="104">
        <v>511</v>
      </c>
      <c r="J377" s="104">
        <f t="shared" si="44"/>
        <v>1533</v>
      </c>
      <c r="K377" s="103"/>
      <c r="L377" s="103">
        <f t="shared" si="45"/>
        <v>3</v>
      </c>
      <c r="M377" s="121" t="s">
        <v>1037</v>
      </c>
      <c r="N377" s="103" t="s">
        <v>947</v>
      </c>
      <c r="O377" s="104">
        <f t="shared" si="41"/>
        <v>1533</v>
      </c>
    </row>
    <row r="378" spans="1:15" s="105" customFormat="1" ht="15.75" x14ac:dyDescent="0.25">
      <c r="A378" s="113" t="s">
        <v>1066</v>
      </c>
      <c r="B378" s="102"/>
      <c r="C378" s="25" t="s">
        <v>1055</v>
      </c>
      <c r="D378" s="38"/>
      <c r="E378" s="13"/>
      <c r="F378" s="50"/>
      <c r="G378" s="107">
        <v>44852</v>
      </c>
      <c r="H378" s="103">
        <v>20</v>
      </c>
      <c r="I378" s="104">
        <v>3.32</v>
      </c>
      <c r="J378" s="104">
        <f t="shared" si="44"/>
        <v>66.399999999999991</v>
      </c>
      <c r="K378" s="103"/>
      <c r="L378" s="103">
        <f t="shared" si="45"/>
        <v>20</v>
      </c>
      <c r="M378" s="121" t="s">
        <v>1037</v>
      </c>
      <c r="N378" s="103" t="s">
        <v>947</v>
      </c>
      <c r="O378" s="104">
        <f t="shared" si="41"/>
        <v>66.399999999999991</v>
      </c>
    </row>
    <row r="379" spans="1:15" s="105" customFormat="1" ht="15.75" x14ac:dyDescent="0.25">
      <c r="A379" s="113" t="s">
        <v>1067</v>
      </c>
      <c r="B379" s="102"/>
      <c r="C379" s="25" t="s">
        <v>1056</v>
      </c>
      <c r="D379" s="38"/>
      <c r="E379" s="13"/>
      <c r="F379" s="50"/>
      <c r="G379" s="107">
        <v>44852</v>
      </c>
      <c r="H379" s="103">
        <v>5</v>
      </c>
      <c r="I379" s="104">
        <v>64.900000000000006</v>
      </c>
      <c r="J379" s="104">
        <f t="shared" si="44"/>
        <v>324.5</v>
      </c>
      <c r="K379" s="103"/>
      <c r="L379" s="103">
        <f t="shared" si="45"/>
        <v>5</v>
      </c>
      <c r="M379" s="121" t="s">
        <v>1037</v>
      </c>
      <c r="N379" s="103" t="s">
        <v>947</v>
      </c>
      <c r="O379" s="104">
        <f t="shared" si="41"/>
        <v>324.5</v>
      </c>
    </row>
    <row r="380" spans="1:15" s="105" customFormat="1" ht="15.75" x14ac:dyDescent="0.25">
      <c r="A380" s="113" t="s">
        <v>1067</v>
      </c>
      <c r="B380" s="102"/>
      <c r="C380" s="25" t="s">
        <v>1056</v>
      </c>
      <c r="D380" s="38"/>
      <c r="E380" s="13"/>
      <c r="F380" s="50"/>
      <c r="G380" s="107">
        <v>44852</v>
      </c>
      <c r="H380" s="103">
        <v>5</v>
      </c>
      <c r="I380" s="104">
        <v>64.900000000000006</v>
      </c>
      <c r="J380" s="104">
        <f t="shared" si="44"/>
        <v>324.5</v>
      </c>
      <c r="K380" s="103"/>
      <c r="L380" s="103">
        <f t="shared" si="45"/>
        <v>5</v>
      </c>
      <c r="M380" s="121" t="s">
        <v>1037</v>
      </c>
      <c r="N380" s="103" t="s">
        <v>947</v>
      </c>
      <c r="O380" s="104">
        <f t="shared" si="41"/>
        <v>324.5</v>
      </c>
    </row>
    <row r="381" spans="1:15" s="105" customFormat="1" ht="15.75" x14ac:dyDescent="0.25">
      <c r="A381" s="113" t="s">
        <v>1068</v>
      </c>
      <c r="B381" s="102"/>
      <c r="C381" s="25" t="s">
        <v>1077</v>
      </c>
      <c r="D381" s="38"/>
      <c r="E381" s="13"/>
      <c r="F381" s="50"/>
      <c r="G381" s="107">
        <v>44865</v>
      </c>
      <c r="H381" s="103">
        <v>5</v>
      </c>
      <c r="I381" s="104">
        <v>8720.2000000000007</v>
      </c>
      <c r="J381" s="104">
        <f t="shared" si="44"/>
        <v>43601</v>
      </c>
      <c r="K381" s="103"/>
      <c r="L381" s="103">
        <f t="shared" si="45"/>
        <v>5</v>
      </c>
      <c r="M381" s="121" t="s">
        <v>1078</v>
      </c>
      <c r="N381" s="103" t="s">
        <v>947</v>
      </c>
      <c r="O381" s="104">
        <f t="shared" si="41"/>
        <v>43601</v>
      </c>
    </row>
    <row r="382" spans="1:15" s="105" customFormat="1" ht="15.75" x14ac:dyDescent="0.25">
      <c r="A382" s="113" t="s">
        <v>1073</v>
      </c>
      <c r="B382" s="102"/>
      <c r="C382" s="25" t="s">
        <v>1079</v>
      </c>
      <c r="D382" s="38"/>
      <c r="E382" s="13"/>
      <c r="F382" s="50"/>
      <c r="G382" s="107">
        <v>44865</v>
      </c>
      <c r="H382" s="103">
        <v>5</v>
      </c>
      <c r="I382" s="104">
        <v>7729</v>
      </c>
      <c r="J382" s="104">
        <f t="shared" si="44"/>
        <v>38645</v>
      </c>
      <c r="K382" s="103"/>
      <c r="L382" s="103">
        <f t="shared" si="45"/>
        <v>5</v>
      </c>
      <c r="M382" s="121" t="s">
        <v>1078</v>
      </c>
      <c r="N382" s="103" t="s">
        <v>947</v>
      </c>
      <c r="O382" s="104">
        <f t="shared" si="41"/>
        <v>38645</v>
      </c>
    </row>
    <row r="383" spans="1:15" s="105" customFormat="1" ht="15.75" x14ac:dyDescent="0.25">
      <c r="A383" s="113" t="s">
        <v>1074</v>
      </c>
      <c r="B383" s="102"/>
      <c r="C383" s="25" t="s">
        <v>1080</v>
      </c>
      <c r="D383" s="38"/>
      <c r="E383" s="13"/>
      <c r="F383" s="50"/>
      <c r="G383" s="107">
        <v>44865</v>
      </c>
      <c r="H383" s="103">
        <v>10</v>
      </c>
      <c r="I383" s="104">
        <v>4897</v>
      </c>
      <c r="J383" s="104">
        <f t="shared" si="44"/>
        <v>48970</v>
      </c>
      <c r="K383" s="103"/>
      <c r="L383" s="103">
        <f t="shared" si="45"/>
        <v>10</v>
      </c>
      <c r="M383" s="121" t="s">
        <v>1078</v>
      </c>
      <c r="N383" s="103" t="s">
        <v>947</v>
      </c>
      <c r="O383" s="104">
        <f t="shared" si="41"/>
        <v>48970</v>
      </c>
    </row>
    <row r="384" spans="1:15" s="105" customFormat="1" ht="15.75" x14ac:dyDescent="0.25">
      <c r="A384" s="113" t="s">
        <v>1075</v>
      </c>
      <c r="B384" s="102"/>
      <c r="C384" s="25" t="s">
        <v>1072</v>
      </c>
      <c r="D384" s="38"/>
      <c r="E384" s="13"/>
      <c r="F384" s="50"/>
      <c r="G384" s="107">
        <v>44879</v>
      </c>
      <c r="H384" s="103">
        <v>10</v>
      </c>
      <c r="I384" s="104">
        <v>3717</v>
      </c>
      <c r="J384" s="104">
        <f>+I384*H384</f>
        <v>37170</v>
      </c>
      <c r="K384" s="103"/>
      <c r="L384" s="103">
        <f t="shared" si="45"/>
        <v>10</v>
      </c>
      <c r="M384" s="121"/>
      <c r="N384" s="103" t="s">
        <v>946</v>
      </c>
      <c r="O384" s="104">
        <f t="shared" si="41"/>
        <v>37170</v>
      </c>
    </row>
    <row r="385" spans="1:15" s="105" customFormat="1" ht="15.75" x14ac:dyDescent="0.25">
      <c r="A385" s="113" t="s">
        <v>1076</v>
      </c>
      <c r="B385" s="102"/>
      <c r="C385" s="25" t="s">
        <v>1070</v>
      </c>
      <c r="D385" s="38">
        <v>1</v>
      </c>
      <c r="E385" s="13"/>
      <c r="F385" s="50"/>
      <c r="G385" s="107"/>
      <c r="H385" s="103"/>
      <c r="I385" s="104"/>
      <c r="J385" s="104"/>
      <c r="K385" s="103">
        <v>1</v>
      </c>
      <c r="L385" s="103">
        <f t="shared" si="45"/>
        <v>0</v>
      </c>
      <c r="M385" s="121"/>
      <c r="N385" s="103" t="s">
        <v>947</v>
      </c>
      <c r="O385" s="104">
        <f t="shared" si="41"/>
        <v>0</v>
      </c>
    </row>
    <row r="386" spans="1:15" s="105" customFormat="1" ht="15.75" x14ac:dyDescent="0.25">
      <c r="A386" s="113" t="s">
        <v>1081</v>
      </c>
      <c r="B386" s="102"/>
      <c r="C386" s="25" t="s">
        <v>1071</v>
      </c>
      <c r="D386" s="38">
        <v>1</v>
      </c>
      <c r="E386" s="13"/>
      <c r="F386" s="50"/>
      <c r="G386" s="107"/>
      <c r="H386" s="103"/>
      <c r="I386" s="104"/>
      <c r="J386" s="104"/>
      <c r="K386" s="103">
        <v>1</v>
      </c>
      <c r="L386" s="103">
        <f t="shared" si="45"/>
        <v>0</v>
      </c>
      <c r="M386" s="121"/>
      <c r="N386" s="103" t="s">
        <v>947</v>
      </c>
      <c r="O386" s="104">
        <f t="shared" si="41"/>
        <v>0</v>
      </c>
    </row>
    <row r="387" spans="1:15" s="105" customFormat="1" ht="15.75" x14ac:dyDescent="0.25">
      <c r="A387" s="113" t="s">
        <v>1082</v>
      </c>
      <c r="B387" s="102"/>
      <c r="C387" s="25" t="s">
        <v>1069</v>
      </c>
      <c r="D387" s="38">
        <v>1</v>
      </c>
      <c r="E387" s="13"/>
      <c r="F387" s="50"/>
      <c r="G387" s="107"/>
      <c r="H387" s="103"/>
      <c r="I387" s="104"/>
      <c r="J387" s="104"/>
      <c r="K387" s="103">
        <v>1</v>
      </c>
      <c r="L387" s="103">
        <f t="shared" si="45"/>
        <v>0</v>
      </c>
      <c r="M387" s="121"/>
      <c r="N387" s="103" t="s">
        <v>946</v>
      </c>
      <c r="O387" s="104">
        <f t="shared" si="41"/>
        <v>0</v>
      </c>
    </row>
    <row r="388" spans="1:15" s="105" customFormat="1" ht="31.5" x14ac:dyDescent="0.25">
      <c r="A388" s="113" t="s">
        <v>1083</v>
      </c>
      <c r="B388" s="102"/>
      <c r="C388" s="25" t="s">
        <v>1084</v>
      </c>
      <c r="D388" s="38"/>
      <c r="E388" s="13"/>
      <c r="F388" s="50"/>
      <c r="G388" s="107">
        <v>44903</v>
      </c>
      <c r="H388" s="103">
        <f>25*12</f>
        <v>300</v>
      </c>
      <c r="I388" s="104">
        <v>81.13</v>
      </c>
      <c r="J388" s="104">
        <f>+I388*H388</f>
        <v>24339</v>
      </c>
      <c r="K388" s="103">
        <v>38</v>
      </c>
      <c r="L388" s="103">
        <f t="shared" si="45"/>
        <v>262</v>
      </c>
      <c r="M388" s="121" t="s">
        <v>1006</v>
      </c>
      <c r="N388" s="103" t="s">
        <v>945</v>
      </c>
      <c r="O388" s="104">
        <f>+L388*I388</f>
        <v>21256.059999999998</v>
      </c>
    </row>
    <row r="389" spans="1:15" s="105" customFormat="1" ht="31.5" x14ac:dyDescent="0.25">
      <c r="A389" s="113" t="s">
        <v>1099</v>
      </c>
      <c r="B389" s="102"/>
      <c r="C389" s="25" t="s">
        <v>1085</v>
      </c>
      <c r="D389" s="38"/>
      <c r="E389" s="13"/>
      <c r="F389" s="50"/>
      <c r="G389" s="107">
        <v>44903</v>
      </c>
      <c r="H389" s="103">
        <f>40*6</f>
        <v>240</v>
      </c>
      <c r="I389" s="104">
        <v>81.13</v>
      </c>
      <c r="J389" s="104">
        <f t="shared" ref="J389:J402" si="46">+I389*H389</f>
        <v>19471.199999999997</v>
      </c>
      <c r="K389" s="103">
        <f>4+4</f>
        <v>8</v>
      </c>
      <c r="L389" s="103">
        <f t="shared" si="45"/>
        <v>232</v>
      </c>
      <c r="M389" s="121" t="s">
        <v>1006</v>
      </c>
      <c r="N389" s="103" t="s">
        <v>945</v>
      </c>
      <c r="O389" s="104">
        <f t="shared" ref="O389:O402" si="47">+L389*I389</f>
        <v>18822.16</v>
      </c>
    </row>
    <row r="390" spans="1:15" s="105" customFormat="1" ht="31.5" x14ac:dyDescent="0.25">
      <c r="A390" s="113" t="s">
        <v>1100</v>
      </c>
      <c r="B390" s="102"/>
      <c r="C390" s="25" t="s">
        <v>1086</v>
      </c>
      <c r="D390" s="38"/>
      <c r="E390" s="13"/>
      <c r="F390" s="50"/>
      <c r="G390" s="107">
        <v>44903</v>
      </c>
      <c r="H390" s="103">
        <f>20*4</f>
        <v>80</v>
      </c>
      <c r="I390" s="104">
        <v>408.28</v>
      </c>
      <c r="J390" s="104">
        <f t="shared" si="46"/>
        <v>32662.399999999998</v>
      </c>
      <c r="K390" s="103">
        <v>6</v>
      </c>
      <c r="L390" s="103">
        <f t="shared" si="45"/>
        <v>74</v>
      </c>
      <c r="M390" s="121" t="s">
        <v>1006</v>
      </c>
      <c r="N390" s="103" t="s">
        <v>945</v>
      </c>
      <c r="O390" s="104">
        <f t="shared" si="47"/>
        <v>30212.719999999998</v>
      </c>
    </row>
    <row r="391" spans="1:15" s="105" customFormat="1" ht="31.5" x14ac:dyDescent="0.25">
      <c r="A391" s="113" t="s">
        <v>1101</v>
      </c>
      <c r="B391" s="102"/>
      <c r="C391" s="25" t="s">
        <v>1087</v>
      </c>
      <c r="D391" s="38"/>
      <c r="E391" s="13"/>
      <c r="F391" s="50"/>
      <c r="G391" s="107">
        <v>44903</v>
      </c>
      <c r="H391" s="103">
        <f>20*4</f>
        <v>80</v>
      </c>
      <c r="I391" s="104">
        <v>116.53</v>
      </c>
      <c r="J391" s="104">
        <f t="shared" si="46"/>
        <v>9322.4</v>
      </c>
      <c r="K391" s="103">
        <v>9</v>
      </c>
      <c r="L391" s="103">
        <f t="shared" si="45"/>
        <v>71</v>
      </c>
      <c r="M391" s="121" t="s">
        <v>1006</v>
      </c>
      <c r="N391" s="103" t="s">
        <v>945</v>
      </c>
      <c r="O391" s="104">
        <f t="shared" si="47"/>
        <v>8273.6299999999992</v>
      </c>
    </row>
    <row r="392" spans="1:15" s="105" customFormat="1" ht="31.5" x14ac:dyDescent="0.25">
      <c r="A392" s="113" t="s">
        <v>1102</v>
      </c>
      <c r="B392" s="102"/>
      <c r="C392" s="25" t="s">
        <v>1088</v>
      </c>
      <c r="D392" s="38"/>
      <c r="E392" s="13"/>
      <c r="F392" s="50"/>
      <c r="G392" s="107">
        <v>44903</v>
      </c>
      <c r="H392" s="103">
        <f>2*12</f>
        <v>24</v>
      </c>
      <c r="I392" s="104">
        <v>101.33</v>
      </c>
      <c r="J392" s="104">
        <f t="shared" si="46"/>
        <v>2431.92</v>
      </c>
      <c r="K392" s="103"/>
      <c r="L392" s="103">
        <f t="shared" si="45"/>
        <v>24</v>
      </c>
      <c r="M392" s="121" t="s">
        <v>1006</v>
      </c>
      <c r="N392" s="103" t="s">
        <v>945</v>
      </c>
      <c r="O392" s="104">
        <f t="shared" si="47"/>
        <v>2431.92</v>
      </c>
    </row>
    <row r="393" spans="1:15" s="105" customFormat="1" ht="31.5" x14ac:dyDescent="0.25">
      <c r="A393" s="113" t="s">
        <v>1103</v>
      </c>
      <c r="B393" s="102"/>
      <c r="C393" s="25" t="s">
        <v>1089</v>
      </c>
      <c r="D393" s="38"/>
      <c r="E393" s="13"/>
      <c r="F393" s="50"/>
      <c r="G393" s="107">
        <v>44903</v>
      </c>
      <c r="H393" s="103">
        <f>2*12</f>
        <v>24</v>
      </c>
      <c r="I393" s="104">
        <v>101.33</v>
      </c>
      <c r="J393" s="104">
        <f t="shared" si="46"/>
        <v>2431.92</v>
      </c>
      <c r="K393" s="103"/>
      <c r="L393" s="103">
        <f t="shared" si="45"/>
        <v>24</v>
      </c>
      <c r="M393" s="121" t="s">
        <v>1006</v>
      </c>
      <c r="N393" s="103" t="s">
        <v>945</v>
      </c>
      <c r="O393" s="104">
        <f t="shared" si="47"/>
        <v>2431.92</v>
      </c>
    </row>
    <row r="394" spans="1:15" s="105" customFormat="1" ht="31.5" x14ac:dyDescent="0.25">
      <c r="A394" s="113" t="s">
        <v>1104</v>
      </c>
      <c r="B394" s="102"/>
      <c r="C394" s="25" t="s">
        <v>1090</v>
      </c>
      <c r="D394" s="38"/>
      <c r="E394" s="13"/>
      <c r="F394" s="50"/>
      <c r="G394" s="107">
        <v>44903</v>
      </c>
      <c r="H394" s="103">
        <v>24</v>
      </c>
      <c r="I394" s="104">
        <v>79.010000000000005</v>
      </c>
      <c r="J394" s="104">
        <f t="shared" si="46"/>
        <v>1896.2400000000002</v>
      </c>
      <c r="K394" s="103"/>
      <c r="L394" s="103">
        <f t="shared" si="45"/>
        <v>24</v>
      </c>
      <c r="M394" s="121" t="s">
        <v>1006</v>
      </c>
      <c r="N394" s="103" t="s">
        <v>945</v>
      </c>
      <c r="O394" s="104">
        <f>+L394*I394</f>
        <v>1896.2400000000002</v>
      </c>
    </row>
    <row r="395" spans="1:15" s="105" customFormat="1" ht="31.5" x14ac:dyDescent="0.25">
      <c r="A395" s="113" t="s">
        <v>1105</v>
      </c>
      <c r="B395" s="102"/>
      <c r="C395" s="25" t="s">
        <v>1091</v>
      </c>
      <c r="D395" s="38"/>
      <c r="E395" s="13"/>
      <c r="F395" s="50"/>
      <c r="G395" s="107">
        <v>44903</v>
      </c>
      <c r="H395" s="103">
        <v>24</v>
      </c>
      <c r="I395" s="104">
        <v>67.7</v>
      </c>
      <c r="J395" s="104">
        <f t="shared" si="46"/>
        <v>1624.8000000000002</v>
      </c>
      <c r="K395" s="103"/>
      <c r="L395" s="103">
        <f t="shared" si="45"/>
        <v>24</v>
      </c>
      <c r="M395" s="121" t="s">
        <v>1006</v>
      </c>
      <c r="N395" s="103" t="s">
        <v>945</v>
      </c>
      <c r="O395" s="104">
        <f t="shared" si="47"/>
        <v>1624.8000000000002</v>
      </c>
    </row>
    <row r="396" spans="1:15" s="105" customFormat="1" ht="31.5" x14ac:dyDescent="0.25">
      <c r="A396" s="113" t="s">
        <v>1106</v>
      </c>
      <c r="B396" s="102"/>
      <c r="C396" s="25" t="s">
        <v>1092</v>
      </c>
      <c r="D396" s="38"/>
      <c r="E396" s="13"/>
      <c r="F396" s="50"/>
      <c r="G396" s="107">
        <v>44903</v>
      </c>
      <c r="H396" s="103">
        <v>24</v>
      </c>
      <c r="I396" s="104">
        <v>195.83</v>
      </c>
      <c r="J396" s="104">
        <f t="shared" si="46"/>
        <v>4699.92</v>
      </c>
      <c r="K396" s="103"/>
      <c r="L396" s="103">
        <f t="shared" si="45"/>
        <v>24</v>
      </c>
      <c r="M396" s="121" t="s">
        <v>1006</v>
      </c>
      <c r="N396" s="103" t="s">
        <v>945</v>
      </c>
      <c r="O396" s="104">
        <f t="shared" si="47"/>
        <v>4699.92</v>
      </c>
    </row>
    <row r="397" spans="1:15" s="105" customFormat="1" ht="31.5" x14ac:dyDescent="0.25">
      <c r="A397" s="113" t="s">
        <v>1107</v>
      </c>
      <c r="B397" s="102"/>
      <c r="C397" s="25" t="s">
        <v>1093</v>
      </c>
      <c r="D397" s="38"/>
      <c r="E397" s="13"/>
      <c r="F397" s="50"/>
      <c r="G397" s="107">
        <v>44903</v>
      </c>
      <c r="H397" s="103">
        <v>24</v>
      </c>
      <c r="I397" s="104">
        <v>126.8</v>
      </c>
      <c r="J397" s="104">
        <f t="shared" si="46"/>
        <v>3043.2</v>
      </c>
      <c r="K397" s="103"/>
      <c r="L397" s="103">
        <f t="shared" si="45"/>
        <v>24</v>
      </c>
      <c r="M397" s="121" t="s">
        <v>1006</v>
      </c>
      <c r="N397" s="103" t="s">
        <v>945</v>
      </c>
      <c r="O397" s="104">
        <f t="shared" si="47"/>
        <v>3043.2</v>
      </c>
    </row>
    <row r="398" spans="1:15" s="105" customFormat="1" ht="31.5" x14ac:dyDescent="0.25">
      <c r="A398" s="113" t="s">
        <v>1108</v>
      </c>
      <c r="B398" s="102"/>
      <c r="C398" s="25" t="s">
        <v>1094</v>
      </c>
      <c r="D398" s="38"/>
      <c r="E398" s="13"/>
      <c r="F398" s="50"/>
      <c r="G398" s="107">
        <v>44903</v>
      </c>
      <c r="H398" s="103">
        <v>24</v>
      </c>
      <c r="I398" s="104">
        <v>129.85</v>
      </c>
      <c r="J398" s="104">
        <f t="shared" si="46"/>
        <v>3116.3999999999996</v>
      </c>
      <c r="K398" s="103"/>
      <c r="L398" s="103">
        <f t="shared" si="45"/>
        <v>24</v>
      </c>
      <c r="M398" s="121" t="s">
        <v>1006</v>
      </c>
      <c r="N398" s="103" t="s">
        <v>945</v>
      </c>
      <c r="O398" s="104">
        <f t="shared" si="47"/>
        <v>3116.3999999999996</v>
      </c>
    </row>
    <row r="399" spans="1:15" s="105" customFormat="1" ht="31.5" x14ac:dyDescent="0.25">
      <c r="A399" s="113" t="s">
        <v>1109</v>
      </c>
      <c r="B399" s="102"/>
      <c r="C399" s="25" t="s">
        <v>1095</v>
      </c>
      <c r="D399" s="38"/>
      <c r="E399" s="13"/>
      <c r="F399" s="50"/>
      <c r="G399" s="107">
        <v>44903</v>
      </c>
      <c r="H399" s="103">
        <v>4</v>
      </c>
      <c r="I399" s="104">
        <v>1606.5</v>
      </c>
      <c r="J399" s="104">
        <f t="shared" si="46"/>
        <v>6426</v>
      </c>
      <c r="K399" s="103"/>
      <c r="L399" s="103">
        <f t="shared" si="45"/>
        <v>4</v>
      </c>
      <c r="M399" s="121" t="s">
        <v>1006</v>
      </c>
      <c r="N399" s="103" t="s">
        <v>945</v>
      </c>
      <c r="O399" s="104">
        <f>+L399*I399</f>
        <v>6426</v>
      </c>
    </row>
    <row r="400" spans="1:15" s="105" customFormat="1" ht="31.5" x14ac:dyDescent="0.25">
      <c r="A400" s="113" t="s">
        <v>1110</v>
      </c>
      <c r="B400" s="102"/>
      <c r="C400" s="25" t="s">
        <v>1096</v>
      </c>
      <c r="D400" s="38"/>
      <c r="E400" s="13"/>
      <c r="F400" s="50"/>
      <c r="G400" s="107">
        <v>44903</v>
      </c>
      <c r="H400" s="103">
        <v>24</v>
      </c>
      <c r="I400" s="104">
        <v>134.13</v>
      </c>
      <c r="J400" s="104">
        <f t="shared" si="46"/>
        <v>3219.12</v>
      </c>
      <c r="K400" s="103"/>
      <c r="L400" s="103">
        <f t="shared" si="45"/>
        <v>24</v>
      </c>
      <c r="M400" s="121" t="s">
        <v>1006</v>
      </c>
      <c r="N400" s="103" t="s">
        <v>945</v>
      </c>
      <c r="O400" s="104">
        <f t="shared" si="47"/>
        <v>3219.12</v>
      </c>
    </row>
    <row r="401" spans="1:15" s="105" customFormat="1" ht="31.5" x14ac:dyDescent="0.25">
      <c r="A401" s="113" t="s">
        <v>1111</v>
      </c>
      <c r="B401" s="102"/>
      <c r="C401" s="25" t="s">
        <v>1097</v>
      </c>
      <c r="D401" s="38"/>
      <c r="E401" s="13"/>
      <c r="F401" s="50"/>
      <c r="G401" s="107">
        <v>44903</v>
      </c>
      <c r="H401" s="103">
        <v>24</v>
      </c>
      <c r="I401" s="104">
        <v>147.35</v>
      </c>
      <c r="J401" s="104">
        <f t="shared" si="46"/>
        <v>3536.3999999999996</v>
      </c>
      <c r="K401" s="103"/>
      <c r="L401" s="103">
        <f t="shared" si="45"/>
        <v>24</v>
      </c>
      <c r="M401" s="121" t="s">
        <v>1006</v>
      </c>
      <c r="N401" s="103" t="s">
        <v>945</v>
      </c>
      <c r="O401" s="104">
        <f t="shared" si="47"/>
        <v>3536.3999999999996</v>
      </c>
    </row>
    <row r="402" spans="1:15" s="105" customFormat="1" ht="31.5" x14ac:dyDescent="0.25">
      <c r="A402" s="113" t="s">
        <v>1112</v>
      </c>
      <c r="B402" s="102"/>
      <c r="C402" s="25" t="s">
        <v>1098</v>
      </c>
      <c r="D402" s="38"/>
      <c r="E402" s="13"/>
      <c r="F402" s="50"/>
      <c r="G402" s="107">
        <v>44903</v>
      </c>
      <c r="H402" s="103">
        <v>2</v>
      </c>
      <c r="I402" s="104">
        <v>1100.5</v>
      </c>
      <c r="J402" s="104">
        <f t="shared" si="46"/>
        <v>2201</v>
      </c>
      <c r="K402" s="103"/>
      <c r="L402" s="103">
        <f t="shared" si="45"/>
        <v>2</v>
      </c>
      <c r="M402" s="121" t="s">
        <v>1006</v>
      </c>
      <c r="N402" s="103" t="s">
        <v>945</v>
      </c>
      <c r="O402" s="104">
        <f t="shared" si="47"/>
        <v>2201</v>
      </c>
    </row>
    <row r="403" spans="1:15" s="105" customFormat="1" ht="15.75" x14ac:dyDescent="0.25">
      <c r="A403" s="113" t="s">
        <v>1119</v>
      </c>
      <c r="B403" s="102"/>
      <c r="C403" s="25" t="s">
        <v>1114</v>
      </c>
      <c r="D403" s="38">
        <v>4</v>
      </c>
      <c r="E403" s="13"/>
      <c r="F403" s="50"/>
      <c r="G403" s="107"/>
      <c r="H403" s="103"/>
      <c r="I403" s="104"/>
      <c r="J403" s="104"/>
      <c r="K403" s="103">
        <v>22</v>
      </c>
      <c r="L403" s="103">
        <f t="shared" si="45"/>
        <v>-18</v>
      </c>
      <c r="M403" s="121"/>
      <c r="N403" s="103"/>
      <c r="O403" s="104"/>
    </row>
    <row r="404" spans="1:15" s="105" customFormat="1" ht="15.75" x14ac:dyDescent="0.25">
      <c r="A404" s="113"/>
      <c r="B404" s="102"/>
      <c r="C404" s="25"/>
      <c r="D404" s="38"/>
      <c r="E404" s="13"/>
      <c r="F404" s="50"/>
      <c r="G404" s="107"/>
      <c r="H404" s="103"/>
      <c r="I404" s="104"/>
      <c r="J404" s="104"/>
      <c r="K404" s="103"/>
      <c r="L404" s="103">
        <f t="shared" si="45"/>
        <v>0</v>
      </c>
      <c r="M404" s="121"/>
      <c r="N404" s="103"/>
      <c r="O404" s="104">
        <f t="shared" si="41"/>
        <v>0</v>
      </c>
    </row>
    <row r="405" spans="1:15" x14ac:dyDescent="0.3">
      <c r="A405" s="69" t="s">
        <v>98</v>
      </c>
      <c r="B405" s="241"/>
      <c r="C405" s="242"/>
      <c r="D405" s="242"/>
      <c r="E405" s="243"/>
      <c r="F405" s="70">
        <f>SUM(F8:F378)</f>
        <v>1599163.4203600003</v>
      </c>
      <c r="G405" s="70"/>
      <c r="H405" s="70"/>
      <c r="I405" s="70">
        <f>SUM(I8:I378)</f>
        <v>98535.988666666672</v>
      </c>
      <c r="J405" s="70">
        <f>SUM(J8:J378)</f>
        <v>1514186.35</v>
      </c>
      <c r="K405" s="70"/>
      <c r="L405" s="70"/>
      <c r="M405" s="70">
        <f>SUM(M8:M378)</f>
        <v>0</v>
      </c>
      <c r="N405" s="70">
        <f>SUM(N8:N378)</f>
        <v>0</v>
      </c>
      <c r="O405" s="70">
        <f>SUM(O8:O404)</f>
        <v>3400723.650216667</v>
      </c>
    </row>
    <row r="406" spans="1:15" x14ac:dyDescent="0.3">
      <c r="A406" s="2"/>
      <c r="B406" s="2"/>
      <c r="C406" s="43"/>
      <c r="D406" s="2"/>
      <c r="E406" s="2"/>
      <c r="F406" s="2"/>
      <c r="G406" s="2"/>
      <c r="H406" s="2"/>
      <c r="I406" s="65"/>
      <c r="J406" s="2"/>
      <c r="K406" s="2"/>
      <c r="L406" s="2"/>
      <c r="M406" s="2"/>
      <c r="N406" s="2"/>
      <c r="O406" s="2"/>
    </row>
    <row r="407" spans="1:15" x14ac:dyDescent="0.3">
      <c r="C407" s="96"/>
      <c r="F407" s="63"/>
      <c r="O407" s="50"/>
    </row>
    <row r="408" spans="1:15" x14ac:dyDescent="0.3">
      <c r="A408" s="85" t="s">
        <v>7</v>
      </c>
      <c r="C408" s="96"/>
    </row>
    <row r="409" spans="1:15" x14ac:dyDescent="0.3">
      <c r="C409" s="96"/>
    </row>
    <row r="410" spans="1:15" x14ac:dyDescent="0.3">
      <c r="B410" s="85" t="s">
        <v>531</v>
      </c>
      <c r="C410" s="96"/>
    </row>
    <row r="411" spans="1:15" x14ac:dyDescent="0.3">
      <c r="C411" s="96"/>
    </row>
    <row r="412" spans="1:15" x14ac:dyDescent="0.3">
      <c r="A412" s="97" t="s">
        <v>5</v>
      </c>
      <c r="C412" s="96"/>
    </row>
    <row r="413" spans="1:15" x14ac:dyDescent="0.3">
      <c r="C413" s="96"/>
    </row>
    <row r="414" spans="1:15" x14ac:dyDescent="0.3">
      <c r="A414" s="97"/>
      <c r="C414" s="96"/>
    </row>
    <row r="415" spans="1:15" x14ac:dyDescent="0.3">
      <c r="A415" s="98" t="s">
        <v>924</v>
      </c>
      <c r="C415" s="96"/>
    </row>
    <row r="416" spans="1:15" x14ac:dyDescent="0.3">
      <c r="A416" s="85" t="s">
        <v>925</v>
      </c>
      <c r="C416" s="96"/>
    </row>
    <row r="417" spans="3:3" x14ac:dyDescent="0.3">
      <c r="C417" s="96" t="s">
        <v>506</v>
      </c>
    </row>
    <row r="418" spans="3:3" x14ac:dyDescent="0.3">
      <c r="C418" s="96"/>
    </row>
    <row r="419" spans="3:3" x14ac:dyDescent="0.3">
      <c r="C419" s="96"/>
    </row>
    <row r="420" spans="3:3" x14ac:dyDescent="0.3">
      <c r="C420" s="96"/>
    </row>
    <row r="421" spans="3:3" x14ac:dyDescent="0.3">
      <c r="C421" s="96"/>
    </row>
    <row r="422" spans="3:3" x14ac:dyDescent="0.3">
      <c r="C422" s="96"/>
    </row>
    <row r="423" spans="3:3" x14ac:dyDescent="0.3">
      <c r="C423" s="96"/>
    </row>
    <row r="424" spans="3:3" x14ac:dyDescent="0.3">
      <c r="C424" s="96"/>
    </row>
  </sheetData>
  <mergeCells count="4">
    <mergeCell ref="A3:F3"/>
    <mergeCell ref="A4:F4"/>
    <mergeCell ref="A5:F5"/>
    <mergeCell ref="B405:E40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4"/>
  <sheetViews>
    <sheetView topLeftCell="D1" workbookViewId="0">
      <pane ySplit="7" topLeftCell="A395" activePane="bottomLeft" state="frozen"/>
      <selection pane="bottomLeft" activeCell="Q126" sqref="Q126"/>
    </sheetView>
  </sheetViews>
  <sheetFormatPr baseColWidth="10" defaultColWidth="11.42578125" defaultRowHeight="18.75" x14ac:dyDescent="0.3"/>
  <cols>
    <col min="1" max="1" width="16" style="85" customWidth="1"/>
    <col min="2" max="2" width="16.42578125" style="85" customWidth="1"/>
    <col min="3" max="4" width="51.28515625" style="85" customWidth="1"/>
    <col min="5" max="5" width="14.140625" customWidth="1"/>
    <col min="6" max="6" width="17.140625" customWidth="1"/>
    <col min="7" max="7" width="22.42578125" customWidth="1"/>
    <col min="8" max="8" width="18.5703125" customWidth="1"/>
    <col min="9" max="9" width="11.140625" customWidth="1"/>
    <col min="10" max="10" width="16.85546875" style="63" customWidth="1"/>
    <col min="11" max="12" width="13.140625" customWidth="1"/>
    <col min="13" max="13" width="12.7109375" style="85" bestFit="1" customWidth="1"/>
    <col min="14" max="14" width="13.42578125" customWidth="1"/>
    <col min="15" max="15" width="17.7109375" style="85" bestFit="1" customWidth="1"/>
    <col min="16" max="16" width="14.42578125" style="85" bestFit="1" customWidth="1"/>
    <col min="17" max="16384" width="11.42578125" style="85"/>
  </cols>
  <sheetData>
    <row r="3" spans="1:16" ht="26.25" x14ac:dyDescent="0.4">
      <c r="A3" s="244" t="s">
        <v>0</v>
      </c>
      <c r="B3" s="244"/>
      <c r="C3" s="244"/>
      <c r="D3" s="244"/>
      <c r="E3" s="234"/>
      <c r="F3" s="234"/>
      <c r="G3" s="234"/>
    </row>
    <row r="4" spans="1:16" x14ac:dyDescent="0.3">
      <c r="A4" s="245" t="s">
        <v>1</v>
      </c>
      <c r="B4" s="246"/>
      <c r="C4" s="246"/>
      <c r="D4" s="246"/>
      <c r="E4" s="236"/>
      <c r="F4" s="236"/>
      <c r="G4" s="236"/>
    </row>
    <row r="5" spans="1:16" x14ac:dyDescent="0.3">
      <c r="A5" s="237" t="s">
        <v>1118</v>
      </c>
      <c r="B5" s="237"/>
      <c r="C5" s="237"/>
      <c r="D5" s="237"/>
      <c r="E5" s="237"/>
      <c r="F5" s="237"/>
      <c r="G5" s="237"/>
    </row>
    <row r="7" spans="1:16" ht="56.25" x14ac:dyDescent="0.3">
      <c r="A7" s="86" t="s">
        <v>118</v>
      </c>
      <c r="B7" s="86" t="s">
        <v>9</v>
      </c>
      <c r="C7" s="87" t="s">
        <v>2</v>
      </c>
      <c r="D7" s="87" t="s">
        <v>1120</v>
      </c>
      <c r="E7" s="83" t="s">
        <v>3</v>
      </c>
      <c r="F7" s="83" t="s">
        <v>117</v>
      </c>
      <c r="G7" s="83" t="s">
        <v>4</v>
      </c>
      <c r="H7" s="82" t="s">
        <v>9</v>
      </c>
      <c r="I7" s="83" t="s">
        <v>915</v>
      </c>
      <c r="J7" s="84" t="s">
        <v>117</v>
      </c>
      <c r="K7" s="83" t="s">
        <v>4</v>
      </c>
      <c r="L7" s="83" t="s">
        <v>929</v>
      </c>
      <c r="M7" s="87" t="s">
        <v>914</v>
      </c>
      <c r="N7" s="83" t="s">
        <v>927</v>
      </c>
      <c r="O7" s="87" t="s">
        <v>944</v>
      </c>
      <c r="P7" s="83" t="s">
        <v>4</v>
      </c>
    </row>
    <row r="8" spans="1:16" s="92" customFormat="1" x14ac:dyDescent="0.3">
      <c r="A8" s="113" t="s">
        <v>11</v>
      </c>
      <c r="B8" s="102">
        <v>44652</v>
      </c>
      <c r="C8" s="25" t="s">
        <v>857</v>
      </c>
      <c r="D8" s="25" t="s">
        <v>1121</v>
      </c>
      <c r="E8" s="14">
        <f>18*30</f>
        <v>540</v>
      </c>
      <c r="F8" s="13">
        <v>850</v>
      </c>
      <c r="G8" s="50">
        <f>+F8*18</f>
        <v>15300</v>
      </c>
      <c r="H8" s="103"/>
      <c r="I8" s="103"/>
      <c r="J8" s="104"/>
      <c r="K8" s="103"/>
      <c r="L8" s="103">
        <v>35</v>
      </c>
      <c r="M8" s="103">
        <f>+E8+I8-L8</f>
        <v>505</v>
      </c>
      <c r="N8" s="103"/>
      <c r="O8" s="103" t="s">
        <v>945</v>
      </c>
      <c r="P8" s="104">
        <f>+F8*M8</f>
        <v>429250</v>
      </c>
    </row>
    <row r="9" spans="1:16" s="8" customFormat="1" ht="15.75" x14ac:dyDescent="0.25">
      <c r="A9" s="113" t="s">
        <v>120</v>
      </c>
      <c r="B9" s="102">
        <v>44193</v>
      </c>
      <c r="C9" s="25" t="s">
        <v>533</v>
      </c>
      <c r="D9" s="25" t="s">
        <v>1122</v>
      </c>
      <c r="E9" s="14">
        <v>43</v>
      </c>
      <c r="F9" s="13">
        <v>215</v>
      </c>
      <c r="G9" s="50">
        <f>E9*F9</f>
        <v>9245</v>
      </c>
      <c r="H9" s="103"/>
      <c r="I9" s="103"/>
      <c r="J9" s="104"/>
      <c r="K9" s="103"/>
      <c r="L9" s="103">
        <f>1+1</f>
        <v>2</v>
      </c>
      <c r="M9" s="103">
        <f t="shared" ref="M9:M72" si="0">+E9+I9-L9</f>
        <v>41</v>
      </c>
      <c r="N9" s="103"/>
      <c r="O9" s="103" t="s">
        <v>946</v>
      </c>
      <c r="P9" s="104">
        <f t="shared" ref="P9:P33" si="1">+F9*M9</f>
        <v>8815</v>
      </c>
    </row>
    <row r="10" spans="1:16" s="8" customFormat="1" ht="14.25" customHeight="1" x14ac:dyDescent="0.25">
      <c r="A10" s="113" t="s">
        <v>12</v>
      </c>
      <c r="B10" s="102">
        <v>44453</v>
      </c>
      <c r="C10" s="25" t="s">
        <v>534</v>
      </c>
      <c r="D10" s="25" t="s">
        <v>1122</v>
      </c>
      <c r="E10" s="14">
        <f>2+9</f>
        <v>11</v>
      </c>
      <c r="F10" s="13">
        <v>1350</v>
      </c>
      <c r="G10" s="50">
        <f>E10*F10</f>
        <v>14850</v>
      </c>
      <c r="H10" s="103"/>
      <c r="I10" s="103"/>
      <c r="J10" s="104"/>
      <c r="K10" s="103"/>
      <c r="L10" s="103"/>
      <c r="M10" s="103">
        <f t="shared" si="0"/>
        <v>11</v>
      </c>
      <c r="N10" s="103"/>
      <c r="O10" s="103" t="s">
        <v>946</v>
      </c>
      <c r="P10" s="104">
        <f t="shared" si="1"/>
        <v>14850</v>
      </c>
    </row>
    <row r="11" spans="1:16" s="8" customFormat="1" ht="15.75" x14ac:dyDescent="0.25">
      <c r="A11" s="113" t="s">
        <v>121</v>
      </c>
      <c r="B11" s="102">
        <v>44193</v>
      </c>
      <c r="C11" s="25" t="s">
        <v>535</v>
      </c>
      <c r="D11" s="25" t="s">
        <v>1122</v>
      </c>
      <c r="E11" s="30">
        <v>0</v>
      </c>
      <c r="F11" s="13">
        <v>127.12</v>
      </c>
      <c r="G11" s="50">
        <f t="shared" ref="G11:G23" si="2">E11*F11</f>
        <v>0</v>
      </c>
      <c r="H11" s="103"/>
      <c r="I11" s="103"/>
      <c r="J11" s="104"/>
      <c r="K11" s="103"/>
      <c r="L11" s="103"/>
      <c r="M11" s="103">
        <f t="shared" si="0"/>
        <v>0</v>
      </c>
      <c r="N11" s="103"/>
      <c r="O11" s="103" t="s">
        <v>946</v>
      </c>
      <c r="P11" s="104">
        <f t="shared" si="1"/>
        <v>0</v>
      </c>
    </row>
    <row r="12" spans="1:16" s="8" customFormat="1" ht="15.75" x14ac:dyDescent="0.25">
      <c r="A12" s="113" t="s">
        <v>122</v>
      </c>
      <c r="B12" s="102">
        <v>44193</v>
      </c>
      <c r="C12" s="25" t="s">
        <v>838</v>
      </c>
      <c r="D12" s="25" t="s">
        <v>1122</v>
      </c>
      <c r="E12" s="38">
        <v>1</v>
      </c>
      <c r="F12" s="13">
        <v>30</v>
      </c>
      <c r="G12" s="50">
        <f t="shared" si="2"/>
        <v>30</v>
      </c>
      <c r="H12" s="103"/>
      <c r="I12" s="103"/>
      <c r="J12" s="104"/>
      <c r="K12" s="103"/>
      <c r="L12" s="103"/>
      <c r="M12" s="103">
        <f t="shared" si="0"/>
        <v>1</v>
      </c>
      <c r="N12" s="103"/>
      <c r="O12" s="103" t="s">
        <v>946</v>
      </c>
      <c r="P12" s="104">
        <f t="shared" si="1"/>
        <v>30</v>
      </c>
    </row>
    <row r="13" spans="1:16" s="8" customFormat="1" ht="15.75" x14ac:dyDescent="0.25">
      <c r="A13" s="113" t="s">
        <v>123</v>
      </c>
      <c r="B13" s="102">
        <v>44193</v>
      </c>
      <c r="C13" s="25" t="s">
        <v>840</v>
      </c>
      <c r="D13" s="25" t="s">
        <v>1122</v>
      </c>
      <c r="E13" s="14">
        <v>10</v>
      </c>
      <c r="F13" s="13">
        <v>11</v>
      </c>
      <c r="G13" s="50">
        <f t="shared" si="2"/>
        <v>110</v>
      </c>
      <c r="H13" s="103"/>
      <c r="I13" s="103"/>
      <c r="J13" s="104"/>
      <c r="K13" s="103"/>
      <c r="L13" s="103"/>
      <c r="M13" s="103">
        <f t="shared" si="0"/>
        <v>10</v>
      </c>
      <c r="N13" s="103"/>
      <c r="O13" s="103" t="s">
        <v>946</v>
      </c>
      <c r="P13" s="104">
        <f t="shared" si="1"/>
        <v>110</v>
      </c>
    </row>
    <row r="14" spans="1:16" s="8" customFormat="1" ht="15.75" x14ac:dyDescent="0.25">
      <c r="A14" s="113" t="s">
        <v>13</v>
      </c>
      <c r="B14" s="102">
        <v>44193</v>
      </c>
      <c r="C14" s="25" t="s">
        <v>536</v>
      </c>
      <c r="D14" s="25" t="s">
        <v>1122</v>
      </c>
      <c r="E14" s="14">
        <f>49+60+2</f>
        <v>111</v>
      </c>
      <c r="F14" s="13">
        <v>15.84</v>
      </c>
      <c r="G14" s="50">
        <f t="shared" si="2"/>
        <v>1758.24</v>
      </c>
      <c r="H14" s="103"/>
      <c r="I14" s="103"/>
      <c r="J14" s="104"/>
      <c r="K14" s="103"/>
      <c r="L14" s="103"/>
      <c r="M14" s="103">
        <f t="shared" si="0"/>
        <v>111</v>
      </c>
      <c r="N14" s="103"/>
      <c r="O14" s="103" t="s">
        <v>946</v>
      </c>
      <c r="P14" s="104">
        <f t="shared" si="1"/>
        <v>1758.24</v>
      </c>
    </row>
    <row r="15" spans="1:16" s="8" customFormat="1" ht="15.75" x14ac:dyDescent="0.25">
      <c r="A15" s="113" t="s">
        <v>14</v>
      </c>
      <c r="B15" s="102">
        <v>44193</v>
      </c>
      <c r="C15" s="25" t="s">
        <v>537</v>
      </c>
      <c r="D15" s="25" t="s">
        <v>1122</v>
      </c>
      <c r="E15" s="14">
        <v>52</v>
      </c>
      <c r="F15" s="13">
        <v>22.41</v>
      </c>
      <c r="G15" s="50">
        <f t="shared" si="2"/>
        <v>1165.32</v>
      </c>
      <c r="H15" s="103"/>
      <c r="I15" s="103"/>
      <c r="J15" s="104"/>
      <c r="K15" s="103"/>
      <c r="L15" s="103"/>
      <c r="M15" s="103">
        <f t="shared" si="0"/>
        <v>52</v>
      </c>
      <c r="N15" s="103"/>
      <c r="O15" s="103" t="s">
        <v>946</v>
      </c>
      <c r="P15" s="104">
        <f t="shared" si="1"/>
        <v>1165.32</v>
      </c>
    </row>
    <row r="16" spans="1:16" s="8" customFormat="1" ht="15.75" x14ac:dyDescent="0.25">
      <c r="A16" s="113" t="s">
        <v>15</v>
      </c>
      <c r="B16" s="102">
        <v>44193</v>
      </c>
      <c r="C16" s="25" t="s">
        <v>538</v>
      </c>
      <c r="D16" s="25" t="s">
        <v>1122</v>
      </c>
      <c r="E16" s="14">
        <v>42</v>
      </c>
      <c r="F16" s="13">
        <v>5.5</v>
      </c>
      <c r="G16" s="50">
        <f t="shared" si="2"/>
        <v>231</v>
      </c>
      <c r="H16" s="103"/>
      <c r="I16" s="103"/>
      <c r="J16" s="104"/>
      <c r="K16" s="103"/>
      <c r="L16" s="103"/>
      <c r="M16" s="103">
        <f t="shared" si="0"/>
        <v>42</v>
      </c>
      <c r="N16" s="103"/>
      <c r="O16" s="103" t="s">
        <v>946</v>
      </c>
      <c r="P16" s="104">
        <f t="shared" si="1"/>
        <v>231</v>
      </c>
    </row>
    <row r="17" spans="1:16" s="8" customFormat="1" ht="15.75" x14ac:dyDescent="0.25">
      <c r="A17" s="113" t="s">
        <v>124</v>
      </c>
      <c r="B17" s="102">
        <v>44193</v>
      </c>
      <c r="C17" s="25" t="s">
        <v>539</v>
      </c>
      <c r="D17" s="25" t="s">
        <v>1122</v>
      </c>
      <c r="E17" s="14">
        <v>32</v>
      </c>
      <c r="F17" s="13">
        <v>78.099999999999994</v>
      </c>
      <c r="G17" s="50">
        <f t="shared" si="2"/>
        <v>2499.1999999999998</v>
      </c>
      <c r="H17" s="103"/>
      <c r="I17" s="103"/>
      <c r="J17" s="104"/>
      <c r="K17" s="103"/>
      <c r="L17" s="103">
        <v>2</v>
      </c>
      <c r="M17" s="103">
        <f t="shared" si="0"/>
        <v>30</v>
      </c>
      <c r="N17" s="103"/>
      <c r="O17" s="103" t="s">
        <v>946</v>
      </c>
      <c r="P17" s="104">
        <f t="shared" si="1"/>
        <v>2343</v>
      </c>
    </row>
    <row r="18" spans="1:16" s="8" customFormat="1" ht="15.75" x14ac:dyDescent="0.25">
      <c r="A18" s="113" t="s">
        <v>16</v>
      </c>
      <c r="B18" s="102" t="s">
        <v>107</v>
      </c>
      <c r="C18" s="25" t="s">
        <v>540</v>
      </c>
      <c r="D18" s="25" t="s">
        <v>1122</v>
      </c>
      <c r="E18" s="14">
        <v>131</v>
      </c>
      <c r="F18" s="13">
        <v>5.17</v>
      </c>
      <c r="G18" s="50">
        <f t="shared" si="2"/>
        <v>677.27</v>
      </c>
      <c r="H18" s="103"/>
      <c r="I18" s="103"/>
      <c r="J18" s="104"/>
      <c r="K18" s="103"/>
      <c r="L18" s="103"/>
      <c r="M18" s="103">
        <f t="shared" si="0"/>
        <v>131</v>
      </c>
      <c r="N18" s="103"/>
      <c r="O18" s="103" t="s">
        <v>946</v>
      </c>
      <c r="P18" s="104">
        <f t="shared" si="1"/>
        <v>677.27</v>
      </c>
    </row>
    <row r="19" spans="1:16" s="8" customFormat="1" ht="15.75" x14ac:dyDescent="0.25">
      <c r="A19" s="113" t="s">
        <v>17</v>
      </c>
      <c r="B19" s="102" t="s">
        <v>107</v>
      </c>
      <c r="C19" s="25" t="s">
        <v>541</v>
      </c>
      <c r="D19" s="25" t="s">
        <v>1122</v>
      </c>
      <c r="E19" s="14">
        <v>10</v>
      </c>
      <c r="F19" s="51">
        <v>15</v>
      </c>
      <c r="G19" s="50">
        <f t="shared" si="2"/>
        <v>150</v>
      </c>
      <c r="H19" s="103"/>
      <c r="I19" s="103"/>
      <c r="J19" s="104"/>
      <c r="K19" s="103"/>
      <c r="L19" s="103"/>
      <c r="M19" s="103">
        <f t="shared" si="0"/>
        <v>10</v>
      </c>
      <c r="N19" s="103"/>
      <c r="O19" s="103" t="s">
        <v>946</v>
      </c>
      <c r="P19" s="104">
        <f t="shared" si="1"/>
        <v>150</v>
      </c>
    </row>
    <row r="20" spans="1:16" s="8" customFormat="1" ht="15.75" x14ac:dyDescent="0.25">
      <c r="A20" s="113" t="s">
        <v>18</v>
      </c>
      <c r="B20" s="102">
        <v>44193</v>
      </c>
      <c r="C20" s="25" t="s">
        <v>542</v>
      </c>
      <c r="D20" s="25" t="s">
        <v>1122</v>
      </c>
      <c r="E20" s="30">
        <f>4+7+1</f>
        <v>12</v>
      </c>
      <c r="F20" s="13">
        <v>15</v>
      </c>
      <c r="G20" s="50">
        <f t="shared" si="2"/>
        <v>180</v>
      </c>
      <c r="H20" s="103"/>
      <c r="I20" s="103"/>
      <c r="J20" s="104"/>
      <c r="K20" s="103"/>
      <c r="L20" s="103"/>
      <c r="M20" s="103">
        <f t="shared" si="0"/>
        <v>12</v>
      </c>
      <c r="N20" s="103"/>
      <c r="O20" s="103" t="s">
        <v>946</v>
      </c>
      <c r="P20" s="104">
        <f t="shared" si="1"/>
        <v>180</v>
      </c>
    </row>
    <row r="21" spans="1:16" s="8" customFormat="1" ht="15.75" x14ac:dyDescent="0.25">
      <c r="A21" s="113" t="s">
        <v>19</v>
      </c>
      <c r="B21" s="102">
        <v>44193</v>
      </c>
      <c r="C21" s="25" t="s">
        <v>543</v>
      </c>
      <c r="D21" s="25" t="s">
        <v>1122</v>
      </c>
      <c r="E21" s="30">
        <v>8</v>
      </c>
      <c r="F21" s="22">
        <v>15</v>
      </c>
      <c r="G21" s="50">
        <f t="shared" si="2"/>
        <v>120</v>
      </c>
      <c r="H21" s="103"/>
      <c r="I21" s="103"/>
      <c r="J21" s="104"/>
      <c r="K21" s="103"/>
      <c r="L21" s="103"/>
      <c r="M21" s="103">
        <f t="shared" si="0"/>
        <v>8</v>
      </c>
      <c r="N21" s="103"/>
      <c r="O21" s="103" t="s">
        <v>946</v>
      </c>
      <c r="P21" s="104">
        <f t="shared" si="1"/>
        <v>120</v>
      </c>
    </row>
    <row r="22" spans="1:16" s="8" customFormat="1" ht="15.75" x14ac:dyDescent="0.25">
      <c r="A22" s="113" t="s">
        <v>20</v>
      </c>
      <c r="B22" s="102">
        <v>44193</v>
      </c>
      <c r="C22" s="25" t="s">
        <v>835</v>
      </c>
      <c r="D22" s="25" t="s">
        <v>1122</v>
      </c>
      <c r="E22" s="30">
        <v>1</v>
      </c>
      <c r="F22" s="22">
        <v>15</v>
      </c>
      <c r="G22" s="50">
        <f t="shared" si="2"/>
        <v>15</v>
      </c>
      <c r="H22" s="103"/>
      <c r="I22" s="103"/>
      <c r="J22" s="104"/>
      <c r="K22" s="103"/>
      <c r="L22" s="103"/>
      <c r="M22" s="103">
        <f t="shared" si="0"/>
        <v>1</v>
      </c>
      <c r="N22" s="103"/>
      <c r="O22" s="103" t="s">
        <v>946</v>
      </c>
      <c r="P22" s="104">
        <f t="shared" si="1"/>
        <v>15</v>
      </c>
    </row>
    <row r="23" spans="1:16" s="8" customFormat="1" ht="15.75" x14ac:dyDescent="0.25">
      <c r="A23" s="113" t="s">
        <v>21</v>
      </c>
      <c r="B23" s="102" t="s">
        <v>107</v>
      </c>
      <c r="C23" s="25" t="s">
        <v>544</v>
      </c>
      <c r="D23" s="25" t="s">
        <v>1122</v>
      </c>
      <c r="E23" s="30">
        <v>32</v>
      </c>
      <c r="F23" s="51">
        <v>15</v>
      </c>
      <c r="G23" s="50">
        <f t="shared" si="2"/>
        <v>480</v>
      </c>
      <c r="H23" s="103"/>
      <c r="I23" s="103"/>
      <c r="J23" s="104"/>
      <c r="K23" s="103"/>
      <c r="L23" s="103"/>
      <c r="M23" s="103">
        <f t="shared" si="0"/>
        <v>32</v>
      </c>
      <c r="N23" s="103"/>
      <c r="O23" s="103" t="s">
        <v>946</v>
      </c>
      <c r="P23" s="104">
        <f t="shared" si="1"/>
        <v>480</v>
      </c>
    </row>
    <row r="24" spans="1:16" s="8" customFormat="1" ht="15.75" x14ac:dyDescent="0.25">
      <c r="A24" s="113" t="s">
        <v>23</v>
      </c>
      <c r="B24" s="102">
        <v>44193</v>
      </c>
      <c r="C24" s="25" t="s">
        <v>811</v>
      </c>
      <c r="D24" s="25" t="s">
        <v>1122</v>
      </c>
      <c r="E24" s="30">
        <v>24</v>
      </c>
      <c r="F24" s="51"/>
      <c r="G24" s="50"/>
      <c r="H24" s="103"/>
      <c r="I24" s="103"/>
      <c r="J24" s="104"/>
      <c r="K24" s="103"/>
      <c r="L24" s="103">
        <f>1+3+3+3</f>
        <v>10</v>
      </c>
      <c r="M24" s="103">
        <f t="shared" si="0"/>
        <v>14</v>
      </c>
      <c r="N24" s="103"/>
      <c r="O24" s="103" t="s">
        <v>946</v>
      </c>
      <c r="P24" s="104">
        <f t="shared" si="1"/>
        <v>0</v>
      </c>
    </row>
    <row r="25" spans="1:16" s="8" customFormat="1" ht="15.75" x14ac:dyDescent="0.25">
      <c r="A25" s="113" t="s">
        <v>24</v>
      </c>
      <c r="B25" s="102">
        <v>44193</v>
      </c>
      <c r="C25" s="25" t="s">
        <v>809</v>
      </c>
      <c r="D25" s="25" t="s">
        <v>1122</v>
      </c>
      <c r="E25" s="30">
        <v>12</v>
      </c>
      <c r="F25" s="51"/>
      <c r="G25" s="50"/>
      <c r="H25" s="103"/>
      <c r="I25" s="103"/>
      <c r="J25" s="104"/>
      <c r="K25" s="103"/>
      <c r="L25" s="103"/>
      <c r="M25" s="103">
        <f t="shared" si="0"/>
        <v>12</v>
      </c>
      <c r="N25" s="103"/>
      <c r="O25" s="103" t="s">
        <v>946</v>
      </c>
      <c r="P25" s="104">
        <f t="shared" si="1"/>
        <v>0</v>
      </c>
    </row>
    <row r="26" spans="1:16" s="92" customFormat="1" x14ac:dyDescent="0.3">
      <c r="A26" s="113" t="s">
        <v>110</v>
      </c>
      <c r="B26" s="102">
        <v>44193</v>
      </c>
      <c r="C26" s="9" t="s">
        <v>545</v>
      </c>
      <c r="D26" s="25" t="s">
        <v>1122</v>
      </c>
      <c r="E26" s="31">
        <v>10</v>
      </c>
      <c r="F26" s="13">
        <v>225</v>
      </c>
      <c r="G26" s="50">
        <f>E26*F26</f>
        <v>2250</v>
      </c>
      <c r="H26" s="103"/>
      <c r="I26" s="103"/>
      <c r="J26" s="104"/>
      <c r="K26" s="103"/>
      <c r="L26" s="103"/>
      <c r="M26" s="103">
        <f t="shared" si="0"/>
        <v>10</v>
      </c>
      <c r="N26" s="103"/>
      <c r="O26" s="103" t="s">
        <v>945</v>
      </c>
      <c r="P26" s="104">
        <f t="shared" si="1"/>
        <v>2250</v>
      </c>
    </row>
    <row r="27" spans="1:16" s="8" customFormat="1" ht="15.75" x14ac:dyDescent="0.25">
      <c r="A27" s="113" t="s">
        <v>125</v>
      </c>
      <c r="B27" s="102">
        <v>44193</v>
      </c>
      <c r="C27" s="25" t="s">
        <v>546</v>
      </c>
      <c r="D27" s="25" t="s">
        <v>1122</v>
      </c>
      <c r="E27" s="30">
        <v>0</v>
      </c>
      <c r="F27" s="13">
        <v>68</v>
      </c>
      <c r="G27" s="50">
        <f>E27*F27</f>
        <v>0</v>
      </c>
      <c r="H27" s="103"/>
      <c r="I27" s="103"/>
      <c r="J27" s="104"/>
      <c r="K27" s="103"/>
      <c r="L27" s="103"/>
      <c r="M27" s="103">
        <f t="shared" si="0"/>
        <v>0</v>
      </c>
      <c r="N27" s="103"/>
      <c r="O27" s="103" t="s">
        <v>946</v>
      </c>
      <c r="P27" s="104">
        <f>+F27*M27</f>
        <v>0</v>
      </c>
    </row>
    <row r="28" spans="1:16" s="92" customFormat="1" x14ac:dyDescent="0.3">
      <c r="A28" s="113" t="s">
        <v>25</v>
      </c>
      <c r="B28" s="102">
        <v>44193</v>
      </c>
      <c r="C28" s="25" t="s">
        <v>547</v>
      </c>
      <c r="D28" s="25" t="s">
        <v>1122</v>
      </c>
      <c r="E28" s="30">
        <v>4</v>
      </c>
      <c r="F28" s="13">
        <v>470</v>
      </c>
      <c r="G28" s="50">
        <f>E28*F28</f>
        <v>1880</v>
      </c>
      <c r="H28" s="103"/>
      <c r="I28" s="103"/>
      <c r="J28" s="104"/>
      <c r="K28" s="103"/>
      <c r="L28" s="103"/>
      <c r="M28" s="103">
        <f t="shared" si="0"/>
        <v>4</v>
      </c>
      <c r="N28" s="103"/>
      <c r="O28" s="103" t="s">
        <v>945</v>
      </c>
      <c r="P28" s="104">
        <f t="shared" si="1"/>
        <v>1880</v>
      </c>
    </row>
    <row r="29" spans="1:16" s="8" customFormat="1" ht="15.75" x14ac:dyDescent="0.25">
      <c r="A29" s="113" t="s">
        <v>126</v>
      </c>
      <c r="B29" s="102" t="s">
        <v>107</v>
      </c>
      <c r="C29" s="26" t="s">
        <v>807</v>
      </c>
      <c r="D29" s="25" t="s">
        <v>1122</v>
      </c>
      <c r="E29" s="30">
        <v>70</v>
      </c>
      <c r="F29" s="13">
        <v>16.46</v>
      </c>
      <c r="G29" s="50">
        <f>+E29*F29</f>
        <v>1152.2</v>
      </c>
      <c r="H29" s="103"/>
      <c r="I29" s="103"/>
      <c r="J29" s="104"/>
      <c r="K29" s="103"/>
      <c r="L29" s="103"/>
      <c r="M29" s="103">
        <f t="shared" si="0"/>
        <v>70</v>
      </c>
      <c r="N29" s="103"/>
      <c r="O29" s="103" t="s">
        <v>946</v>
      </c>
      <c r="P29" s="104">
        <f t="shared" si="1"/>
        <v>1152.2</v>
      </c>
    </row>
    <row r="30" spans="1:16" s="8" customFormat="1" ht="15.75" x14ac:dyDescent="0.25">
      <c r="A30" s="113" t="s">
        <v>26</v>
      </c>
      <c r="B30" s="102" t="s">
        <v>107</v>
      </c>
      <c r="C30" s="26" t="s">
        <v>549</v>
      </c>
      <c r="D30" s="25" t="s">
        <v>1122</v>
      </c>
      <c r="E30" s="30">
        <v>0</v>
      </c>
      <c r="F30" s="51">
        <v>6.4</v>
      </c>
      <c r="G30" s="50">
        <f>E30*F30</f>
        <v>0</v>
      </c>
      <c r="H30" s="103"/>
      <c r="I30" s="103"/>
      <c r="J30" s="104"/>
      <c r="K30" s="103"/>
      <c r="L30" s="103"/>
      <c r="M30" s="103">
        <f t="shared" si="0"/>
        <v>0</v>
      </c>
      <c r="N30" s="103"/>
      <c r="O30" s="103" t="s">
        <v>946</v>
      </c>
      <c r="P30" s="104">
        <f t="shared" si="1"/>
        <v>0</v>
      </c>
    </row>
    <row r="31" spans="1:16" s="8" customFormat="1" ht="15.75" x14ac:dyDescent="0.25">
      <c r="A31" s="113" t="s">
        <v>27</v>
      </c>
      <c r="B31" s="102">
        <v>44193</v>
      </c>
      <c r="C31" s="26" t="s">
        <v>550</v>
      </c>
      <c r="D31" s="25" t="s">
        <v>1122</v>
      </c>
      <c r="E31" s="30">
        <v>0</v>
      </c>
      <c r="F31" s="13">
        <v>105.93</v>
      </c>
      <c r="G31" s="50">
        <f>E31*F31</f>
        <v>0</v>
      </c>
      <c r="H31" s="103"/>
      <c r="I31" s="103"/>
      <c r="J31" s="104"/>
      <c r="K31" s="103"/>
      <c r="L31" s="103"/>
      <c r="M31" s="103">
        <f t="shared" si="0"/>
        <v>0</v>
      </c>
      <c r="N31" s="103"/>
      <c r="O31" s="103" t="s">
        <v>946</v>
      </c>
      <c r="P31" s="104">
        <f t="shared" si="1"/>
        <v>0</v>
      </c>
    </row>
    <row r="32" spans="1:16" s="8" customFormat="1" ht="15.75" x14ac:dyDescent="0.25">
      <c r="A32" s="113" t="s">
        <v>28</v>
      </c>
      <c r="B32" s="102">
        <v>44193</v>
      </c>
      <c r="C32" s="25" t="s">
        <v>806</v>
      </c>
      <c r="D32" s="25" t="s">
        <v>1122</v>
      </c>
      <c r="E32" s="38">
        <v>2</v>
      </c>
      <c r="F32" s="13">
        <v>160</v>
      </c>
      <c r="G32" s="50">
        <f>E32*F32</f>
        <v>320</v>
      </c>
      <c r="H32" s="103"/>
      <c r="I32" s="103"/>
      <c r="J32" s="104"/>
      <c r="K32" s="103"/>
      <c r="L32" s="103">
        <v>1</v>
      </c>
      <c r="M32" s="103">
        <f t="shared" si="0"/>
        <v>1</v>
      </c>
      <c r="N32" s="103"/>
      <c r="O32" s="103" t="s">
        <v>946</v>
      </c>
      <c r="P32" s="104">
        <f t="shared" si="1"/>
        <v>160</v>
      </c>
    </row>
    <row r="33" spans="1:16" s="92" customFormat="1" x14ac:dyDescent="0.3">
      <c r="A33" s="113" t="s">
        <v>127</v>
      </c>
      <c r="B33" s="102">
        <v>44449</v>
      </c>
      <c r="C33" s="25" t="s">
        <v>551</v>
      </c>
      <c r="D33" s="25" t="s">
        <v>1122</v>
      </c>
      <c r="E33" s="30">
        <v>9</v>
      </c>
      <c r="F33" s="13">
        <v>600</v>
      </c>
      <c r="G33" s="50">
        <f t="shared" ref="G33:G61" si="3">E33*F33</f>
        <v>5400</v>
      </c>
      <c r="H33" s="103"/>
      <c r="I33" s="103"/>
      <c r="J33" s="104"/>
      <c r="K33" s="103"/>
      <c r="L33" s="103">
        <v>1</v>
      </c>
      <c r="M33" s="103">
        <f t="shared" si="0"/>
        <v>8</v>
      </c>
      <c r="N33" s="103"/>
      <c r="O33" s="103" t="s">
        <v>945</v>
      </c>
      <c r="P33" s="104">
        <f t="shared" si="1"/>
        <v>4800</v>
      </c>
    </row>
    <row r="34" spans="1:16" s="8" customFormat="1" ht="15.75" x14ac:dyDescent="0.25">
      <c r="A34" s="113" t="s">
        <v>29</v>
      </c>
      <c r="B34" s="102">
        <v>44193</v>
      </c>
      <c r="C34" s="9" t="s">
        <v>552</v>
      </c>
      <c r="D34" s="25" t="s">
        <v>1122</v>
      </c>
      <c r="E34" s="30">
        <f>20+23</f>
        <v>43</v>
      </c>
      <c r="F34" s="13">
        <v>200</v>
      </c>
      <c r="G34" s="50">
        <f t="shared" si="3"/>
        <v>8600</v>
      </c>
      <c r="H34" s="103"/>
      <c r="I34" s="103"/>
      <c r="J34" s="104"/>
      <c r="K34" s="103"/>
      <c r="L34" s="103"/>
      <c r="M34" s="103">
        <f t="shared" si="0"/>
        <v>43</v>
      </c>
      <c r="N34" s="103"/>
      <c r="O34" s="103" t="s">
        <v>947</v>
      </c>
      <c r="P34" s="104">
        <f>+M34*F34</f>
        <v>8600</v>
      </c>
    </row>
    <row r="35" spans="1:16" s="8" customFormat="1" ht="15.75" x14ac:dyDescent="0.25">
      <c r="A35" s="113" t="s">
        <v>30</v>
      </c>
      <c r="B35" s="102">
        <v>44193</v>
      </c>
      <c r="C35" s="9" t="s">
        <v>553</v>
      </c>
      <c r="D35" s="25" t="s">
        <v>1122</v>
      </c>
      <c r="E35" s="30">
        <v>9</v>
      </c>
      <c r="F35" s="13">
        <v>200</v>
      </c>
      <c r="G35" s="50">
        <f t="shared" si="3"/>
        <v>1800</v>
      </c>
      <c r="H35" s="103"/>
      <c r="I35" s="103"/>
      <c r="J35" s="104"/>
      <c r="K35" s="103"/>
      <c r="L35" s="103"/>
      <c r="M35" s="103">
        <f t="shared" si="0"/>
        <v>9</v>
      </c>
      <c r="N35" s="103"/>
      <c r="O35" s="103" t="s">
        <v>947</v>
      </c>
      <c r="P35" s="104">
        <f>+M35*F35</f>
        <v>1800</v>
      </c>
    </row>
    <row r="36" spans="1:16" s="92" customFormat="1" x14ac:dyDescent="0.3">
      <c r="A36" s="113" t="s">
        <v>99</v>
      </c>
      <c r="B36" s="102">
        <v>44193</v>
      </c>
      <c r="C36" s="25" t="s">
        <v>548</v>
      </c>
      <c r="D36" s="25" t="s">
        <v>1122</v>
      </c>
      <c r="E36" s="30">
        <v>36</v>
      </c>
      <c r="F36" s="13">
        <v>75</v>
      </c>
      <c r="G36" s="50">
        <f t="shared" si="3"/>
        <v>2700</v>
      </c>
      <c r="H36" s="103"/>
      <c r="I36" s="103"/>
      <c r="J36" s="104"/>
      <c r="K36" s="103"/>
      <c r="L36" s="103"/>
      <c r="M36" s="103">
        <f t="shared" si="0"/>
        <v>36</v>
      </c>
      <c r="N36" s="103"/>
      <c r="O36" s="103" t="s">
        <v>945</v>
      </c>
      <c r="P36" s="104">
        <f t="shared" ref="P36:P40" si="4">+M36*F36</f>
        <v>2700</v>
      </c>
    </row>
    <row r="37" spans="1:16" s="8" customFormat="1" ht="15.75" x14ac:dyDescent="0.25">
      <c r="A37" s="113" t="s">
        <v>31</v>
      </c>
      <c r="B37" s="102">
        <v>44193</v>
      </c>
      <c r="C37" s="25" t="s">
        <v>554</v>
      </c>
      <c r="D37" s="25" t="s">
        <v>1122</v>
      </c>
      <c r="E37" s="30">
        <v>0</v>
      </c>
      <c r="F37" s="13">
        <v>4.24</v>
      </c>
      <c r="G37" s="50">
        <f t="shared" si="3"/>
        <v>0</v>
      </c>
      <c r="H37" s="103"/>
      <c r="I37" s="103"/>
      <c r="J37" s="104"/>
      <c r="K37" s="103"/>
      <c r="L37" s="103"/>
      <c r="M37" s="103">
        <f t="shared" si="0"/>
        <v>0</v>
      </c>
      <c r="N37" s="103"/>
      <c r="O37" s="103" t="s">
        <v>946</v>
      </c>
      <c r="P37" s="104">
        <f t="shared" si="4"/>
        <v>0</v>
      </c>
    </row>
    <row r="38" spans="1:16" s="8" customFormat="1" ht="15.75" x14ac:dyDescent="0.25">
      <c r="A38" s="113" t="s">
        <v>32</v>
      </c>
      <c r="B38" s="102">
        <v>44193</v>
      </c>
      <c r="C38" s="25" t="s">
        <v>555</v>
      </c>
      <c r="D38" s="25" t="s">
        <v>1122</v>
      </c>
      <c r="E38" s="30">
        <v>0</v>
      </c>
      <c r="F38" s="13">
        <v>3.39</v>
      </c>
      <c r="G38" s="50">
        <f t="shared" si="3"/>
        <v>0</v>
      </c>
      <c r="H38" s="103"/>
      <c r="I38" s="103"/>
      <c r="J38" s="104"/>
      <c r="K38" s="103"/>
      <c r="L38" s="103"/>
      <c r="M38" s="103">
        <f t="shared" si="0"/>
        <v>0</v>
      </c>
      <c r="N38" s="103"/>
      <c r="O38" s="103" t="s">
        <v>946</v>
      </c>
      <c r="P38" s="104">
        <f t="shared" si="4"/>
        <v>0</v>
      </c>
    </row>
    <row r="39" spans="1:16" s="8" customFormat="1" ht="15.75" x14ac:dyDescent="0.25">
      <c r="A39" s="113" t="s">
        <v>33</v>
      </c>
      <c r="B39" s="102">
        <v>44193</v>
      </c>
      <c r="C39" s="9" t="s">
        <v>556</v>
      </c>
      <c r="D39" s="25" t="s">
        <v>1122</v>
      </c>
      <c r="E39" s="30">
        <v>23</v>
      </c>
      <c r="F39" s="13">
        <v>1625</v>
      </c>
      <c r="G39" s="50">
        <f t="shared" si="3"/>
        <v>37375</v>
      </c>
      <c r="H39" s="103"/>
      <c r="I39" s="103"/>
      <c r="J39" s="104"/>
      <c r="K39" s="103"/>
      <c r="L39" s="103"/>
      <c r="M39" s="103">
        <f t="shared" si="0"/>
        <v>23</v>
      </c>
      <c r="N39" s="103"/>
      <c r="O39" s="103" t="s">
        <v>946</v>
      </c>
      <c r="P39" s="104">
        <f t="shared" si="4"/>
        <v>37375</v>
      </c>
    </row>
    <row r="40" spans="1:16" s="8" customFormat="1" ht="15.75" x14ac:dyDescent="0.25">
      <c r="A40" s="113" t="s">
        <v>34</v>
      </c>
      <c r="B40" s="102">
        <v>44193</v>
      </c>
      <c r="C40" s="9" t="s">
        <v>557</v>
      </c>
      <c r="D40" s="25" t="s">
        <v>1122</v>
      </c>
      <c r="E40" s="30">
        <v>0</v>
      </c>
      <c r="F40" s="13">
        <v>1625</v>
      </c>
      <c r="G40" s="50">
        <f t="shared" si="3"/>
        <v>0</v>
      </c>
      <c r="H40" s="103"/>
      <c r="I40" s="103"/>
      <c r="J40" s="104"/>
      <c r="K40" s="103"/>
      <c r="L40" s="103"/>
      <c r="M40" s="103">
        <f t="shared" si="0"/>
        <v>0</v>
      </c>
      <c r="N40" s="103"/>
      <c r="O40" s="103" t="s">
        <v>946</v>
      </c>
      <c r="P40" s="104">
        <f t="shared" si="4"/>
        <v>0</v>
      </c>
    </row>
    <row r="41" spans="1:16" s="105" customFormat="1" ht="15.75" x14ac:dyDescent="0.25">
      <c r="A41" s="113" t="s">
        <v>111</v>
      </c>
      <c r="B41" s="102">
        <v>44193</v>
      </c>
      <c r="C41" s="9" t="s">
        <v>558</v>
      </c>
      <c r="D41" s="25" t="s">
        <v>1122</v>
      </c>
      <c r="E41" s="30">
        <v>10</v>
      </c>
      <c r="F41" s="13">
        <v>66.3</v>
      </c>
      <c r="G41" s="50">
        <f t="shared" si="3"/>
        <v>663</v>
      </c>
      <c r="H41" s="107">
        <v>44852</v>
      </c>
      <c r="I41" s="103">
        <v>10</v>
      </c>
      <c r="J41" s="104">
        <v>26</v>
      </c>
      <c r="K41" s="108">
        <f>+I41*J41</f>
        <v>260</v>
      </c>
      <c r="L41" s="103">
        <v>1</v>
      </c>
      <c r="M41" s="103">
        <f t="shared" si="0"/>
        <v>19</v>
      </c>
      <c r="N41" s="103"/>
      <c r="O41" s="103" t="s">
        <v>947</v>
      </c>
      <c r="P41" s="104">
        <f>+M41*J41</f>
        <v>494</v>
      </c>
    </row>
    <row r="42" spans="1:16" s="8" customFormat="1" ht="15.75" x14ac:dyDescent="0.25">
      <c r="A42" s="113" t="s">
        <v>128</v>
      </c>
      <c r="B42" s="102">
        <v>44488</v>
      </c>
      <c r="C42" s="26" t="s">
        <v>560</v>
      </c>
      <c r="D42" s="25" t="s">
        <v>1122</v>
      </c>
      <c r="E42" s="55">
        <v>13</v>
      </c>
      <c r="F42" s="13">
        <v>40</v>
      </c>
      <c r="G42" s="50">
        <f t="shared" si="3"/>
        <v>520</v>
      </c>
      <c r="H42" s="103"/>
      <c r="I42" s="103"/>
      <c r="J42" s="104"/>
      <c r="K42" s="103"/>
      <c r="L42" s="103"/>
      <c r="M42" s="103">
        <f t="shared" si="0"/>
        <v>13</v>
      </c>
      <c r="N42" s="103"/>
      <c r="O42" s="103" t="s">
        <v>946</v>
      </c>
      <c r="P42" s="104">
        <f t="shared" ref="P42:P49" si="5">+M42*F42</f>
        <v>520</v>
      </c>
    </row>
    <row r="43" spans="1:16" s="8" customFormat="1" ht="15.75" x14ac:dyDescent="0.25">
      <c r="A43" s="113" t="s">
        <v>129</v>
      </c>
      <c r="B43" s="102">
        <v>44193</v>
      </c>
      <c r="C43" s="9" t="s">
        <v>772</v>
      </c>
      <c r="D43" s="25" t="s">
        <v>1122</v>
      </c>
      <c r="E43" s="30">
        <v>23</v>
      </c>
      <c r="F43" s="13">
        <v>2.4</v>
      </c>
      <c r="G43" s="50">
        <f t="shared" si="3"/>
        <v>55.199999999999996</v>
      </c>
      <c r="H43" s="103"/>
      <c r="I43" s="103"/>
      <c r="J43" s="104"/>
      <c r="K43" s="103"/>
      <c r="L43" s="103">
        <f>12+2</f>
        <v>14</v>
      </c>
      <c r="M43" s="103">
        <f t="shared" si="0"/>
        <v>9</v>
      </c>
      <c r="N43" s="103"/>
      <c r="O43" s="103" t="s">
        <v>947</v>
      </c>
      <c r="P43" s="104">
        <f t="shared" si="5"/>
        <v>21.599999999999998</v>
      </c>
    </row>
    <row r="44" spans="1:16" s="8" customFormat="1" ht="15.75" x14ac:dyDescent="0.25">
      <c r="A44" s="113" t="s">
        <v>130</v>
      </c>
      <c r="B44" s="102">
        <v>44193</v>
      </c>
      <c r="C44" s="26" t="s">
        <v>562</v>
      </c>
      <c r="D44" s="25" t="s">
        <v>1122</v>
      </c>
      <c r="E44" s="32">
        <v>0</v>
      </c>
      <c r="F44" s="13">
        <v>700</v>
      </c>
      <c r="G44" s="50">
        <f t="shared" si="3"/>
        <v>0</v>
      </c>
      <c r="H44" s="103"/>
      <c r="I44" s="103"/>
      <c r="J44" s="104"/>
      <c r="K44" s="103"/>
      <c r="L44" s="103"/>
      <c r="M44" s="103">
        <f t="shared" si="0"/>
        <v>0</v>
      </c>
      <c r="N44" s="103"/>
      <c r="O44" s="103" t="s">
        <v>946</v>
      </c>
      <c r="P44" s="104">
        <f t="shared" si="5"/>
        <v>0</v>
      </c>
    </row>
    <row r="45" spans="1:16" s="8" customFormat="1" ht="15.75" x14ac:dyDescent="0.25">
      <c r="A45" s="113" t="s">
        <v>35</v>
      </c>
      <c r="B45" s="102">
        <v>44193</v>
      </c>
      <c r="C45" s="9" t="s">
        <v>563</v>
      </c>
      <c r="D45" s="25" t="s">
        <v>1122</v>
      </c>
      <c r="E45" s="30">
        <v>1</v>
      </c>
      <c r="F45" s="13">
        <v>35</v>
      </c>
      <c r="G45" s="50">
        <f t="shared" si="3"/>
        <v>35</v>
      </c>
      <c r="H45" s="103"/>
      <c r="I45" s="103"/>
      <c r="J45" s="104"/>
      <c r="K45" s="103"/>
      <c r="L45" s="103"/>
      <c r="M45" s="103">
        <f t="shared" si="0"/>
        <v>1</v>
      </c>
      <c r="N45" s="103"/>
      <c r="O45" s="103" t="s">
        <v>947</v>
      </c>
      <c r="P45" s="104">
        <f t="shared" si="5"/>
        <v>35</v>
      </c>
    </row>
    <row r="46" spans="1:16" s="92" customFormat="1" x14ac:dyDescent="0.3">
      <c r="A46" s="113" t="s">
        <v>36</v>
      </c>
      <c r="B46" s="102">
        <v>44193</v>
      </c>
      <c r="C46" s="9" t="s">
        <v>564</v>
      </c>
      <c r="D46" s="25" t="s">
        <v>1122</v>
      </c>
      <c r="E46" s="30">
        <v>0</v>
      </c>
      <c r="F46" s="13">
        <v>2719</v>
      </c>
      <c r="G46" s="50">
        <f t="shared" si="3"/>
        <v>0</v>
      </c>
      <c r="H46" s="103"/>
      <c r="I46" s="103"/>
      <c r="J46" s="104"/>
      <c r="K46" s="103"/>
      <c r="L46" s="103"/>
      <c r="M46" s="103">
        <f t="shared" si="0"/>
        <v>0</v>
      </c>
      <c r="N46" s="103"/>
      <c r="O46" s="103" t="s">
        <v>945</v>
      </c>
      <c r="P46" s="104">
        <f t="shared" si="5"/>
        <v>0</v>
      </c>
    </row>
    <row r="47" spans="1:16" s="8" customFormat="1" ht="15.75" x14ac:dyDescent="0.25">
      <c r="A47" s="113" t="s">
        <v>37</v>
      </c>
      <c r="B47" s="102">
        <v>44193</v>
      </c>
      <c r="C47" s="26" t="s">
        <v>797</v>
      </c>
      <c r="D47" s="25" t="s">
        <v>1122</v>
      </c>
      <c r="E47" s="30">
        <v>2</v>
      </c>
      <c r="F47" s="13">
        <v>600</v>
      </c>
      <c r="G47" s="50">
        <f t="shared" si="3"/>
        <v>1200</v>
      </c>
      <c r="H47" s="103"/>
      <c r="I47" s="103"/>
      <c r="J47" s="104"/>
      <c r="K47" s="103"/>
      <c r="L47" s="103"/>
      <c r="M47" s="103">
        <f t="shared" si="0"/>
        <v>2</v>
      </c>
      <c r="N47" s="103"/>
      <c r="O47" s="103" t="s">
        <v>946</v>
      </c>
      <c r="P47" s="104">
        <f t="shared" si="5"/>
        <v>1200</v>
      </c>
    </row>
    <row r="48" spans="1:16" s="8" customFormat="1" ht="15.75" x14ac:dyDescent="0.25">
      <c r="A48" s="113" t="s">
        <v>38</v>
      </c>
      <c r="B48" s="102">
        <v>44678</v>
      </c>
      <c r="C48" s="26" t="s">
        <v>565</v>
      </c>
      <c r="D48" s="25" t="s">
        <v>1122</v>
      </c>
      <c r="E48" s="32">
        <v>5</v>
      </c>
      <c r="F48" s="13">
        <v>1400</v>
      </c>
      <c r="G48" s="50">
        <f t="shared" si="3"/>
        <v>7000</v>
      </c>
      <c r="H48" s="103"/>
      <c r="I48" s="103"/>
      <c r="J48" s="104"/>
      <c r="K48" s="103"/>
      <c r="L48" s="103"/>
      <c r="M48" s="103">
        <f t="shared" si="0"/>
        <v>5</v>
      </c>
      <c r="N48" s="103"/>
      <c r="O48" s="103" t="s">
        <v>946</v>
      </c>
      <c r="P48" s="104">
        <f t="shared" si="5"/>
        <v>7000</v>
      </c>
    </row>
    <row r="49" spans="1:16" s="8" customFormat="1" ht="15.75" x14ac:dyDescent="0.25">
      <c r="A49" s="113" t="s">
        <v>131</v>
      </c>
      <c r="B49" s="102">
        <v>44678</v>
      </c>
      <c r="C49" s="26" t="s">
        <v>567</v>
      </c>
      <c r="D49" s="25" t="s">
        <v>1122</v>
      </c>
      <c r="E49" s="32">
        <v>10</v>
      </c>
      <c r="F49" s="13">
        <v>500</v>
      </c>
      <c r="G49" s="50">
        <f t="shared" si="3"/>
        <v>5000</v>
      </c>
      <c r="H49" s="103"/>
      <c r="I49" s="103"/>
      <c r="J49" s="104"/>
      <c r="K49" s="103"/>
      <c r="L49" s="103"/>
      <c r="M49" s="103">
        <f t="shared" si="0"/>
        <v>10</v>
      </c>
      <c r="N49" s="103"/>
      <c r="O49" s="103" t="s">
        <v>946</v>
      </c>
      <c r="P49" s="104">
        <f t="shared" si="5"/>
        <v>5000</v>
      </c>
    </row>
    <row r="50" spans="1:16" s="8" customFormat="1" ht="15.75" x14ac:dyDescent="0.25">
      <c r="A50" s="113" t="s">
        <v>39</v>
      </c>
      <c r="B50" s="102">
        <v>44678</v>
      </c>
      <c r="C50" s="26" t="s">
        <v>568</v>
      </c>
      <c r="D50" s="25" t="s">
        <v>1122</v>
      </c>
      <c r="E50" s="32">
        <v>6</v>
      </c>
      <c r="F50" s="13">
        <v>5000</v>
      </c>
      <c r="G50" s="50">
        <f t="shared" si="3"/>
        <v>30000</v>
      </c>
      <c r="H50" s="103"/>
      <c r="I50" s="103"/>
      <c r="J50" s="104"/>
      <c r="K50" s="103"/>
      <c r="L50" s="103"/>
      <c r="M50" s="103">
        <f t="shared" si="0"/>
        <v>6</v>
      </c>
      <c r="N50" s="103"/>
      <c r="O50" s="103" t="s">
        <v>946</v>
      </c>
      <c r="P50" s="104">
        <f>+M50*F50</f>
        <v>30000</v>
      </c>
    </row>
    <row r="51" spans="1:16" s="8" customFormat="1" ht="15.75" x14ac:dyDescent="0.25">
      <c r="A51" s="113" t="s">
        <v>40</v>
      </c>
      <c r="B51" s="102">
        <v>44193</v>
      </c>
      <c r="C51" s="26" t="s">
        <v>803</v>
      </c>
      <c r="D51" s="25" t="s">
        <v>1122</v>
      </c>
      <c r="E51" s="32">
        <v>6</v>
      </c>
      <c r="F51" s="13">
        <v>2600</v>
      </c>
      <c r="G51" s="50">
        <f t="shared" si="3"/>
        <v>15600</v>
      </c>
      <c r="H51" s="103"/>
      <c r="I51" s="103"/>
      <c r="J51" s="104"/>
      <c r="K51" s="103"/>
      <c r="L51" s="103"/>
      <c r="M51" s="103">
        <f t="shared" si="0"/>
        <v>6</v>
      </c>
      <c r="N51" s="103"/>
      <c r="O51" s="103" t="s">
        <v>946</v>
      </c>
      <c r="P51" s="104">
        <f t="shared" ref="P51:P54" si="6">+M51*F51</f>
        <v>15600</v>
      </c>
    </row>
    <row r="52" spans="1:16" s="92" customFormat="1" x14ac:dyDescent="0.3">
      <c r="A52" s="113" t="s">
        <v>132</v>
      </c>
      <c r="B52" s="102">
        <v>44193</v>
      </c>
      <c r="C52" s="25" t="s">
        <v>773</v>
      </c>
      <c r="D52" s="25" t="s">
        <v>1122</v>
      </c>
      <c r="E52" s="14">
        <v>2</v>
      </c>
      <c r="F52" s="13">
        <v>325</v>
      </c>
      <c r="G52" s="50">
        <f t="shared" si="3"/>
        <v>650</v>
      </c>
      <c r="H52" s="103"/>
      <c r="I52" s="103"/>
      <c r="J52" s="104"/>
      <c r="K52" s="103"/>
      <c r="L52" s="103">
        <v>2</v>
      </c>
      <c r="M52" s="103">
        <f t="shared" si="0"/>
        <v>0</v>
      </c>
      <c r="N52" s="103"/>
      <c r="O52" s="103" t="s">
        <v>945</v>
      </c>
      <c r="P52" s="104">
        <f t="shared" si="6"/>
        <v>0</v>
      </c>
    </row>
    <row r="53" spans="1:16" s="92" customFormat="1" x14ac:dyDescent="0.3">
      <c r="A53" s="113" t="s">
        <v>41</v>
      </c>
      <c r="B53" s="102">
        <v>44193</v>
      </c>
      <c r="C53" s="25" t="s">
        <v>570</v>
      </c>
      <c r="D53" s="25" t="s">
        <v>1122</v>
      </c>
      <c r="E53" s="14">
        <f>(43*3)+1</f>
        <v>130</v>
      </c>
      <c r="F53" s="13">
        <v>25</v>
      </c>
      <c r="G53" s="50">
        <f t="shared" si="3"/>
        <v>3250</v>
      </c>
      <c r="H53" s="103"/>
      <c r="I53" s="103"/>
      <c r="J53" s="104"/>
      <c r="K53" s="103"/>
      <c r="L53" s="103">
        <f>1+3+1</f>
        <v>5</v>
      </c>
      <c r="M53" s="103">
        <f t="shared" si="0"/>
        <v>125</v>
      </c>
      <c r="N53" s="103"/>
      <c r="O53" s="103" t="s">
        <v>945</v>
      </c>
      <c r="P53" s="104">
        <f t="shared" si="6"/>
        <v>3125</v>
      </c>
    </row>
    <row r="54" spans="1:16" s="92" customFormat="1" x14ac:dyDescent="0.3">
      <c r="A54" s="113" t="s">
        <v>133</v>
      </c>
      <c r="B54" s="102">
        <v>44677</v>
      </c>
      <c r="C54" s="25" t="s">
        <v>571</v>
      </c>
      <c r="D54" s="25" t="s">
        <v>1122</v>
      </c>
      <c r="E54" s="14">
        <v>352</v>
      </c>
      <c r="F54" s="13">
        <v>14</v>
      </c>
      <c r="G54" s="50">
        <f t="shared" si="3"/>
        <v>4928</v>
      </c>
      <c r="H54" s="103"/>
      <c r="I54" s="103"/>
      <c r="J54" s="104"/>
      <c r="K54" s="103"/>
      <c r="L54" s="103">
        <f>68+2+4</f>
        <v>74</v>
      </c>
      <c r="M54" s="103">
        <f t="shared" si="0"/>
        <v>278</v>
      </c>
      <c r="N54" s="103"/>
      <c r="O54" s="103" t="s">
        <v>945</v>
      </c>
      <c r="P54" s="104">
        <f t="shared" si="6"/>
        <v>3892</v>
      </c>
    </row>
    <row r="55" spans="1:16" s="8" customFormat="1" ht="15.75" x14ac:dyDescent="0.25">
      <c r="A55" s="113" t="s">
        <v>134</v>
      </c>
      <c r="B55" s="106" t="s">
        <v>106</v>
      </c>
      <c r="C55" s="26" t="s">
        <v>572</v>
      </c>
      <c r="D55" s="25" t="s">
        <v>1122</v>
      </c>
      <c r="E55" s="32"/>
      <c r="F55" s="51">
        <v>84.75</v>
      </c>
      <c r="G55" s="50">
        <f t="shared" si="3"/>
        <v>0</v>
      </c>
      <c r="H55" s="107">
        <v>44851</v>
      </c>
      <c r="I55" s="103">
        <v>30</v>
      </c>
      <c r="J55" s="104">
        <v>107.97</v>
      </c>
      <c r="K55" s="104">
        <f>+I55*J55</f>
        <v>3239.1</v>
      </c>
      <c r="L55" s="103">
        <f>2+1+1</f>
        <v>4</v>
      </c>
      <c r="M55" s="103">
        <f t="shared" si="0"/>
        <v>26</v>
      </c>
      <c r="N55" s="103"/>
      <c r="O55" s="103" t="s">
        <v>946</v>
      </c>
      <c r="P55" s="104">
        <f>+M55*J55</f>
        <v>2807.22</v>
      </c>
    </row>
    <row r="56" spans="1:16" s="8" customFormat="1" ht="15.75" x14ac:dyDescent="0.25">
      <c r="A56" s="113" t="s">
        <v>42</v>
      </c>
      <c r="B56" s="102">
        <v>44193</v>
      </c>
      <c r="C56" s="26" t="s">
        <v>573</v>
      </c>
      <c r="D56" s="25" t="s">
        <v>1122</v>
      </c>
      <c r="E56" s="32"/>
      <c r="F56" s="13">
        <v>169.49</v>
      </c>
      <c r="G56" s="50">
        <f t="shared" si="3"/>
        <v>0</v>
      </c>
      <c r="H56" s="103"/>
      <c r="I56" s="103"/>
      <c r="J56" s="104"/>
      <c r="K56" s="103">
        <f t="shared" ref="K56:K65" si="7">+I56*J56</f>
        <v>0</v>
      </c>
      <c r="L56" s="103"/>
      <c r="M56" s="103">
        <f t="shared" si="0"/>
        <v>0</v>
      </c>
      <c r="N56" s="103"/>
      <c r="O56" s="103" t="s">
        <v>946</v>
      </c>
      <c r="P56" s="104">
        <f t="shared" ref="P56:P64" si="8">+M56*J56</f>
        <v>0</v>
      </c>
    </row>
    <row r="57" spans="1:16" s="8" customFormat="1" ht="15.75" x14ac:dyDescent="0.25">
      <c r="A57" s="113" t="s">
        <v>109</v>
      </c>
      <c r="B57" s="102">
        <v>44193</v>
      </c>
      <c r="C57" s="25" t="s">
        <v>574</v>
      </c>
      <c r="D57" s="25" t="s">
        <v>1122</v>
      </c>
      <c r="E57" s="14"/>
      <c r="F57" s="13">
        <v>76.27</v>
      </c>
      <c r="G57" s="50">
        <f t="shared" si="3"/>
        <v>0</v>
      </c>
      <c r="H57" s="103"/>
      <c r="I57" s="103"/>
      <c r="J57" s="104"/>
      <c r="K57" s="103">
        <f t="shared" si="7"/>
        <v>0</v>
      </c>
      <c r="L57" s="103"/>
      <c r="M57" s="103">
        <f t="shared" si="0"/>
        <v>0</v>
      </c>
      <c r="N57" s="103"/>
      <c r="O57" s="103" t="s">
        <v>946</v>
      </c>
      <c r="P57" s="104">
        <f t="shared" si="8"/>
        <v>0</v>
      </c>
    </row>
    <row r="58" spans="1:16" s="8" customFormat="1" ht="15.75" x14ac:dyDescent="0.25">
      <c r="A58" s="113" t="s">
        <v>135</v>
      </c>
      <c r="B58" s="102">
        <v>44193</v>
      </c>
      <c r="C58" s="25" t="s">
        <v>575</v>
      </c>
      <c r="D58" s="25" t="s">
        <v>1122</v>
      </c>
      <c r="E58" s="14"/>
      <c r="F58" s="13">
        <v>93.22</v>
      </c>
      <c r="G58" s="50">
        <f t="shared" si="3"/>
        <v>0</v>
      </c>
      <c r="H58" s="103"/>
      <c r="I58" s="103"/>
      <c r="J58" s="104"/>
      <c r="K58" s="103">
        <f t="shared" si="7"/>
        <v>0</v>
      </c>
      <c r="L58" s="103"/>
      <c r="M58" s="103">
        <f t="shared" si="0"/>
        <v>0</v>
      </c>
      <c r="N58" s="103"/>
      <c r="O58" s="103" t="s">
        <v>946</v>
      </c>
      <c r="P58" s="104">
        <f t="shared" si="8"/>
        <v>0</v>
      </c>
    </row>
    <row r="59" spans="1:16" s="8" customFormat="1" ht="15.75" x14ac:dyDescent="0.25">
      <c r="A59" s="113" t="s">
        <v>43</v>
      </c>
      <c r="B59" s="102">
        <v>44193</v>
      </c>
      <c r="C59" s="26" t="s">
        <v>576</v>
      </c>
      <c r="D59" s="25" t="s">
        <v>1122</v>
      </c>
      <c r="E59" s="32"/>
      <c r="F59" s="13">
        <v>122.8</v>
      </c>
      <c r="G59" s="50">
        <f t="shared" si="3"/>
        <v>0</v>
      </c>
      <c r="H59" s="107">
        <v>44851</v>
      </c>
      <c r="I59" s="103">
        <v>30</v>
      </c>
      <c r="J59" s="104">
        <v>171.69</v>
      </c>
      <c r="K59" s="104">
        <f t="shared" si="7"/>
        <v>5150.7</v>
      </c>
      <c r="L59" s="103">
        <v>1</v>
      </c>
      <c r="M59" s="103">
        <f t="shared" si="0"/>
        <v>29</v>
      </c>
      <c r="N59" s="103"/>
      <c r="O59" s="103" t="s">
        <v>946</v>
      </c>
      <c r="P59" s="104">
        <f t="shared" si="8"/>
        <v>4979.01</v>
      </c>
    </row>
    <row r="60" spans="1:16" s="8" customFormat="1" ht="15.75" x14ac:dyDescent="0.25">
      <c r="A60" s="113" t="s">
        <v>45</v>
      </c>
      <c r="B60" s="102">
        <v>44453</v>
      </c>
      <c r="C60" s="9" t="s">
        <v>577</v>
      </c>
      <c r="D60" s="25" t="s">
        <v>1122</v>
      </c>
      <c r="E60" s="48">
        <v>0</v>
      </c>
      <c r="F60" s="13">
        <v>3000</v>
      </c>
      <c r="G60" s="50">
        <f t="shared" si="3"/>
        <v>0</v>
      </c>
      <c r="H60" s="103"/>
      <c r="I60" s="103"/>
      <c r="J60" s="104"/>
      <c r="K60" s="103">
        <f t="shared" si="7"/>
        <v>0</v>
      </c>
      <c r="L60" s="103"/>
      <c r="M60" s="103">
        <f t="shared" si="0"/>
        <v>0</v>
      </c>
      <c r="N60" s="103"/>
      <c r="O60" s="103" t="s">
        <v>946</v>
      </c>
      <c r="P60" s="104">
        <f t="shared" si="8"/>
        <v>0</v>
      </c>
    </row>
    <row r="61" spans="1:16" s="8" customFormat="1" ht="15.75" x14ac:dyDescent="0.25">
      <c r="A61" s="113" t="s">
        <v>46</v>
      </c>
      <c r="B61" s="102">
        <v>44193</v>
      </c>
      <c r="C61" s="26" t="s">
        <v>578</v>
      </c>
      <c r="D61" s="25" t="s">
        <v>1122</v>
      </c>
      <c r="E61" s="32">
        <v>0</v>
      </c>
      <c r="F61" s="13">
        <v>63.56</v>
      </c>
      <c r="G61" s="50">
        <f t="shared" si="3"/>
        <v>0</v>
      </c>
      <c r="H61" s="103"/>
      <c r="I61" s="103"/>
      <c r="J61" s="104"/>
      <c r="K61" s="103">
        <f t="shared" si="7"/>
        <v>0</v>
      </c>
      <c r="L61" s="103"/>
      <c r="M61" s="103">
        <f t="shared" si="0"/>
        <v>0</v>
      </c>
      <c r="N61" s="103"/>
      <c r="O61" s="103" t="s">
        <v>946</v>
      </c>
      <c r="P61" s="104">
        <f t="shared" si="8"/>
        <v>0</v>
      </c>
    </row>
    <row r="62" spans="1:16" s="8" customFormat="1" ht="15.75" x14ac:dyDescent="0.25">
      <c r="A62" s="113" t="s">
        <v>47</v>
      </c>
      <c r="B62" s="102">
        <v>44193</v>
      </c>
      <c r="C62" s="26" t="s">
        <v>819</v>
      </c>
      <c r="D62" s="25" t="s">
        <v>1122</v>
      </c>
      <c r="E62" s="32">
        <v>2</v>
      </c>
      <c r="F62" s="13"/>
      <c r="G62" s="50"/>
      <c r="H62" s="103"/>
      <c r="I62" s="103"/>
      <c r="J62" s="104"/>
      <c r="K62" s="103">
        <f t="shared" si="7"/>
        <v>0</v>
      </c>
      <c r="L62" s="103"/>
      <c r="M62" s="103">
        <f t="shared" si="0"/>
        <v>2</v>
      </c>
      <c r="N62" s="103"/>
      <c r="O62" s="103" t="s">
        <v>946</v>
      </c>
      <c r="P62" s="104">
        <f>+F62*M62</f>
        <v>0</v>
      </c>
    </row>
    <row r="63" spans="1:16" s="8" customFormat="1" ht="15.75" x14ac:dyDescent="0.25">
      <c r="A63" s="113" t="s">
        <v>48</v>
      </c>
      <c r="B63" s="102">
        <v>44193</v>
      </c>
      <c r="C63" s="26" t="s">
        <v>817</v>
      </c>
      <c r="D63" s="25" t="s">
        <v>1122</v>
      </c>
      <c r="E63" s="32">
        <v>7</v>
      </c>
      <c r="F63" s="13"/>
      <c r="G63" s="50"/>
      <c r="H63" s="103"/>
      <c r="I63" s="103"/>
      <c r="J63" s="104"/>
      <c r="K63" s="103">
        <f t="shared" si="7"/>
        <v>0</v>
      </c>
      <c r="L63" s="103"/>
      <c r="M63" s="103">
        <f t="shared" si="0"/>
        <v>7</v>
      </c>
      <c r="N63" s="103"/>
      <c r="O63" s="103" t="s">
        <v>946</v>
      </c>
      <c r="P63" s="104">
        <f t="shared" si="8"/>
        <v>0</v>
      </c>
    </row>
    <row r="64" spans="1:16" s="8" customFormat="1" ht="15.75" x14ac:dyDescent="0.25">
      <c r="A64" s="113" t="s">
        <v>49</v>
      </c>
      <c r="B64" s="102">
        <v>44193</v>
      </c>
      <c r="C64" s="26" t="s">
        <v>818</v>
      </c>
      <c r="D64" s="25" t="s">
        <v>1122</v>
      </c>
      <c r="E64" s="32">
        <v>8</v>
      </c>
      <c r="F64" s="13"/>
      <c r="G64" s="50"/>
      <c r="H64" s="103"/>
      <c r="I64" s="103"/>
      <c r="J64" s="104"/>
      <c r="K64" s="103">
        <f t="shared" si="7"/>
        <v>0</v>
      </c>
      <c r="L64" s="103"/>
      <c r="M64" s="103">
        <f t="shared" si="0"/>
        <v>8</v>
      </c>
      <c r="N64" s="103"/>
      <c r="O64" s="103" t="s">
        <v>946</v>
      </c>
      <c r="P64" s="104">
        <f t="shared" si="8"/>
        <v>0</v>
      </c>
    </row>
    <row r="65" spans="1:16" s="8" customFormat="1" ht="15.75" x14ac:dyDescent="0.25">
      <c r="A65" s="113" t="s">
        <v>50</v>
      </c>
      <c r="B65" s="106" t="s">
        <v>116</v>
      </c>
      <c r="C65" s="25" t="s">
        <v>720</v>
      </c>
      <c r="D65" s="25" t="s">
        <v>1122</v>
      </c>
      <c r="E65" s="32">
        <v>1</v>
      </c>
      <c r="F65" s="51">
        <v>3000</v>
      </c>
      <c r="G65" s="50">
        <f>E65*F65</f>
        <v>3000</v>
      </c>
      <c r="H65" s="103"/>
      <c r="I65" s="103"/>
      <c r="J65" s="104"/>
      <c r="K65" s="103">
        <f t="shared" si="7"/>
        <v>0</v>
      </c>
      <c r="L65" s="103">
        <v>2</v>
      </c>
      <c r="M65" s="103">
        <f t="shared" si="0"/>
        <v>-1</v>
      </c>
      <c r="N65" s="103"/>
      <c r="O65" s="103" t="s">
        <v>947</v>
      </c>
      <c r="P65" s="104">
        <f>+M65*F65</f>
        <v>-3000</v>
      </c>
    </row>
    <row r="66" spans="1:16" s="8" customFormat="1" ht="15.75" x14ac:dyDescent="0.25">
      <c r="A66" s="113" t="s">
        <v>51</v>
      </c>
      <c r="B66" s="102">
        <v>44193</v>
      </c>
      <c r="C66" s="26" t="s">
        <v>579</v>
      </c>
      <c r="D66" s="25" t="s">
        <v>1122</v>
      </c>
      <c r="E66" s="32">
        <v>0</v>
      </c>
      <c r="F66" s="13">
        <v>35</v>
      </c>
      <c r="G66" s="50">
        <f t="shared" ref="G66:G87" si="9">E66*F66</f>
        <v>0</v>
      </c>
      <c r="H66" s="103"/>
      <c r="I66" s="103"/>
      <c r="J66" s="104"/>
      <c r="K66" s="103"/>
      <c r="L66" s="103"/>
      <c r="M66" s="103">
        <f t="shared" si="0"/>
        <v>0</v>
      </c>
      <c r="N66" s="103"/>
      <c r="O66" s="103" t="s">
        <v>946</v>
      </c>
      <c r="P66" s="104">
        <f>+F66*M66</f>
        <v>0</v>
      </c>
    </row>
    <row r="67" spans="1:16" s="8" customFormat="1" ht="15.75" x14ac:dyDescent="0.25">
      <c r="A67" s="113" t="s">
        <v>52</v>
      </c>
      <c r="B67" s="102">
        <v>44193</v>
      </c>
      <c r="C67" s="25" t="s">
        <v>794</v>
      </c>
      <c r="D67" s="25" t="s">
        <v>1122</v>
      </c>
      <c r="E67" s="38">
        <v>1</v>
      </c>
      <c r="F67" s="13">
        <v>97.96</v>
      </c>
      <c r="G67" s="50">
        <f t="shared" si="9"/>
        <v>97.96</v>
      </c>
      <c r="H67" s="103"/>
      <c r="I67" s="103"/>
      <c r="J67" s="104"/>
      <c r="K67" s="103"/>
      <c r="L67" s="103"/>
      <c r="M67" s="103">
        <f t="shared" si="0"/>
        <v>1</v>
      </c>
      <c r="N67" s="103"/>
      <c r="O67" s="103" t="s">
        <v>946</v>
      </c>
      <c r="P67" s="104">
        <f t="shared" ref="P67:P101" si="10">+F67*M67</f>
        <v>97.96</v>
      </c>
    </row>
    <row r="68" spans="1:16" s="8" customFormat="1" ht="15.75" x14ac:dyDescent="0.25">
      <c r="A68" s="113" t="s">
        <v>53</v>
      </c>
      <c r="B68" s="102">
        <v>44193</v>
      </c>
      <c r="C68" s="9" t="s">
        <v>580</v>
      </c>
      <c r="D68" s="25" t="s">
        <v>1122</v>
      </c>
      <c r="E68" s="58">
        <v>22</v>
      </c>
      <c r="F68" s="13">
        <v>18</v>
      </c>
      <c r="G68" s="50">
        <f t="shared" si="9"/>
        <v>396</v>
      </c>
      <c r="H68" s="103"/>
      <c r="I68" s="103"/>
      <c r="J68" s="104"/>
      <c r="K68" s="103"/>
      <c r="L68" s="103"/>
      <c r="M68" s="103">
        <f t="shared" si="0"/>
        <v>22</v>
      </c>
      <c r="N68" s="103"/>
      <c r="O68" s="103" t="s">
        <v>947</v>
      </c>
      <c r="P68" s="104">
        <f t="shared" si="10"/>
        <v>396</v>
      </c>
    </row>
    <row r="69" spans="1:16" s="8" customFormat="1" ht="15.75" x14ac:dyDescent="0.25">
      <c r="A69" s="113" t="s">
        <v>44</v>
      </c>
      <c r="B69" s="102">
        <v>44193</v>
      </c>
      <c r="C69" s="9" t="s">
        <v>581</v>
      </c>
      <c r="D69" s="25" t="s">
        <v>1122</v>
      </c>
      <c r="E69" s="48">
        <v>0</v>
      </c>
      <c r="F69" s="13">
        <v>114</v>
      </c>
      <c r="G69" s="50">
        <f t="shared" si="9"/>
        <v>0</v>
      </c>
      <c r="H69" s="103"/>
      <c r="I69" s="103"/>
      <c r="J69" s="104"/>
      <c r="K69" s="103"/>
      <c r="L69" s="103"/>
      <c r="M69" s="103">
        <f t="shared" si="0"/>
        <v>0</v>
      </c>
      <c r="N69" s="103"/>
      <c r="O69" s="103" t="s">
        <v>947</v>
      </c>
      <c r="P69" s="104">
        <f t="shared" si="10"/>
        <v>0</v>
      </c>
    </row>
    <row r="70" spans="1:16" s="8" customFormat="1" ht="15.75" x14ac:dyDescent="0.25">
      <c r="A70" s="113" t="s">
        <v>113</v>
      </c>
      <c r="B70" s="102">
        <v>44193</v>
      </c>
      <c r="C70" s="9" t="s">
        <v>582</v>
      </c>
      <c r="D70" s="25" t="s">
        <v>1122</v>
      </c>
      <c r="E70" s="48">
        <v>50</v>
      </c>
      <c r="F70" s="13">
        <v>150</v>
      </c>
      <c r="G70" s="50">
        <f t="shared" si="9"/>
        <v>7500</v>
      </c>
      <c r="H70" s="103"/>
      <c r="I70" s="103"/>
      <c r="J70" s="104"/>
      <c r="K70" s="103"/>
      <c r="L70" s="103"/>
      <c r="M70" s="103">
        <f t="shared" si="0"/>
        <v>50</v>
      </c>
      <c r="N70" s="103"/>
      <c r="O70" s="103" t="s">
        <v>947</v>
      </c>
      <c r="P70" s="104">
        <f t="shared" si="10"/>
        <v>7500</v>
      </c>
    </row>
    <row r="71" spans="1:16" s="8" customFormat="1" ht="15.75" x14ac:dyDescent="0.25">
      <c r="A71" s="113" t="s">
        <v>136</v>
      </c>
      <c r="B71" s="102">
        <v>44193</v>
      </c>
      <c r="C71" s="26" t="s">
        <v>583</v>
      </c>
      <c r="D71" s="25" t="s">
        <v>1122</v>
      </c>
      <c r="E71" s="14">
        <v>0</v>
      </c>
      <c r="F71" s="13">
        <v>105.93</v>
      </c>
      <c r="G71" s="50">
        <f t="shared" si="9"/>
        <v>0</v>
      </c>
      <c r="H71" s="103"/>
      <c r="I71" s="103"/>
      <c r="J71" s="104"/>
      <c r="K71" s="103"/>
      <c r="L71" s="103"/>
      <c r="M71" s="103">
        <f t="shared" si="0"/>
        <v>0</v>
      </c>
      <c r="N71" s="103"/>
      <c r="O71" s="103" t="s">
        <v>946</v>
      </c>
      <c r="P71" s="104">
        <f t="shared" si="10"/>
        <v>0</v>
      </c>
    </row>
    <row r="72" spans="1:16" s="8" customFormat="1" ht="15.75" x14ac:dyDescent="0.25">
      <c r="A72" s="113" t="s">
        <v>137</v>
      </c>
      <c r="B72" s="102">
        <v>44193</v>
      </c>
      <c r="C72" s="26" t="s">
        <v>584</v>
      </c>
      <c r="D72" s="25" t="s">
        <v>1122</v>
      </c>
      <c r="E72" s="14">
        <v>1</v>
      </c>
      <c r="F72" s="13">
        <v>762.71</v>
      </c>
      <c r="G72" s="50">
        <f t="shared" si="9"/>
        <v>762.71</v>
      </c>
      <c r="H72" s="103"/>
      <c r="I72" s="103"/>
      <c r="J72" s="104"/>
      <c r="K72" s="103"/>
      <c r="L72" s="103"/>
      <c r="M72" s="103">
        <f t="shared" si="0"/>
        <v>1</v>
      </c>
      <c r="N72" s="103"/>
      <c r="O72" s="103" t="s">
        <v>946</v>
      </c>
      <c r="P72" s="104">
        <f t="shared" si="10"/>
        <v>762.71</v>
      </c>
    </row>
    <row r="73" spans="1:16" s="8" customFormat="1" ht="15.75" x14ac:dyDescent="0.25">
      <c r="A73" s="113" t="s">
        <v>138</v>
      </c>
      <c r="B73" s="102">
        <v>44193</v>
      </c>
      <c r="C73" s="26" t="s">
        <v>585</v>
      </c>
      <c r="D73" s="25" t="s">
        <v>1122</v>
      </c>
      <c r="E73" s="14">
        <v>0</v>
      </c>
      <c r="F73" s="13">
        <v>338.98</v>
      </c>
      <c r="G73" s="50">
        <f t="shared" si="9"/>
        <v>0</v>
      </c>
      <c r="H73" s="103"/>
      <c r="I73" s="103"/>
      <c r="J73" s="104"/>
      <c r="K73" s="103"/>
      <c r="L73" s="103"/>
      <c r="M73" s="103">
        <f t="shared" ref="M73:M74" si="11">+E73+I73-L73</f>
        <v>0</v>
      </c>
      <c r="N73" s="103"/>
      <c r="O73" s="103" t="s">
        <v>946</v>
      </c>
      <c r="P73" s="104">
        <f t="shared" si="10"/>
        <v>0</v>
      </c>
    </row>
    <row r="74" spans="1:16" s="8" customFormat="1" ht="15.75" x14ac:dyDescent="0.25">
      <c r="A74" s="113" t="s">
        <v>54</v>
      </c>
      <c r="B74" s="102">
        <v>44193</v>
      </c>
      <c r="C74" s="9" t="s">
        <v>586</v>
      </c>
      <c r="D74" s="25" t="s">
        <v>1122</v>
      </c>
      <c r="E74" s="30">
        <v>8</v>
      </c>
      <c r="F74" s="13">
        <v>17.07</v>
      </c>
      <c r="G74" s="50">
        <f t="shared" si="9"/>
        <v>136.56</v>
      </c>
      <c r="H74" s="103"/>
      <c r="I74" s="103"/>
      <c r="J74" s="104"/>
      <c r="K74" s="103"/>
      <c r="L74" s="103"/>
      <c r="M74" s="103">
        <f t="shared" si="11"/>
        <v>8</v>
      </c>
      <c r="N74" s="103"/>
      <c r="O74" s="103" t="s">
        <v>947</v>
      </c>
      <c r="P74" s="104">
        <f t="shared" si="10"/>
        <v>136.56</v>
      </c>
    </row>
    <row r="75" spans="1:16" s="92" customFormat="1" x14ac:dyDescent="0.3">
      <c r="A75" s="113" t="s">
        <v>55</v>
      </c>
      <c r="B75" s="102">
        <v>44193</v>
      </c>
      <c r="C75" s="26" t="s">
        <v>587</v>
      </c>
      <c r="D75" s="25" t="s">
        <v>1122</v>
      </c>
      <c r="E75" s="30">
        <v>129</v>
      </c>
      <c r="F75" s="13">
        <v>134</v>
      </c>
      <c r="G75" s="50">
        <f t="shared" si="9"/>
        <v>17286</v>
      </c>
      <c r="H75" s="103"/>
      <c r="I75" s="103"/>
      <c r="J75" s="104"/>
      <c r="K75" s="103"/>
      <c r="L75" s="103">
        <f>22+2</f>
        <v>24</v>
      </c>
      <c r="M75" s="103">
        <f>+E75+I75-L75</f>
        <v>105</v>
      </c>
      <c r="N75" s="103"/>
      <c r="O75" s="103" t="s">
        <v>945</v>
      </c>
      <c r="P75" s="104">
        <f t="shared" si="10"/>
        <v>14070</v>
      </c>
    </row>
    <row r="76" spans="1:16" s="92" customFormat="1" x14ac:dyDescent="0.3">
      <c r="A76" s="113" t="s">
        <v>56</v>
      </c>
      <c r="B76" s="106" t="s">
        <v>106</v>
      </c>
      <c r="C76" s="26" t="s">
        <v>774</v>
      </c>
      <c r="D76" s="25" t="s">
        <v>1122</v>
      </c>
      <c r="E76" s="30">
        <v>67</v>
      </c>
      <c r="F76" s="51">
        <v>50</v>
      </c>
      <c r="G76" s="50">
        <f t="shared" si="9"/>
        <v>3350</v>
      </c>
      <c r="H76" s="103"/>
      <c r="I76" s="103"/>
      <c r="J76" s="104"/>
      <c r="K76" s="103"/>
      <c r="L76" s="103">
        <f>2+4+1+2+1+2+1+1</f>
        <v>14</v>
      </c>
      <c r="M76" s="103">
        <f t="shared" ref="M76:M82" si="12">+E76+I76-L76</f>
        <v>53</v>
      </c>
      <c r="N76" s="103"/>
      <c r="O76" s="103" t="s">
        <v>945</v>
      </c>
      <c r="P76" s="104">
        <f t="shared" si="10"/>
        <v>2650</v>
      </c>
    </row>
    <row r="77" spans="1:16" s="92" customFormat="1" x14ac:dyDescent="0.3">
      <c r="A77" s="113" t="s">
        <v>100</v>
      </c>
      <c r="B77" s="102">
        <v>44488</v>
      </c>
      <c r="C77" s="26" t="s">
        <v>589</v>
      </c>
      <c r="D77" s="25" t="s">
        <v>1122</v>
      </c>
      <c r="E77" s="30">
        <v>3</v>
      </c>
      <c r="F77" s="13">
        <v>2200</v>
      </c>
      <c r="G77" s="50">
        <f t="shared" si="9"/>
        <v>6600</v>
      </c>
      <c r="H77" s="103"/>
      <c r="I77" s="103"/>
      <c r="J77" s="104"/>
      <c r="K77" s="103"/>
      <c r="L77" s="103"/>
      <c r="M77" s="103">
        <f t="shared" si="12"/>
        <v>3</v>
      </c>
      <c r="N77" s="103"/>
      <c r="O77" s="103" t="s">
        <v>945</v>
      </c>
      <c r="P77" s="104">
        <f>+F77*M77</f>
        <v>6600</v>
      </c>
    </row>
    <row r="78" spans="1:16" s="8" customFormat="1" ht="15.75" x14ac:dyDescent="0.25">
      <c r="A78" s="113" t="s">
        <v>57</v>
      </c>
      <c r="B78" s="102">
        <v>44193</v>
      </c>
      <c r="C78" s="9" t="s">
        <v>590</v>
      </c>
      <c r="D78" s="25" t="s">
        <v>1122</v>
      </c>
      <c r="E78" s="30">
        <v>0</v>
      </c>
      <c r="F78" s="13">
        <v>402.54</v>
      </c>
      <c r="G78" s="50">
        <f t="shared" si="9"/>
        <v>0</v>
      </c>
      <c r="H78" s="103"/>
      <c r="I78" s="103"/>
      <c r="J78" s="104"/>
      <c r="K78" s="103"/>
      <c r="L78" s="103"/>
      <c r="M78" s="103">
        <f t="shared" si="12"/>
        <v>0</v>
      </c>
      <c r="N78" s="103"/>
      <c r="O78" s="103" t="s">
        <v>946</v>
      </c>
      <c r="P78" s="104">
        <f t="shared" si="10"/>
        <v>0</v>
      </c>
    </row>
    <row r="79" spans="1:16" s="8" customFormat="1" ht="15.75" x14ac:dyDescent="0.25">
      <c r="A79" s="113" t="s">
        <v>139</v>
      </c>
      <c r="B79" s="102">
        <v>44193</v>
      </c>
      <c r="C79" s="9" t="s">
        <v>591</v>
      </c>
      <c r="D79" s="25" t="s">
        <v>1122</v>
      </c>
      <c r="E79" s="30">
        <v>11</v>
      </c>
      <c r="F79" s="13">
        <v>37.74</v>
      </c>
      <c r="G79" s="50">
        <f t="shared" si="9"/>
        <v>415.14000000000004</v>
      </c>
      <c r="H79" s="103"/>
      <c r="I79" s="103"/>
      <c r="J79" s="104"/>
      <c r="K79" s="103"/>
      <c r="L79" s="103"/>
      <c r="M79" s="103">
        <f t="shared" si="12"/>
        <v>11</v>
      </c>
      <c r="N79" s="103"/>
      <c r="O79" s="103" t="s">
        <v>946</v>
      </c>
      <c r="P79" s="104">
        <f t="shared" si="10"/>
        <v>415.14000000000004</v>
      </c>
    </row>
    <row r="80" spans="1:16" s="105" customFormat="1" ht="15.75" x14ac:dyDescent="0.25">
      <c r="A80" s="113" t="s">
        <v>140</v>
      </c>
      <c r="B80" s="102">
        <v>44193</v>
      </c>
      <c r="C80" s="9" t="s">
        <v>592</v>
      </c>
      <c r="D80" s="25" t="s">
        <v>1122</v>
      </c>
      <c r="E80" s="30">
        <v>0</v>
      </c>
      <c r="F80" s="13">
        <v>55</v>
      </c>
      <c r="G80" s="50">
        <f t="shared" si="9"/>
        <v>0</v>
      </c>
      <c r="H80" s="107">
        <v>44883</v>
      </c>
      <c r="I80" s="103">
        <v>25</v>
      </c>
      <c r="J80" s="104">
        <v>68.06</v>
      </c>
      <c r="K80" s="103">
        <f>+J80*I80</f>
        <v>1701.5</v>
      </c>
      <c r="L80" s="103">
        <f>1+1</f>
        <v>2</v>
      </c>
      <c r="M80" s="103">
        <f t="shared" si="12"/>
        <v>23</v>
      </c>
      <c r="N80" s="103" t="s">
        <v>1037</v>
      </c>
      <c r="O80" s="103" t="s">
        <v>947</v>
      </c>
      <c r="P80" s="104">
        <f t="shared" si="10"/>
        <v>1265</v>
      </c>
    </row>
    <row r="81" spans="1:16" s="8" customFormat="1" ht="15.75" x14ac:dyDescent="0.25">
      <c r="A81" s="113" t="s">
        <v>141</v>
      </c>
      <c r="B81" s="102">
        <v>44193</v>
      </c>
      <c r="C81" s="9" t="s">
        <v>593</v>
      </c>
      <c r="D81" s="25" t="s">
        <v>1122</v>
      </c>
      <c r="E81" s="30">
        <v>6</v>
      </c>
      <c r="F81" s="13">
        <v>4740</v>
      </c>
      <c r="G81" s="50">
        <f t="shared" si="9"/>
        <v>28440</v>
      </c>
      <c r="H81" s="103"/>
      <c r="I81" s="103"/>
      <c r="J81" s="104"/>
      <c r="K81" s="103"/>
      <c r="L81" s="103"/>
      <c r="M81" s="103">
        <f t="shared" si="12"/>
        <v>6</v>
      </c>
      <c r="N81" s="103"/>
      <c r="O81" s="103" t="s">
        <v>947</v>
      </c>
      <c r="P81" s="104">
        <f>+F81*M81</f>
        <v>28440</v>
      </c>
    </row>
    <row r="82" spans="1:16" s="8" customFormat="1" ht="15.75" x14ac:dyDescent="0.25">
      <c r="A82" s="113" t="s">
        <v>58</v>
      </c>
      <c r="B82" s="102">
        <v>44193</v>
      </c>
      <c r="C82" s="9" t="s">
        <v>594</v>
      </c>
      <c r="D82" s="25" t="s">
        <v>1122</v>
      </c>
      <c r="E82" s="30">
        <v>1</v>
      </c>
      <c r="F82" s="13">
        <v>2535</v>
      </c>
      <c r="G82" s="50">
        <f t="shared" si="9"/>
        <v>2535</v>
      </c>
      <c r="H82" s="103"/>
      <c r="I82" s="103"/>
      <c r="J82" s="104"/>
      <c r="K82" s="103"/>
      <c r="L82" s="103">
        <v>1</v>
      </c>
      <c r="M82" s="103">
        <f t="shared" si="12"/>
        <v>0</v>
      </c>
      <c r="N82" s="103"/>
      <c r="O82" s="103" t="s">
        <v>947</v>
      </c>
      <c r="P82" s="104">
        <f t="shared" si="10"/>
        <v>0</v>
      </c>
    </row>
    <row r="83" spans="1:16" s="8" customFormat="1" ht="15.75" x14ac:dyDescent="0.25">
      <c r="A83" s="113" t="s">
        <v>59</v>
      </c>
      <c r="B83" s="102">
        <v>44193</v>
      </c>
      <c r="C83" s="9" t="s">
        <v>595</v>
      </c>
      <c r="D83" s="25" t="s">
        <v>1122</v>
      </c>
      <c r="E83" s="30">
        <v>0</v>
      </c>
      <c r="F83" s="13">
        <v>211.86</v>
      </c>
      <c r="G83" s="50">
        <f t="shared" si="9"/>
        <v>0</v>
      </c>
      <c r="H83" s="103"/>
      <c r="I83" s="103"/>
      <c r="J83" s="104"/>
      <c r="K83" s="103"/>
      <c r="L83" s="103"/>
      <c r="M83" s="103">
        <f>+E83+I83-L83</f>
        <v>0</v>
      </c>
      <c r="N83" s="103"/>
      <c r="O83" s="103" t="s">
        <v>947</v>
      </c>
      <c r="P83" s="104">
        <f t="shared" si="10"/>
        <v>0</v>
      </c>
    </row>
    <row r="84" spans="1:16" s="8" customFormat="1" ht="15.75" x14ac:dyDescent="0.25">
      <c r="A84" s="113" t="s">
        <v>60</v>
      </c>
      <c r="B84" s="102">
        <v>44193</v>
      </c>
      <c r="C84" s="9" t="s">
        <v>596</v>
      </c>
      <c r="D84" s="25" t="s">
        <v>1122</v>
      </c>
      <c r="E84" s="30">
        <v>0</v>
      </c>
      <c r="F84" s="13">
        <v>70</v>
      </c>
      <c r="G84" s="50">
        <f t="shared" si="9"/>
        <v>0</v>
      </c>
      <c r="H84" s="103"/>
      <c r="I84" s="103"/>
      <c r="J84" s="104"/>
      <c r="K84" s="103"/>
      <c r="L84" s="103"/>
      <c r="M84" s="103">
        <f t="shared" ref="M84:M96" si="13">+E84+I84-L84</f>
        <v>0</v>
      </c>
      <c r="N84" s="103"/>
      <c r="O84" s="103" t="s">
        <v>947</v>
      </c>
      <c r="P84" s="104">
        <f t="shared" si="10"/>
        <v>0</v>
      </c>
    </row>
    <row r="85" spans="1:16" s="8" customFormat="1" ht="15.75" x14ac:dyDescent="0.25">
      <c r="A85" s="113" t="s">
        <v>61</v>
      </c>
      <c r="B85" s="102">
        <v>44193</v>
      </c>
      <c r="C85" s="26" t="s">
        <v>597</v>
      </c>
      <c r="D85" s="25" t="s">
        <v>1122</v>
      </c>
      <c r="E85" s="30">
        <v>2</v>
      </c>
      <c r="F85" s="13">
        <v>148.31</v>
      </c>
      <c r="G85" s="50">
        <f t="shared" si="9"/>
        <v>296.62</v>
      </c>
      <c r="H85" s="103"/>
      <c r="I85" s="103"/>
      <c r="J85" s="104"/>
      <c r="K85" s="103"/>
      <c r="L85" s="103"/>
      <c r="M85" s="103">
        <f t="shared" si="13"/>
        <v>2</v>
      </c>
      <c r="N85" s="103"/>
      <c r="O85" s="103" t="s">
        <v>947</v>
      </c>
      <c r="P85" s="104">
        <f t="shared" si="10"/>
        <v>296.62</v>
      </c>
    </row>
    <row r="86" spans="1:16" s="8" customFormat="1" ht="15.75" x14ac:dyDescent="0.25">
      <c r="A86" s="113" t="s">
        <v>62</v>
      </c>
      <c r="B86" s="102">
        <v>44547</v>
      </c>
      <c r="C86" s="9" t="s">
        <v>598</v>
      </c>
      <c r="D86" s="25" t="s">
        <v>1122</v>
      </c>
      <c r="E86" s="30">
        <v>24</v>
      </c>
      <c r="F86" s="13">
        <v>200</v>
      </c>
      <c r="G86" s="50">
        <f t="shared" si="9"/>
        <v>4800</v>
      </c>
      <c r="H86" s="103"/>
      <c r="I86" s="103"/>
      <c r="J86" s="104"/>
      <c r="K86" s="103"/>
      <c r="L86" s="103"/>
      <c r="M86" s="103">
        <f t="shared" si="13"/>
        <v>24</v>
      </c>
      <c r="N86" s="103"/>
      <c r="O86" s="103" t="s">
        <v>947</v>
      </c>
      <c r="P86" s="104">
        <f t="shared" si="10"/>
        <v>4800</v>
      </c>
    </row>
    <row r="87" spans="1:16" s="105" customFormat="1" ht="15.75" x14ac:dyDescent="0.25">
      <c r="A87" s="113" t="s">
        <v>63</v>
      </c>
      <c r="B87" s="102">
        <v>44193</v>
      </c>
      <c r="C87" s="9" t="s">
        <v>599</v>
      </c>
      <c r="D87" s="25" t="s">
        <v>1122</v>
      </c>
      <c r="E87" s="30">
        <v>0</v>
      </c>
      <c r="F87" s="13">
        <v>65</v>
      </c>
      <c r="G87" s="50">
        <f t="shared" si="9"/>
        <v>0</v>
      </c>
      <c r="H87" s="107">
        <v>44852</v>
      </c>
      <c r="I87" s="103">
        <v>10</v>
      </c>
      <c r="J87" s="104">
        <v>46</v>
      </c>
      <c r="K87" s="108">
        <f>+J87*I87</f>
        <v>460</v>
      </c>
      <c r="L87" s="103"/>
      <c r="M87" s="103">
        <f t="shared" si="13"/>
        <v>10</v>
      </c>
      <c r="N87" s="103" t="s">
        <v>1037</v>
      </c>
      <c r="O87" s="103" t="s">
        <v>947</v>
      </c>
      <c r="P87" s="104">
        <f t="shared" si="10"/>
        <v>650</v>
      </c>
    </row>
    <row r="88" spans="1:16" s="92" customFormat="1" x14ac:dyDescent="0.3">
      <c r="A88" s="113" t="s">
        <v>64</v>
      </c>
      <c r="B88" s="102">
        <v>44193</v>
      </c>
      <c r="C88" s="25" t="s">
        <v>850</v>
      </c>
      <c r="D88" s="25" t="s">
        <v>1122</v>
      </c>
      <c r="E88" s="38">
        <v>1</v>
      </c>
      <c r="F88" s="13"/>
      <c r="G88" s="50"/>
      <c r="H88" s="103"/>
      <c r="I88" s="103"/>
      <c r="J88" s="104"/>
      <c r="K88" s="103"/>
      <c r="L88" s="103"/>
      <c r="M88" s="103">
        <f t="shared" si="13"/>
        <v>1</v>
      </c>
      <c r="N88" s="103"/>
      <c r="O88" s="103" t="s">
        <v>945</v>
      </c>
      <c r="P88" s="104">
        <f t="shared" si="10"/>
        <v>0</v>
      </c>
    </row>
    <row r="89" spans="1:16" s="105" customFormat="1" ht="15.75" x14ac:dyDescent="0.25">
      <c r="A89" s="113" t="s">
        <v>65</v>
      </c>
      <c r="B89" s="102">
        <v>44193</v>
      </c>
      <c r="C89" s="9" t="s">
        <v>851</v>
      </c>
      <c r="D89" s="25" t="s">
        <v>1122</v>
      </c>
      <c r="E89" s="30">
        <v>6</v>
      </c>
      <c r="F89" s="13">
        <v>9.5833333333333339</v>
      </c>
      <c r="G89" s="50">
        <f>E89*F89</f>
        <v>57.5</v>
      </c>
      <c r="H89" s="107">
        <v>44852</v>
      </c>
      <c r="I89" s="103">
        <f>10*12</f>
        <v>120</v>
      </c>
      <c r="J89" s="104">
        <v>7.09</v>
      </c>
      <c r="K89" s="103">
        <f>+J89*I89</f>
        <v>850.8</v>
      </c>
      <c r="L89" s="103"/>
      <c r="M89" s="103">
        <f t="shared" si="13"/>
        <v>126</v>
      </c>
      <c r="N89" s="103" t="s">
        <v>1037</v>
      </c>
      <c r="O89" s="108" t="s">
        <v>947</v>
      </c>
      <c r="P89" s="104">
        <f>+M89*J89</f>
        <v>893.34</v>
      </c>
    </row>
    <row r="90" spans="1:16" s="8" customFormat="1" ht="15.75" x14ac:dyDescent="0.25">
      <c r="A90" s="113" t="s">
        <v>66</v>
      </c>
      <c r="B90" s="102">
        <v>44547</v>
      </c>
      <c r="C90" s="9" t="s">
        <v>775</v>
      </c>
      <c r="D90" s="25" t="s">
        <v>1122</v>
      </c>
      <c r="E90" s="30">
        <v>10</v>
      </c>
      <c r="F90" s="13">
        <v>155</v>
      </c>
      <c r="G90" s="50">
        <f>E90*F90</f>
        <v>1550</v>
      </c>
      <c r="H90" s="103"/>
      <c r="I90" s="103"/>
      <c r="J90" s="104"/>
      <c r="K90" s="103"/>
      <c r="L90" s="103"/>
      <c r="M90" s="103">
        <f t="shared" si="13"/>
        <v>10</v>
      </c>
      <c r="N90" s="103"/>
      <c r="O90" s="103" t="s">
        <v>947</v>
      </c>
      <c r="P90" s="104">
        <f t="shared" si="10"/>
        <v>1550</v>
      </c>
    </row>
    <row r="91" spans="1:16" s="92" customFormat="1" x14ac:dyDescent="0.3">
      <c r="A91" s="113" t="s">
        <v>68</v>
      </c>
      <c r="B91" s="102">
        <v>44453</v>
      </c>
      <c r="C91" s="25" t="s">
        <v>603</v>
      </c>
      <c r="D91" s="25" t="s">
        <v>1122</v>
      </c>
      <c r="E91" s="14">
        <v>4</v>
      </c>
      <c r="F91" s="13">
        <v>7500</v>
      </c>
      <c r="G91" s="50">
        <f>E91*F91</f>
        <v>30000</v>
      </c>
      <c r="H91" s="103"/>
      <c r="I91" s="103"/>
      <c r="J91" s="104"/>
      <c r="K91" s="103"/>
      <c r="L91" s="103">
        <v>1</v>
      </c>
      <c r="M91" s="103">
        <f t="shared" si="13"/>
        <v>3</v>
      </c>
      <c r="N91" s="103"/>
      <c r="O91" s="103" t="s">
        <v>945</v>
      </c>
      <c r="P91" s="104">
        <f>+F91*M91</f>
        <v>22500</v>
      </c>
    </row>
    <row r="92" spans="1:16" s="92" customFormat="1" x14ac:dyDescent="0.3">
      <c r="A92" s="113" t="s">
        <v>67</v>
      </c>
      <c r="B92" s="102">
        <v>44659</v>
      </c>
      <c r="C92" s="25" t="s">
        <v>776</v>
      </c>
      <c r="D92" s="25" t="s">
        <v>1122</v>
      </c>
      <c r="E92" s="14">
        <v>108</v>
      </c>
      <c r="F92" s="13">
        <v>156.66667000000001</v>
      </c>
      <c r="G92" s="50">
        <f>E92*F92</f>
        <v>16920.000360000002</v>
      </c>
      <c r="H92" s="103"/>
      <c r="I92" s="103"/>
      <c r="J92" s="104"/>
      <c r="K92" s="103"/>
      <c r="L92" s="103">
        <v>44</v>
      </c>
      <c r="M92" s="103">
        <f t="shared" si="13"/>
        <v>64</v>
      </c>
      <c r="N92" s="103"/>
      <c r="O92" s="103" t="s">
        <v>945</v>
      </c>
      <c r="P92" s="104">
        <f t="shared" si="10"/>
        <v>10026.666880000001</v>
      </c>
    </row>
    <row r="93" spans="1:16" s="8" customFormat="1" ht="15.75" x14ac:dyDescent="0.25">
      <c r="A93" s="113" t="s">
        <v>69</v>
      </c>
      <c r="B93" s="102">
        <v>44193</v>
      </c>
      <c r="C93" s="25" t="s">
        <v>844</v>
      </c>
      <c r="D93" s="25" t="s">
        <v>1122</v>
      </c>
      <c r="E93" s="14">
        <v>20</v>
      </c>
      <c r="F93" s="13">
        <v>30.5</v>
      </c>
      <c r="G93" s="50">
        <f>E93*F93</f>
        <v>610</v>
      </c>
      <c r="H93" s="103"/>
      <c r="I93" s="103"/>
      <c r="J93" s="104"/>
      <c r="K93" s="103"/>
      <c r="L93" s="103"/>
      <c r="M93" s="103">
        <f t="shared" si="13"/>
        <v>20</v>
      </c>
      <c r="N93" s="103"/>
      <c r="O93" s="103" t="s">
        <v>946</v>
      </c>
      <c r="P93" s="104">
        <f t="shared" si="10"/>
        <v>610</v>
      </c>
    </row>
    <row r="94" spans="1:16" s="8" customFormat="1" ht="15.75" x14ac:dyDescent="0.25">
      <c r="A94" s="113" t="s">
        <v>103</v>
      </c>
      <c r="B94" s="102">
        <v>44193</v>
      </c>
      <c r="C94" s="25" t="s">
        <v>789</v>
      </c>
      <c r="D94" s="25" t="s">
        <v>1122</v>
      </c>
      <c r="E94" s="14">
        <f>21+8+14</f>
        <v>43</v>
      </c>
      <c r="F94" s="13">
        <v>11.24</v>
      </c>
      <c r="G94" s="50">
        <f t="shared" ref="G94:G132" si="14">E94*F94</f>
        <v>483.32</v>
      </c>
      <c r="H94" s="103"/>
      <c r="I94" s="103"/>
      <c r="J94" s="104"/>
      <c r="K94" s="103"/>
      <c r="L94" s="103">
        <v>1</v>
      </c>
      <c r="M94" s="103">
        <f t="shared" si="13"/>
        <v>42</v>
      </c>
      <c r="N94" s="103"/>
      <c r="O94" s="103" t="s">
        <v>946</v>
      </c>
      <c r="P94" s="104">
        <f t="shared" si="10"/>
        <v>472.08</v>
      </c>
    </row>
    <row r="95" spans="1:16" s="8" customFormat="1" ht="15.75" x14ac:dyDescent="0.25">
      <c r="A95" s="113" t="s">
        <v>104</v>
      </c>
      <c r="B95" s="102">
        <v>44193</v>
      </c>
      <c r="C95" s="25" t="s">
        <v>788</v>
      </c>
      <c r="D95" s="25" t="s">
        <v>1122</v>
      </c>
      <c r="E95" s="14">
        <f>16+6+7+2</f>
        <v>31</v>
      </c>
      <c r="F95" s="13">
        <v>11.24</v>
      </c>
      <c r="G95" s="50">
        <f t="shared" si="14"/>
        <v>348.44</v>
      </c>
      <c r="H95" s="103"/>
      <c r="I95" s="103"/>
      <c r="J95" s="104"/>
      <c r="K95" s="103"/>
      <c r="L95" s="103"/>
      <c r="M95" s="103">
        <f t="shared" si="13"/>
        <v>31</v>
      </c>
      <c r="N95" s="103"/>
      <c r="O95" s="103" t="s">
        <v>946</v>
      </c>
      <c r="P95" s="104">
        <f t="shared" si="10"/>
        <v>348.44</v>
      </c>
    </row>
    <row r="96" spans="1:16" s="8" customFormat="1" ht="15.75" x14ac:dyDescent="0.25">
      <c r="A96" s="113" t="s">
        <v>142</v>
      </c>
      <c r="B96" s="102">
        <v>44193</v>
      </c>
      <c r="C96" s="25" t="s">
        <v>604</v>
      </c>
      <c r="D96" s="25" t="s">
        <v>1122</v>
      </c>
      <c r="E96" s="14">
        <v>28</v>
      </c>
      <c r="F96" s="13">
        <v>45</v>
      </c>
      <c r="G96" s="50">
        <f t="shared" si="14"/>
        <v>1260</v>
      </c>
      <c r="H96" s="103"/>
      <c r="I96" s="103"/>
      <c r="J96" s="104"/>
      <c r="K96" s="103"/>
      <c r="L96" s="103"/>
      <c r="M96" s="103">
        <f t="shared" si="13"/>
        <v>28</v>
      </c>
      <c r="N96" s="103"/>
      <c r="O96" s="103" t="s">
        <v>946</v>
      </c>
      <c r="P96" s="104">
        <f t="shared" si="10"/>
        <v>1260</v>
      </c>
    </row>
    <row r="97" spans="1:16" s="8" customFormat="1" ht="15.75" x14ac:dyDescent="0.25">
      <c r="A97" s="113" t="s">
        <v>70</v>
      </c>
      <c r="B97" s="102">
        <v>44193</v>
      </c>
      <c r="C97" s="25" t="s">
        <v>605</v>
      </c>
      <c r="D97" s="25" t="s">
        <v>1122</v>
      </c>
      <c r="E97" s="14">
        <v>4</v>
      </c>
      <c r="F97" s="13">
        <v>40</v>
      </c>
      <c r="G97" s="50">
        <f t="shared" si="14"/>
        <v>160</v>
      </c>
      <c r="H97" s="103"/>
      <c r="I97" s="103"/>
      <c r="J97" s="104"/>
      <c r="K97" s="103"/>
      <c r="L97" s="103"/>
      <c r="M97" s="103">
        <f>+E97+I97-L97</f>
        <v>4</v>
      </c>
      <c r="N97" s="103"/>
      <c r="O97" s="103" t="s">
        <v>946</v>
      </c>
      <c r="P97" s="104">
        <f t="shared" si="10"/>
        <v>160</v>
      </c>
    </row>
    <row r="98" spans="1:16" s="8" customFormat="1" ht="15.75" x14ac:dyDescent="0.25">
      <c r="A98" s="113" t="s">
        <v>71</v>
      </c>
      <c r="B98" s="102">
        <v>44193</v>
      </c>
      <c r="C98" s="25" t="s">
        <v>606</v>
      </c>
      <c r="D98" s="25" t="s">
        <v>1122</v>
      </c>
      <c r="E98" s="14">
        <v>39</v>
      </c>
      <c r="F98" s="13">
        <v>45</v>
      </c>
      <c r="G98" s="50">
        <f t="shared" si="14"/>
        <v>1755</v>
      </c>
      <c r="H98" s="103"/>
      <c r="I98" s="103"/>
      <c r="J98" s="104"/>
      <c r="K98" s="103"/>
      <c r="L98" s="103"/>
      <c r="M98" s="103">
        <f t="shared" ref="M98:M109" si="15">+E98+I98-L98</f>
        <v>39</v>
      </c>
      <c r="N98" s="103"/>
      <c r="O98" s="103" t="s">
        <v>946</v>
      </c>
      <c r="P98" s="104">
        <f t="shared" si="10"/>
        <v>1755</v>
      </c>
    </row>
    <row r="99" spans="1:16" s="8" customFormat="1" ht="15.75" x14ac:dyDescent="0.25">
      <c r="A99" s="113" t="s">
        <v>72</v>
      </c>
      <c r="B99" s="102">
        <v>44193</v>
      </c>
      <c r="C99" s="25" t="s">
        <v>846</v>
      </c>
      <c r="D99" s="25" t="s">
        <v>1122</v>
      </c>
      <c r="E99" s="14">
        <v>1</v>
      </c>
      <c r="F99" s="13">
        <v>47</v>
      </c>
      <c r="G99" s="50">
        <f t="shared" si="14"/>
        <v>47</v>
      </c>
      <c r="H99" s="103"/>
      <c r="I99" s="103"/>
      <c r="J99" s="104"/>
      <c r="K99" s="103"/>
      <c r="L99" s="103"/>
      <c r="M99" s="103">
        <f t="shared" si="15"/>
        <v>1</v>
      </c>
      <c r="N99" s="103"/>
      <c r="O99" s="103" t="s">
        <v>946</v>
      </c>
      <c r="P99" s="104">
        <f t="shared" si="10"/>
        <v>47</v>
      </c>
    </row>
    <row r="100" spans="1:16" s="8" customFormat="1" ht="15.75" x14ac:dyDescent="0.25">
      <c r="A100" s="113" t="s">
        <v>73</v>
      </c>
      <c r="B100" s="102">
        <v>44193</v>
      </c>
      <c r="C100" s="25" t="s">
        <v>607</v>
      </c>
      <c r="D100" s="25" t="s">
        <v>1122</v>
      </c>
      <c r="E100" s="14">
        <v>1</v>
      </c>
      <c r="F100" s="13">
        <v>40</v>
      </c>
      <c r="G100" s="50">
        <f t="shared" si="14"/>
        <v>40</v>
      </c>
      <c r="H100" s="103"/>
      <c r="I100" s="103"/>
      <c r="J100" s="104"/>
      <c r="K100" s="103"/>
      <c r="L100" s="103"/>
      <c r="M100" s="103">
        <f t="shared" si="15"/>
        <v>1</v>
      </c>
      <c r="N100" s="103"/>
      <c r="O100" s="103" t="s">
        <v>946</v>
      </c>
      <c r="P100" s="104">
        <f t="shared" si="10"/>
        <v>40</v>
      </c>
    </row>
    <row r="101" spans="1:16" s="8" customFormat="1" ht="15.75" x14ac:dyDescent="0.25">
      <c r="A101" s="113" t="s">
        <v>74</v>
      </c>
      <c r="B101" s="102">
        <v>44193</v>
      </c>
      <c r="C101" s="25" t="s">
        <v>608</v>
      </c>
      <c r="D101" s="25" t="s">
        <v>1122</v>
      </c>
      <c r="E101" s="32">
        <v>2</v>
      </c>
      <c r="F101" s="13">
        <v>12.21</v>
      </c>
      <c r="G101" s="50">
        <f t="shared" si="14"/>
        <v>24.42</v>
      </c>
      <c r="H101" s="103"/>
      <c r="I101" s="103"/>
      <c r="J101" s="104"/>
      <c r="K101" s="103"/>
      <c r="L101" s="103"/>
      <c r="M101" s="103">
        <f t="shared" si="15"/>
        <v>2</v>
      </c>
      <c r="N101" s="103"/>
      <c r="O101" s="103" t="s">
        <v>946</v>
      </c>
      <c r="P101" s="104">
        <f t="shared" si="10"/>
        <v>24.42</v>
      </c>
    </row>
    <row r="102" spans="1:16" s="8" customFormat="1" ht="15.75" x14ac:dyDescent="0.25">
      <c r="A102" s="113" t="s">
        <v>101</v>
      </c>
      <c r="B102" s="102">
        <v>44193</v>
      </c>
      <c r="C102" s="25" t="s">
        <v>609</v>
      </c>
      <c r="D102" s="25" t="s">
        <v>1122</v>
      </c>
      <c r="E102" s="32">
        <v>0</v>
      </c>
      <c r="F102" s="13">
        <v>4</v>
      </c>
      <c r="G102" s="50">
        <f t="shared" si="14"/>
        <v>0</v>
      </c>
      <c r="H102" s="103"/>
      <c r="I102" s="103"/>
      <c r="J102" s="104"/>
      <c r="K102" s="103"/>
      <c r="L102" s="103"/>
      <c r="M102" s="103">
        <f t="shared" si="15"/>
        <v>0</v>
      </c>
      <c r="N102" s="103"/>
      <c r="O102" s="103" t="s">
        <v>946</v>
      </c>
      <c r="P102" s="104">
        <f>+F102*M102</f>
        <v>0</v>
      </c>
    </row>
    <row r="103" spans="1:16" s="8" customFormat="1" ht="15.75" x14ac:dyDescent="0.25">
      <c r="A103" s="113" t="s">
        <v>75</v>
      </c>
      <c r="B103" s="102">
        <v>44193</v>
      </c>
      <c r="C103" s="25" t="s">
        <v>610</v>
      </c>
      <c r="D103" s="25" t="s">
        <v>1122</v>
      </c>
      <c r="E103" s="32">
        <f>13+7+29</f>
        <v>49</v>
      </c>
      <c r="F103" s="13">
        <v>5.05</v>
      </c>
      <c r="G103" s="50">
        <f t="shared" si="14"/>
        <v>247.45</v>
      </c>
      <c r="H103" s="103"/>
      <c r="I103" s="103"/>
      <c r="J103" s="104"/>
      <c r="K103" s="103"/>
      <c r="L103" s="103"/>
      <c r="M103" s="103">
        <f t="shared" si="15"/>
        <v>49</v>
      </c>
      <c r="N103" s="103"/>
      <c r="O103" s="103" t="s">
        <v>946</v>
      </c>
      <c r="P103" s="104">
        <f>+F103*M103</f>
        <v>247.45</v>
      </c>
    </row>
    <row r="104" spans="1:16" s="8" customFormat="1" ht="15.75" x14ac:dyDescent="0.25">
      <c r="A104" s="113" t="s">
        <v>102</v>
      </c>
      <c r="B104" s="102">
        <v>44193</v>
      </c>
      <c r="C104" s="25" t="s">
        <v>611</v>
      </c>
      <c r="D104" s="25" t="s">
        <v>1122</v>
      </c>
      <c r="E104" s="32">
        <v>0</v>
      </c>
      <c r="F104" s="13">
        <v>42.95</v>
      </c>
      <c r="G104" s="50">
        <f t="shared" si="14"/>
        <v>0</v>
      </c>
      <c r="H104" s="103"/>
      <c r="I104" s="103"/>
      <c r="J104" s="104"/>
      <c r="K104" s="103"/>
      <c r="L104" s="103"/>
      <c r="M104" s="103">
        <f t="shared" si="15"/>
        <v>0</v>
      </c>
      <c r="N104" s="103"/>
      <c r="O104" s="103" t="s">
        <v>946</v>
      </c>
      <c r="P104" s="104">
        <f t="shared" ref="P104:P110" si="16">+F104*M104</f>
        <v>0</v>
      </c>
    </row>
    <row r="105" spans="1:16" s="8" customFormat="1" ht="15.75" x14ac:dyDescent="0.25">
      <c r="A105" s="113" t="s">
        <v>143</v>
      </c>
      <c r="B105" s="102">
        <v>44193</v>
      </c>
      <c r="C105" s="25" t="s">
        <v>612</v>
      </c>
      <c r="D105" s="25" t="s">
        <v>1122</v>
      </c>
      <c r="E105" s="30">
        <v>11</v>
      </c>
      <c r="F105" s="13">
        <v>19.95</v>
      </c>
      <c r="G105" s="50">
        <f t="shared" si="14"/>
        <v>219.45</v>
      </c>
      <c r="H105" s="103"/>
      <c r="I105" s="103"/>
      <c r="J105" s="104"/>
      <c r="K105" s="103"/>
      <c r="L105" s="103"/>
      <c r="M105" s="103">
        <f t="shared" si="15"/>
        <v>11</v>
      </c>
      <c r="N105" s="103"/>
      <c r="O105" s="103" t="s">
        <v>946</v>
      </c>
      <c r="P105" s="104">
        <f t="shared" si="16"/>
        <v>219.45</v>
      </c>
    </row>
    <row r="106" spans="1:16" s="8" customFormat="1" ht="15.75" x14ac:dyDescent="0.25">
      <c r="A106" s="113" t="s">
        <v>334</v>
      </c>
      <c r="B106" s="102">
        <v>44193</v>
      </c>
      <c r="C106" s="25" t="s">
        <v>613</v>
      </c>
      <c r="D106" s="25" t="s">
        <v>1122</v>
      </c>
      <c r="E106" s="30">
        <f>6+7</f>
        <v>13</v>
      </c>
      <c r="F106" s="13">
        <v>5.78</v>
      </c>
      <c r="G106" s="50">
        <f t="shared" si="14"/>
        <v>75.14</v>
      </c>
      <c r="H106" s="103"/>
      <c r="I106" s="103"/>
      <c r="J106" s="104"/>
      <c r="K106" s="103"/>
      <c r="L106" s="103"/>
      <c r="M106" s="103">
        <f t="shared" si="15"/>
        <v>13</v>
      </c>
      <c r="N106" s="103"/>
      <c r="O106" s="103" t="s">
        <v>946</v>
      </c>
      <c r="P106" s="104">
        <f t="shared" si="16"/>
        <v>75.14</v>
      </c>
    </row>
    <row r="107" spans="1:16" s="8" customFormat="1" ht="15.75" x14ac:dyDescent="0.25">
      <c r="A107" s="113" t="s">
        <v>335</v>
      </c>
      <c r="B107" s="102">
        <v>44193</v>
      </c>
      <c r="C107" s="25" t="s">
        <v>849</v>
      </c>
      <c r="D107" s="25" t="s">
        <v>1122</v>
      </c>
      <c r="E107" s="30">
        <v>1</v>
      </c>
      <c r="F107" s="13"/>
      <c r="G107" s="50">
        <f t="shared" si="14"/>
        <v>0</v>
      </c>
      <c r="H107" s="103"/>
      <c r="I107" s="103"/>
      <c r="J107" s="104"/>
      <c r="K107" s="103"/>
      <c r="L107" s="103"/>
      <c r="M107" s="103">
        <f t="shared" si="15"/>
        <v>1</v>
      </c>
      <c r="N107" s="103"/>
      <c r="O107" s="103" t="s">
        <v>946</v>
      </c>
      <c r="P107" s="104">
        <f t="shared" si="16"/>
        <v>0</v>
      </c>
    </row>
    <row r="108" spans="1:16" s="8" customFormat="1" ht="15.75" x14ac:dyDescent="0.25">
      <c r="A108" s="113" t="s">
        <v>336</v>
      </c>
      <c r="B108" s="102">
        <v>44193</v>
      </c>
      <c r="C108" s="26" t="s">
        <v>821</v>
      </c>
      <c r="D108" s="25" t="s">
        <v>1122</v>
      </c>
      <c r="E108" s="30">
        <v>9</v>
      </c>
      <c r="F108" s="13">
        <v>77.540000000000006</v>
      </c>
      <c r="G108" s="50">
        <f t="shared" si="14"/>
        <v>697.86</v>
      </c>
      <c r="H108" s="103"/>
      <c r="I108" s="103"/>
      <c r="J108" s="104"/>
      <c r="K108" s="103"/>
      <c r="L108" s="103"/>
      <c r="M108" s="103">
        <f t="shared" si="15"/>
        <v>9</v>
      </c>
      <c r="N108" s="103"/>
      <c r="O108" s="103" t="s">
        <v>946</v>
      </c>
      <c r="P108" s="104">
        <f t="shared" si="16"/>
        <v>697.86</v>
      </c>
    </row>
    <row r="109" spans="1:16" s="8" customFormat="1" ht="15.75" x14ac:dyDescent="0.25">
      <c r="A109" s="113" t="s">
        <v>337</v>
      </c>
      <c r="B109" s="102">
        <v>44193</v>
      </c>
      <c r="C109" s="26" t="s">
        <v>820</v>
      </c>
      <c r="D109" s="25" t="s">
        <v>1122</v>
      </c>
      <c r="E109" s="30">
        <v>21</v>
      </c>
      <c r="F109" s="13">
        <v>719.2</v>
      </c>
      <c r="G109" s="50">
        <f t="shared" si="14"/>
        <v>15103.2</v>
      </c>
      <c r="H109" s="103"/>
      <c r="I109" s="103"/>
      <c r="J109" s="104"/>
      <c r="K109" s="103"/>
      <c r="L109" s="103"/>
      <c r="M109" s="103">
        <f t="shared" si="15"/>
        <v>21</v>
      </c>
      <c r="N109" s="103"/>
      <c r="O109" s="103" t="s">
        <v>946</v>
      </c>
      <c r="P109" s="104">
        <f t="shared" si="16"/>
        <v>15103.2</v>
      </c>
    </row>
    <row r="110" spans="1:16" s="8" customFormat="1" ht="15.75" x14ac:dyDescent="0.25">
      <c r="A110" s="113" t="s">
        <v>338</v>
      </c>
      <c r="B110" s="102">
        <v>44193</v>
      </c>
      <c r="C110" s="26" t="s">
        <v>823</v>
      </c>
      <c r="D110" s="25" t="s">
        <v>1122</v>
      </c>
      <c r="E110" s="30">
        <v>3</v>
      </c>
      <c r="F110" s="13">
        <v>51</v>
      </c>
      <c r="G110" s="50">
        <f t="shared" si="14"/>
        <v>153</v>
      </c>
      <c r="H110" s="103"/>
      <c r="I110" s="103"/>
      <c r="J110" s="104"/>
      <c r="K110" s="103"/>
      <c r="L110" s="103"/>
      <c r="M110" s="103">
        <f>+E110+I110-L110</f>
        <v>3</v>
      </c>
      <c r="N110" s="103"/>
      <c r="O110" s="103" t="s">
        <v>946</v>
      </c>
      <c r="P110" s="104">
        <f t="shared" si="16"/>
        <v>153</v>
      </c>
    </row>
    <row r="111" spans="1:16" s="8" customFormat="1" ht="15.75" x14ac:dyDescent="0.25">
      <c r="A111" s="113" t="s">
        <v>339</v>
      </c>
      <c r="B111" s="102">
        <v>44193</v>
      </c>
      <c r="C111" s="26" t="s">
        <v>822</v>
      </c>
      <c r="D111" s="25" t="s">
        <v>1122</v>
      </c>
      <c r="E111" s="30">
        <v>12</v>
      </c>
      <c r="F111" s="13">
        <v>66.11</v>
      </c>
      <c r="G111" s="50">
        <f t="shared" si="14"/>
        <v>793.31999999999994</v>
      </c>
      <c r="H111" s="103"/>
      <c r="I111" s="103"/>
      <c r="J111" s="104"/>
      <c r="K111" s="103"/>
      <c r="L111" s="103"/>
      <c r="M111" s="103">
        <f t="shared" ref="M111:M175" si="17">+E111+I111-L111</f>
        <v>12</v>
      </c>
      <c r="N111" s="103"/>
      <c r="O111" s="103" t="s">
        <v>946</v>
      </c>
      <c r="P111" s="104">
        <f>+F111*M111</f>
        <v>793.31999999999994</v>
      </c>
    </row>
    <row r="112" spans="1:16" s="8" customFormat="1" ht="15.75" x14ac:dyDescent="0.25">
      <c r="A112" s="113" t="s">
        <v>340</v>
      </c>
      <c r="B112" s="102">
        <v>44193</v>
      </c>
      <c r="C112" s="26" t="s">
        <v>802</v>
      </c>
      <c r="D112" s="25" t="s">
        <v>1122</v>
      </c>
      <c r="E112" s="30">
        <v>2</v>
      </c>
      <c r="F112" s="13">
        <v>70</v>
      </c>
      <c r="G112" s="50">
        <f t="shared" si="14"/>
        <v>140</v>
      </c>
      <c r="H112" s="103"/>
      <c r="I112" s="103"/>
      <c r="J112" s="104"/>
      <c r="K112" s="103"/>
      <c r="L112" s="103"/>
      <c r="M112" s="103">
        <f t="shared" si="17"/>
        <v>2</v>
      </c>
      <c r="N112" s="103"/>
      <c r="O112" s="103" t="s">
        <v>946</v>
      </c>
      <c r="P112" s="104">
        <f t="shared" ref="P112:P120" si="18">+F112*M112</f>
        <v>140</v>
      </c>
    </row>
    <row r="113" spans="1:16" s="8" customFormat="1" ht="15.75" x14ac:dyDescent="0.25">
      <c r="A113" s="113" t="s">
        <v>341</v>
      </c>
      <c r="B113" s="102">
        <v>44193</v>
      </c>
      <c r="C113" s="26" t="s">
        <v>804</v>
      </c>
      <c r="D113" s="25" t="s">
        <v>1122</v>
      </c>
      <c r="E113" s="30">
        <v>6</v>
      </c>
      <c r="F113" s="13">
        <v>450</v>
      </c>
      <c r="G113" s="50">
        <f t="shared" si="14"/>
        <v>2700</v>
      </c>
      <c r="H113" s="103"/>
      <c r="I113" s="103"/>
      <c r="J113" s="104"/>
      <c r="K113" s="103"/>
      <c r="L113" s="103">
        <v>1</v>
      </c>
      <c r="M113" s="103">
        <f t="shared" si="17"/>
        <v>5</v>
      </c>
      <c r="N113" s="103"/>
      <c r="O113" s="103" t="s">
        <v>946</v>
      </c>
      <c r="P113" s="104">
        <f>+F113*M113</f>
        <v>2250</v>
      </c>
    </row>
    <row r="114" spans="1:16" s="8" customFormat="1" ht="15.75" x14ac:dyDescent="0.25">
      <c r="A114" s="113" t="s">
        <v>342</v>
      </c>
      <c r="B114" s="102">
        <v>44193</v>
      </c>
      <c r="C114" s="26" t="s">
        <v>801</v>
      </c>
      <c r="D114" s="25" t="s">
        <v>1122</v>
      </c>
      <c r="E114" s="30">
        <v>2</v>
      </c>
      <c r="F114" s="13">
        <v>719.2</v>
      </c>
      <c r="G114" s="50">
        <f t="shared" si="14"/>
        <v>1438.4</v>
      </c>
      <c r="H114" s="103"/>
      <c r="I114" s="103"/>
      <c r="J114" s="104"/>
      <c r="K114" s="103"/>
      <c r="L114" s="103">
        <v>2</v>
      </c>
      <c r="M114" s="103">
        <f t="shared" si="17"/>
        <v>0</v>
      </c>
      <c r="N114" s="103"/>
      <c r="O114" s="103" t="s">
        <v>946</v>
      </c>
      <c r="P114" s="104">
        <f t="shared" si="18"/>
        <v>0</v>
      </c>
    </row>
    <row r="115" spans="1:16" s="8" customFormat="1" ht="15.75" x14ac:dyDescent="0.25">
      <c r="A115" s="113" t="s">
        <v>343</v>
      </c>
      <c r="B115" s="102">
        <v>44193</v>
      </c>
      <c r="C115" s="25" t="s">
        <v>616</v>
      </c>
      <c r="D115" s="25" t="s">
        <v>1122</v>
      </c>
      <c r="E115" s="32">
        <v>0</v>
      </c>
      <c r="F115" s="13">
        <v>2950</v>
      </c>
      <c r="G115" s="50">
        <f t="shared" si="14"/>
        <v>0</v>
      </c>
      <c r="H115" s="103"/>
      <c r="I115" s="103"/>
      <c r="J115" s="104"/>
      <c r="K115" s="103"/>
      <c r="L115" s="103"/>
      <c r="M115" s="103">
        <f t="shared" si="17"/>
        <v>0</v>
      </c>
      <c r="N115" s="103"/>
      <c r="O115" s="103" t="s">
        <v>946</v>
      </c>
      <c r="P115" s="104">
        <f t="shared" si="18"/>
        <v>0</v>
      </c>
    </row>
    <row r="116" spans="1:16" s="8" customFormat="1" ht="15.75" x14ac:dyDescent="0.25">
      <c r="A116" s="113" t="s">
        <v>344</v>
      </c>
      <c r="B116" s="102">
        <v>44193</v>
      </c>
      <c r="C116" s="25" t="s">
        <v>617</v>
      </c>
      <c r="D116" s="25" t="s">
        <v>1122</v>
      </c>
      <c r="E116" s="32">
        <v>5</v>
      </c>
      <c r="F116" s="13">
        <v>29</v>
      </c>
      <c r="G116" s="50">
        <f t="shared" si="14"/>
        <v>145</v>
      </c>
      <c r="H116" s="103"/>
      <c r="I116" s="103"/>
      <c r="J116" s="104"/>
      <c r="K116" s="103"/>
      <c r="L116" s="103">
        <v>4</v>
      </c>
      <c r="M116" s="103">
        <f t="shared" si="17"/>
        <v>1</v>
      </c>
      <c r="N116" s="103"/>
      <c r="O116" s="103" t="s">
        <v>946</v>
      </c>
      <c r="P116" s="104">
        <f t="shared" si="18"/>
        <v>29</v>
      </c>
    </row>
    <row r="117" spans="1:16" s="8" customFormat="1" ht="15.75" x14ac:dyDescent="0.25">
      <c r="A117" s="113" t="s">
        <v>345</v>
      </c>
      <c r="B117" s="106" t="s">
        <v>106</v>
      </c>
      <c r="C117" s="9" t="s">
        <v>618</v>
      </c>
      <c r="D117" s="25" t="s">
        <v>1122</v>
      </c>
      <c r="E117" s="30">
        <v>12</v>
      </c>
      <c r="F117" s="51">
        <v>35</v>
      </c>
      <c r="G117" s="50">
        <f t="shared" si="14"/>
        <v>420</v>
      </c>
      <c r="H117" s="103"/>
      <c r="I117" s="103"/>
      <c r="J117" s="104"/>
      <c r="K117" s="103"/>
      <c r="L117" s="103">
        <f>1+1</f>
        <v>2</v>
      </c>
      <c r="M117" s="103">
        <f t="shared" si="17"/>
        <v>10</v>
      </c>
      <c r="N117" s="103"/>
      <c r="O117" s="103" t="s">
        <v>947</v>
      </c>
      <c r="P117" s="104">
        <f t="shared" si="18"/>
        <v>350</v>
      </c>
    </row>
    <row r="118" spans="1:16" s="92" customFormat="1" x14ac:dyDescent="0.3">
      <c r="A118" s="113" t="s">
        <v>346</v>
      </c>
      <c r="B118" s="102">
        <v>44193</v>
      </c>
      <c r="C118" s="26" t="s">
        <v>619</v>
      </c>
      <c r="D118" s="25" t="s">
        <v>1122</v>
      </c>
      <c r="E118" s="32">
        <v>0</v>
      </c>
      <c r="F118" s="13">
        <v>155</v>
      </c>
      <c r="G118" s="50">
        <f t="shared" si="14"/>
        <v>0</v>
      </c>
      <c r="H118" s="103"/>
      <c r="I118" s="103"/>
      <c r="J118" s="104"/>
      <c r="K118" s="103"/>
      <c r="L118" s="103">
        <f>2+1+1+1+1+1+1+1+3</f>
        <v>12</v>
      </c>
      <c r="M118" s="103">
        <f t="shared" si="17"/>
        <v>-12</v>
      </c>
      <c r="N118" s="103"/>
      <c r="O118" s="103" t="s">
        <v>945</v>
      </c>
      <c r="P118" s="104">
        <f t="shared" si="18"/>
        <v>-1860</v>
      </c>
    </row>
    <row r="119" spans="1:16" s="92" customFormat="1" x14ac:dyDescent="0.3">
      <c r="A119" s="113" t="s">
        <v>347</v>
      </c>
      <c r="B119" s="102">
        <v>44777</v>
      </c>
      <c r="C119" s="26" t="s">
        <v>620</v>
      </c>
      <c r="D119" s="25" t="s">
        <v>1122</v>
      </c>
      <c r="E119" s="32">
        <v>90</v>
      </c>
      <c r="F119" s="13">
        <v>71.95</v>
      </c>
      <c r="G119" s="50">
        <f t="shared" si="14"/>
        <v>6475.5</v>
      </c>
      <c r="H119" s="103"/>
      <c r="I119" s="103"/>
      <c r="J119" s="104"/>
      <c r="K119" s="103"/>
      <c r="L119" s="103">
        <f>1+1+1+1+1+1+1+1+1+1+1+1+1+1+1+1+2+1+1+1+1+1+1+1+1+1+1+1+1+1+1+1+1+1+1+2+1+1+1+4</f>
        <v>45</v>
      </c>
      <c r="M119" s="103">
        <f t="shared" si="17"/>
        <v>45</v>
      </c>
      <c r="N119" s="103"/>
      <c r="O119" s="103" t="s">
        <v>945</v>
      </c>
      <c r="P119" s="104">
        <f t="shared" si="18"/>
        <v>3237.75</v>
      </c>
    </row>
    <row r="120" spans="1:16" s="8" customFormat="1" ht="15.75" x14ac:dyDescent="0.25">
      <c r="A120" s="113" t="s">
        <v>348</v>
      </c>
      <c r="B120" s="102">
        <v>44193</v>
      </c>
      <c r="C120" s="26" t="s">
        <v>626</v>
      </c>
      <c r="D120" s="25" t="s">
        <v>1122</v>
      </c>
      <c r="E120" s="32">
        <v>0</v>
      </c>
      <c r="F120" s="13">
        <v>190.68</v>
      </c>
      <c r="G120" s="50">
        <f t="shared" si="14"/>
        <v>0</v>
      </c>
      <c r="H120" s="103"/>
      <c r="I120" s="103"/>
      <c r="J120" s="104"/>
      <c r="K120" s="103"/>
      <c r="L120" s="103"/>
      <c r="M120" s="103">
        <f t="shared" si="17"/>
        <v>0</v>
      </c>
      <c r="N120" s="103"/>
      <c r="O120" s="103" t="s">
        <v>946</v>
      </c>
      <c r="P120" s="104">
        <f t="shared" si="18"/>
        <v>0</v>
      </c>
    </row>
    <row r="121" spans="1:16" s="92" customFormat="1" x14ac:dyDescent="0.3">
      <c r="A121" s="113" t="s">
        <v>349</v>
      </c>
      <c r="B121" s="102">
        <v>44678</v>
      </c>
      <c r="C121" s="26" t="s">
        <v>621</v>
      </c>
      <c r="D121" s="25" t="s">
        <v>1122</v>
      </c>
      <c r="E121" s="32">
        <v>1</v>
      </c>
      <c r="F121" s="13">
        <v>3800</v>
      </c>
      <c r="G121" s="50">
        <f t="shared" si="14"/>
        <v>3800</v>
      </c>
      <c r="H121" s="124">
        <v>44851</v>
      </c>
      <c r="I121" s="125">
        <v>20</v>
      </c>
      <c r="J121" s="126">
        <v>1187.08</v>
      </c>
      <c r="K121" s="127">
        <f>+I121*J121</f>
        <v>23741.599999999999</v>
      </c>
      <c r="L121" s="103">
        <v>2</v>
      </c>
      <c r="M121" s="103">
        <f t="shared" si="17"/>
        <v>19</v>
      </c>
      <c r="N121" s="103"/>
      <c r="O121" s="103" t="s">
        <v>945</v>
      </c>
      <c r="P121" s="104">
        <f>+J121*M121</f>
        <v>22554.519999999997</v>
      </c>
    </row>
    <row r="122" spans="1:16" s="92" customFormat="1" x14ac:dyDescent="0.3">
      <c r="A122" s="113" t="s">
        <v>350</v>
      </c>
      <c r="B122" s="102">
        <v>44193</v>
      </c>
      <c r="C122" s="26" t="s">
        <v>622</v>
      </c>
      <c r="D122" s="25" t="s">
        <v>1122</v>
      </c>
      <c r="E122" s="32">
        <v>0</v>
      </c>
      <c r="F122" s="13">
        <v>1400</v>
      </c>
      <c r="G122" s="50">
        <f t="shared" si="14"/>
        <v>0</v>
      </c>
      <c r="H122" s="103"/>
      <c r="I122" s="103"/>
      <c r="J122" s="104"/>
      <c r="K122" s="103"/>
      <c r="L122" s="103"/>
      <c r="M122" s="103">
        <f t="shared" si="17"/>
        <v>0</v>
      </c>
      <c r="N122" s="103"/>
      <c r="O122" s="103" t="s">
        <v>945</v>
      </c>
      <c r="P122" s="104">
        <f>+F122*M122</f>
        <v>0</v>
      </c>
    </row>
    <row r="123" spans="1:16" s="92" customFormat="1" x14ac:dyDescent="0.3">
      <c r="A123" s="113" t="s">
        <v>351</v>
      </c>
      <c r="B123" s="102">
        <v>44456</v>
      </c>
      <c r="C123" s="26" t="s">
        <v>623</v>
      </c>
      <c r="D123" s="25" t="s">
        <v>1122</v>
      </c>
      <c r="E123" s="32">
        <v>13</v>
      </c>
      <c r="F123" s="13">
        <v>1099</v>
      </c>
      <c r="G123" s="50">
        <f t="shared" si="14"/>
        <v>14287</v>
      </c>
      <c r="H123" s="103"/>
      <c r="I123" s="103"/>
      <c r="J123" s="104"/>
      <c r="K123" s="103"/>
      <c r="L123" s="103">
        <v>1</v>
      </c>
      <c r="M123" s="103">
        <f t="shared" si="17"/>
        <v>12</v>
      </c>
      <c r="N123" s="103"/>
      <c r="O123" s="103" t="s">
        <v>945</v>
      </c>
      <c r="P123" s="104">
        <f t="shared" ref="P123:P138" si="19">+F123*M123</f>
        <v>13188</v>
      </c>
    </row>
    <row r="124" spans="1:16" s="92" customFormat="1" x14ac:dyDescent="0.3">
      <c r="A124" s="113" t="s">
        <v>352</v>
      </c>
      <c r="B124" s="102">
        <v>44456</v>
      </c>
      <c r="C124" s="26" t="s">
        <v>767</v>
      </c>
      <c r="D124" s="25" t="s">
        <v>1122</v>
      </c>
      <c r="E124" s="32">
        <v>18</v>
      </c>
      <c r="F124" s="13">
        <v>4000</v>
      </c>
      <c r="G124" s="50">
        <f t="shared" si="14"/>
        <v>72000</v>
      </c>
      <c r="H124" s="103"/>
      <c r="I124" s="103"/>
      <c r="J124" s="104"/>
      <c r="K124" s="103"/>
      <c r="L124" s="103">
        <f>4+4+3</f>
        <v>11</v>
      </c>
      <c r="M124" s="103">
        <f t="shared" si="17"/>
        <v>7</v>
      </c>
      <c r="N124" s="103"/>
      <c r="O124" s="103" t="s">
        <v>945</v>
      </c>
      <c r="P124" s="104">
        <f t="shared" si="19"/>
        <v>28000</v>
      </c>
    </row>
    <row r="125" spans="1:16" s="92" customFormat="1" x14ac:dyDescent="0.3">
      <c r="A125" s="113" t="s">
        <v>353</v>
      </c>
      <c r="B125" s="102">
        <v>44193</v>
      </c>
      <c r="C125" s="26" t="s">
        <v>625</v>
      </c>
      <c r="D125" s="25" t="s">
        <v>1122</v>
      </c>
      <c r="E125" s="32">
        <v>5</v>
      </c>
      <c r="F125" s="13">
        <v>1400</v>
      </c>
      <c r="G125" s="50">
        <f t="shared" si="14"/>
        <v>7000</v>
      </c>
      <c r="H125" s="103"/>
      <c r="I125" s="103"/>
      <c r="J125" s="104"/>
      <c r="K125" s="103"/>
      <c r="L125" s="103"/>
      <c r="M125" s="103">
        <f t="shared" si="17"/>
        <v>5</v>
      </c>
      <c r="N125" s="103"/>
      <c r="O125" s="103" t="s">
        <v>945</v>
      </c>
      <c r="P125" s="104">
        <f t="shared" si="19"/>
        <v>7000</v>
      </c>
    </row>
    <row r="126" spans="1:16" s="8" customFormat="1" ht="15.75" x14ac:dyDescent="0.25">
      <c r="A126" s="113" t="s">
        <v>354</v>
      </c>
      <c r="B126" s="106" t="s">
        <v>106</v>
      </c>
      <c r="C126" s="28" t="s">
        <v>627</v>
      </c>
      <c r="D126" s="25" t="s">
        <v>1122</v>
      </c>
      <c r="E126" s="49">
        <v>100</v>
      </c>
      <c r="F126" s="52">
        <v>28</v>
      </c>
      <c r="G126" s="50">
        <f t="shared" si="14"/>
        <v>2800</v>
      </c>
      <c r="H126" s="103"/>
      <c r="I126" s="103"/>
      <c r="J126" s="104"/>
      <c r="K126" s="103"/>
      <c r="L126" s="103"/>
      <c r="M126" s="103">
        <f t="shared" si="17"/>
        <v>100</v>
      </c>
      <c r="N126" s="103"/>
      <c r="O126" s="103" t="s">
        <v>947</v>
      </c>
      <c r="P126" s="104">
        <f t="shared" si="19"/>
        <v>2800</v>
      </c>
    </row>
    <row r="127" spans="1:16" s="8" customFormat="1" ht="15.75" x14ac:dyDescent="0.25">
      <c r="A127" s="113" t="s">
        <v>355</v>
      </c>
      <c r="B127" s="106" t="s">
        <v>114</v>
      </c>
      <c r="C127" s="26" t="s">
        <v>80</v>
      </c>
      <c r="D127" s="25" t="s">
        <v>1122</v>
      </c>
      <c r="E127" s="32">
        <v>0</v>
      </c>
      <c r="F127" s="51">
        <v>85</v>
      </c>
      <c r="G127" s="50">
        <f t="shared" si="14"/>
        <v>0</v>
      </c>
      <c r="H127" s="103"/>
      <c r="I127" s="103"/>
      <c r="J127" s="104"/>
      <c r="K127" s="103"/>
      <c r="L127" s="103"/>
      <c r="M127" s="103">
        <f t="shared" si="17"/>
        <v>0</v>
      </c>
      <c r="N127" s="103"/>
      <c r="O127" s="103" t="s">
        <v>946</v>
      </c>
      <c r="P127" s="104">
        <f t="shared" si="19"/>
        <v>0</v>
      </c>
    </row>
    <row r="128" spans="1:16" s="8" customFormat="1" ht="15.75" x14ac:dyDescent="0.25">
      <c r="A128" s="113" t="s">
        <v>356</v>
      </c>
      <c r="B128" s="102">
        <v>44193</v>
      </c>
      <c r="C128" s="9" t="s">
        <v>628</v>
      </c>
      <c r="D128" s="25" t="s">
        <v>1122</v>
      </c>
      <c r="E128" s="58">
        <v>1</v>
      </c>
      <c r="F128" s="13">
        <v>550</v>
      </c>
      <c r="G128" s="50">
        <f t="shared" si="14"/>
        <v>550</v>
      </c>
      <c r="H128" s="103"/>
      <c r="I128" s="103"/>
      <c r="J128" s="104"/>
      <c r="K128" s="103"/>
      <c r="L128" s="103"/>
      <c r="M128" s="103">
        <f t="shared" si="17"/>
        <v>1</v>
      </c>
      <c r="N128" s="103"/>
      <c r="O128" s="103" t="s">
        <v>946</v>
      </c>
      <c r="P128" s="104">
        <f t="shared" si="19"/>
        <v>550</v>
      </c>
    </row>
    <row r="129" spans="1:16" s="92" customFormat="1" x14ac:dyDescent="0.3">
      <c r="A129" s="113" t="s">
        <v>357</v>
      </c>
      <c r="B129" s="102">
        <v>44193</v>
      </c>
      <c r="C129" s="9" t="s">
        <v>629</v>
      </c>
      <c r="D129" s="25" t="s">
        <v>1122</v>
      </c>
      <c r="E129" s="48">
        <v>0</v>
      </c>
      <c r="F129" s="13">
        <v>60</v>
      </c>
      <c r="G129" s="50">
        <f t="shared" si="14"/>
        <v>0</v>
      </c>
      <c r="H129" s="103"/>
      <c r="I129" s="103"/>
      <c r="J129" s="104"/>
      <c r="K129" s="103"/>
      <c r="L129" s="103"/>
      <c r="M129" s="103">
        <f t="shared" si="17"/>
        <v>0</v>
      </c>
      <c r="N129" s="103"/>
      <c r="O129" s="103" t="s">
        <v>945</v>
      </c>
      <c r="P129" s="104">
        <f t="shared" si="19"/>
        <v>0</v>
      </c>
    </row>
    <row r="130" spans="1:16" s="92" customFormat="1" x14ac:dyDescent="0.3">
      <c r="A130" s="113" t="s">
        <v>358</v>
      </c>
      <c r="B130" s="102">
        <v>44656</v>
      </c>
      <c r="C130" s="25" t="s">
        <v>631</v>
      </c>
      <c r="D130" s="25" t="s">
        <v>1122</v>
      </c>
      <c r="E130" s="32">
        <v>40</v>
      </c>
      <c r="F130" s="13">
        <v>115.53</v>
      </c>
      <c r="G130" s="50">
        <f t="shared" si="14"/>
        <v>4621.2</v>
      </c>
      <c r="H130" s="103"/>
      <c r="I130" s="103"/>
      <c r="J130" s="104"/>
      <c r="K130" s="103"/>
      <c r="L130" s="103">
        <f>2+1+2+1+1+1+1+1+1</f>
        <v>11</v>
      </c>
      <c r="M130" s="103">
        <f t="shared" si="17"/>
        <v>29</v>
      </c>
      <c r="N130" s="103"/>
      <c r="O130" s="103" t="s">
        <v>945</v>
      </c>
      <c r="P130" s="104">
        <f t="shared" si="19"/>
        <v>3350.37</v>
      </c>
    </row>
    <row r="131" spans="1:16" s="92" customFormat="1" x14ac:dyDescent="0.3">
      <c r="A131" s="113" t="s">
        <v>359</v>
      </c>
      <c r="B131" s="102">
        <v>44656</v>
      </c>
      <c r="C131" s="26" t="s">
        <v>632</v>
      </c>
      <c r="D131" s="25" t="s">
        <v>1122</v>
      </c>
      <c r="E131" s="32">
        <v>12</v>
      </c>
      <c r="F131" s="13">
        <v>128.62</v>
      </c>
      <c r="G131" s="50">
        <f t="shared" si="14"/>
        <v>1543.44</v>
      </c>
      <c r="H131" s="103"/>
      <c r="I131" s="103"/>
      <c r="J131" s="104"/>
      <c r="K131" s="103"/>
      <c r="L131" s="103">
        <v>1</v>
      </c>
      <c r="M131" s="103">
        <f t="shared" si="17"/>
        <v>11</v>
      </c>
      <c r="N131" s="103"/>
      <c r="O131" s="103" t="s">
        <v>945</v>
      </c>
      <c r="P131" s="104">
        <f t="shared" si="19"/>
        <v>1414.8200000000002</v>
      </c>
    </row>
    <row r="132" spans="1:16" s="92" customFormat="1" x14ac:dyDescent="0.3">
      <c r="A132" s="113" t="s">
        <v>360</v>
      </c>
      <c r="B132" s="102">
        <v>44659</v>
      </c>
      <c r="C132" s="26" t="s">
        <v>633</v>
      </c>
      <c r="D132" s="25" t="s">
        <v>1122</v>
      </c>
      <c r="E132" s="14">
        <v>41</v>
      </c>
      <c r="F132" s="13">
        <v>325</v>
      </c>
      <c r="G132" s="50">
        <f t="shared" si="14"/>
        <v>13325</v>
      </c>
      <c r="H132" s="103"/>
      <c r="I132" s="103"/>
      <c r="J132" s="104"/>
      <c r="K132" s="103"/>
      <c r="L132" s="103"/>
      <c r="M132" s="103">
        <f t="shared" si="17"/>
        <v>41</v>
      </c>
      <c r="N132" s="103"/>
      <c r="O132" s="103" t="s">
        <v>945</v>
      </c>
      <c r="P132" s="104">
        <f>+F132*M132</f>
        <v>13325</v>
      </c>
    </row>
    <row r="133" spans="1:16" s="8" customFormat="1" ht="15.75" x14ac:dyDescent="0.25">
      <c r="A133" s="113" t="s">
        <v>361</v>
      </c>
      <c r="B133" s="102"/>
      <c r="C133" s="25" t="s">
        <v>861</v>
      </c>
      <c r="D133" s="25" t="s">
        <v>1122</v>
      </c>
      <c r="E133" s="38">
        <f>8+48</f>
        <v>56</v>
      </c>
      <c r="F133" s="13"/>
      <c r="G133" s="50">
        <f t="shared" ref="G133:G138" si="20">+E133*F133</f>
        <v>0</v>
      </c>
      <c r="H133" s="103"/>
      <c r="I133" s="103"/>
      <c r="J133" s="104"/>
      <c r="K133" s="103"/>
      <c r="L133" s="103"/>
      <c r="M133" s="103">
        <f t="shared" si="17"/>
        <v>56</v>
      </c>
      <c r="N133" s="103"/>
      <c r="O133" s="103" t="s">
        <v>947</v>
      </c>
      <c r="P133" s="104">
        <f t="shared" si="19"/>
        <v>0</v>
      </c>
    </row>
    <row r="134" spans="1:16" s="8" customFormat="1" ht="15.75" x14ac:dyDescent="0.25">
      <c r="A134" s="113" t="s">
        <v>362</v>
      </c>
      <c r="B134" s="102"/>
      <c r="C134" s="25" t="s">
        <v>862</v>
      </c>
      <c r="D134" s="25" t="s">
        <v>1122</v>
      </c>
      <c r="E134" s="38">
        <v>74</v>
      </c>
      <c r="F134" s="13"/>
      <c r="G134" s="50">
        <f t="shared" si="20"/>
        <v>0</v>
      </c>
      <c r="H134" s="103"/>
      <c r="I134" s="103"/>
      <c r="J134" s="104"/>
      <c r="K134" s="103"/>
      <c r="L134" s="103"/>
      <c r="M134" s="103">
        <f t="shared" si="17"/>
        <v>74</v>
      </c>
      <c r="N134" s="103"/>
      <c r="O134" s="103" t="s">
        <v>947</v>
      </c>
      <c r="P134" s="104">
        <f t="shared" si="19"/>
        <v>0</v>
      </c>
    </row>
    <row r="135" spans="1:16" s="8" customFormat="1" ht="15.75" x14ac:dyDescent="0.25">
      <c r="A135" s="113" t="s">
        <v>363</v>
      </c>
      <c r="B135" s="102"/>
      <c r="C135" s="25" t="s">
        <v>863</v>
      </c>
      <c r="D135" s="25" t="s">
        <v>1122</v>
      </c>
      <c r="E135" s="38">
        <f>79+33+106</f>
        <v>218</v>
      </c>
      <c r="F135" s="13"/>
      <c r="G135" s="50">
        <f t="shared" si="20"/>
        <v>0</v>
      </c>
      <c r="H135" s="103"/>
      <c r="I135" s="103"/>
      <c r="J135" s="104"/>
      <c r="K135" s="103"/>
      <c r="L135" s="103"/>
      <c r="M135" s="103">
        <f t="shared" si="17"/>
        <v>218</v>
      </c>
      <c r="N135" s="103"/>
      <c r="O135" s="103" t="s">
        <v>947</v>
      </c>
      <c r="P135" s="104">
        <f t="shared" si="19"/>
        <v>0</v>
      </c>
    </row>
    <row r="136" spans="1:16" s="8" customFormat="1" ht="15.75" x14ac:dyDescent="0.25">
      <c r="A136" s="113" t="s">
        <v>364</v>
      </c>
      <c r="B136" s="102"/>
      <c r="C136" s="25" t="s">
        <v>864</v>
      </c>
      <c r="D136" s="25" t="s">
        <v>1122</v>
      </c>
      <c r="E136" s="38">
        <v>46</v>
      </c>
      <c r="F136" s="13"/>
      <c r="G136" s="50">
        <f t="shared" si="20"/>
        <v>0</v>
      </c>
      <c r="H136" s="103"/>
      <c r="I136" s="103"/>
      <c r="J136" s="104"/>
      <c r="K136" s="103"/>
      <c r="L136" s="103"/>
      <c r="M136" s="103">
        <f t="shared" si="17"/>
        <v>46</v>
      </c>
      <c r="N136" s="103"/>
      <c r="O136" s="103" t="s">
        <v>947</v>
      </c>
      <c r="P136" s="104">
        <f t="shared" si="19"/>
        <v>0</v>
      </c>
    </row>
    <row r="137" spans="1:16" s="8" customFormat="1" ht="15.75" x14ac:dyDescent="0.25">
      <c r="A137" s="113" t="s">
        <v>365</v>
      </c>
      <c r="B137" s="102"/>
      <c r="C137" s="25" t="s">
        <v>865</v>
      </c>
      <c r="D137" s="25" t="s">
        <v>1122</v>
      </c>
      <c r="E137" s="38">
        <v>41</v>
      </c>
      <c r="F137" s="13"/>
      <c r="G137" s="50">
        <f t="shared" si="20"/>
        <v>0</v>
      </c>
      <c r="H137" s="103"/>
      <c r="I137" s="103"/>
      <c r="J137" s="104"/>
      <c r="K137" s="103"/>
      <c r="L137" s="103"/>
      <c r="M137" s="103">
        <f t="shared" si="17"/>
        <v>41</v>
      </c>
      <c r="N137" s="103"/>
      <c r="O137" s="103" t="s">
        <v>947</v>
      </c>
      <c r="P137" s="104">
        <f t="shared" si="19"/>
        <v>0</v>
      </c>
    </row>
    <row r="138" spans="1:16" s="8" customFormat="1" ht="15.75" x14ac:dyDescent="0.25">
      <c r="A138" s="113" t="s">
        <v>366</v>
      </c>
      <c r="B138" s="102"/>
      <c r="C138" s="25" t="s">
        <v>866</v>
      </c>
      <c r="D138" s="25" t="s">
        <v>1122</v>
      </c>
      <c r="E138" s="38">
        <f>34+1</f>
        <v>35</v>
      </c>
      <c r="F138" s="13"/>
      <c r="G138" s="50">
        <f t="shared" si="20"/>
        <v>0</v>
      </c>
      <c r="H138" s="103"/>
      <c r="I138" s="103"/>
      <c r="J138" s="104"/>
      <c r="K138" s="103"/>
      <c r="L138" s="103"/>
      <c r="M138" s="103">
        <f t="shared" si="17"/>
        <v>35</v>
      </c>
      <c r="N138" s="103"/>
      <c r="O138" s="103" t="s">
        <v>947</v>
      </c>
      <c r="P138" s="104">
        <f t="shared" si="19"/>
        <v>0</v>
      </c>
    </row>
    <row r="139" spans="1:16" s="92" customFormat="1" x14ac:dyDescent="0.3">
      <c r="A139" s="113" t="s">
        <v>367</v>
      </c>
      <c r="B139" s="106" t="s">
        <v>116</v>
      </c>
      <c r="C139" s="25" t="s">
        <v>719</v>
      </c>
      <c r="D139" s="25" t="s">
        <v>1122</v>
      </c>
      <c r="E139" s="32"/>
      <c r="F139" s="51">
        <v>529</v>
      </c>
      <c r="G139" s="50">
        <f>E139*F139</f>
        <v>0</v>
      </c>
      <c r="H139" s="107">
        <v>44748</v>
      </c>
      <c r="I139" s="104">
        <f>3*6</f>
        <v>18</v>
      </c>
      <c r="J139" s="104">
        <v>161.66666666666666</v>
      </c>
      <c r="K139" s="108">
        <f>+I139*J139</f>
        <v>2910</v>
      </c>
      <c r="L139" s="103">
        <f>12+3+2+1+12</f>
        <v>30</v>
      </c>
      <c r="M139" s="103">
        <f t="shared" si="17"/>
        <v>-12</v>
      </c>
      <c r="N139" s="103"/>
      <c r="O139" s="103" t="s">
        <v>945</v>
      </c>
      <c r="P139" s="104">
        <f>+L139*J139</f>
        <v>4850</v>
      </c>
    </row>
    <row r="140" spans="1:16" s="8" customFormat="1" ht="15.75" x14ac:dyDescent="0.25">
      <c r="A140" s="113" t="s">
        <v>368</v>
      </c>
      <c r="B140" s="102">
        <v>44193</v>
      </c>
      <c r="C140" s="25" t="s">
        <v>813</v>
      </c>
      <c r="D140" s="25" t="s">
        <v>1122</v>
      </c>
      <c r="E140" s="32">
        <v>8</v>
      </c>
      <c r="F140" s="13">
        <v>1375</v>
      </c>
      <c r="G140" s="50">
        <f>E140*F140</f>
        <v>11000</v>
      </c>
      <c r="H140" s="103"/>
      <c r="I140" s="103"/>
      <c r="J140" s="104"/>
      <c r="K140" s="103"/>
      <c r="L140" s="103"/>
      <c r="M140" s="103">
        <f t="shared" si="17"/>
        <v>8</v>
      </c>
      <c r="N140" s="103"/>
      <c r="O140" s="103" t="s">
        <v>946</v>
      </c>
      <c r="P140" s="104">
        <f>+M140*F140</f>
        <v>11000</v>
      </c>
    </row>
    <row r="141" spans="1:16" s="8" customFormat="1" ht="15.75" x14ac:dyDescent="0.25">
      <c r="A141" s="113" t="s">
        <v>369</v>
      </c>
      <c r="B141" s="106" t="s">
        <v>114</v>
      </c>
      <c r="C141" s="25" t="s">
        <v>642</v>
      </c>
      <c r="D141" s="25" t="s">
        <v>1122</v>
      </c>
      <c r="E141" s="32">
        <v>8</v>
      </c>
      <c r="F141" s="13">
        <v>1375</v>
      </c>
      <c r="G141" s="50">
        <f>E141*F141</f>
        <v>11000</v>
      </c>
      <c r="H141" s="103"/>
      <c r="I141" s="103"/>
      <c r="J141" s="104"/>
      <c r="K141" s="103"/>
      <c r="L141" s="103">
        <v>1</v>
      </c>
      <c r="M141" s="103">
        <f t="shared" si="17"/>
        <v>7</v>
      </c>
      <c r="N141" s="103"/>
      <c r="O141" s="103" t="s">
        <v>946</v>
      </c>
      <c r="P141" s="104">
        <f t="shared" ref="P141:P160" si="21">+M141*F141</f>
        <v>9625</v>
      </c>
    </row>
    <row r="142" spans="1:16" s="8" customFormat="1" ht="15.75" x14ac:dyDescent="0.25">
      <c r="A142" s="113" t="s">
        <v>370</v>
      </c>
      <c r="B142" s="102"/>
      <c r="C142" s="25" t="s">
        <v>833</v>
      </c>
      <c r="D142" s="25" t="s">
        <v>1122</v>
      </c>
      <c r="E142" s="32">
        <v>7</v>
      </c>
      <c r="F142" s="13"/>
      <c r="G142" s="50"/>
      <c r="H142" s="103"/>
      <c r="I142" s="103"/>
      <c r="J142" s="104"/>
      <c r="K142" s="103"/>
      <c r="L142" s="103"/>
      <c r="M142" s="103">
        <f t="shared" si="17"/>
        <v>7</v>
      </c>
      <c r="N142" s="103"/>
      <c r="O142" s="103" t="s">
        <v>946</v>
      </c>
      <c r="P142" s="104">
        <f t="shared" si="21"/>
        <v>0</v>
      </c>
    </row>
    <row r="143" spans="1:16" s="8" customFormat="1" ht="15.75" x14ac:dyDescent="0.25">
      <c r="A143" s="113" t="s">
        <v>371</v>
      </c>
      <c r="B143" s="102">
        <v>44193</v>
      </c>
      <c r="C143" s="25" t="s">
        <v>643</v>
      </c>
      <c r="D143" s="25" t="s">
        <v>1122</v>
      </c>
      <c r="E143" s="32">
        <v>4</v>
      </c>
      <c r="F143" s="13">
        <v>1375</v>
      </c>
      <c r="G143" s="50">
        <f>E143*F143</f>
        <v>5500</v>
      </c>
      <c r="H143" s="103"/>
      <c r="I143" s="103"/>
      <c r="J143" s="104"/>
      <c r="K143" s="103"/>
      <c r="L143" s="103"/>
      <c r="M143" s="103">
        <f t="shared" si="17"/>
        <v>4</v>
      </c>
      <c r="N143" s="103"/>
      <c r="O143" s="103" t="s">
        <v>946</v>
      </c>
      <c r="P143" s="104">
        <f t="shared" si="21"/>
        <v>5500</v>
      </c>
    </row>
    <row r="144" spans="1:16" s="8" customFormat="1" ht="15.75" x14ac:dyDescent="0.25">
      <c r="A144" s="113" t="s">
        <v>372</v>
      </c>
      <c r="B144" s="106"/>
      <c r="C144" s="25" t="s">
        <v>816</v>
      </c>
      <c r="D144" s="25" t="s">
        <v>1122</v>
      </c>
      <c r="E144" s="32">
        <v>2</v>
      </c>
      <c r="F144" s="13"/>
      <c r="G144" s="50"/>
      <c r="H144" s="103"/>
      <c r="I144" s="103"/>
      <c r="J144" s="104"/>
      <c r="K144" s="103"/>
      <c r="L144" s="103"/>
      <c r="M144" s="103">
        <f t="shared" si="17"/>
        <v>2</v>
      </c>
      <c r="N144" s="103"/>
      <c r="O144" s="103" t="s">
        <v>946</v>
      </c>
      <c r="P144" s="104">
        <f t="shared" si="21"/>
        <v>0</v>
      </c>
    </row>
    <row r="145" spans="1:16" s="8" customFormat="1" ht="15.75" x14ac:dyDescent="0.25">
      <c r="A145" s="113" t="s">
        <v>373</v>
      </c>
      <c r="B145" s="102"/>
      <c r="C145" s="25" t="s">
        <v>829</v>
      </c>
      <c r="D145" s="25" t="s">
        <v>1122</v>
      </c>
      <c r="E145" s="32">
        <v>2</v>
      </c>
      <c r="F145" s="13"/>
      <c r="G145" s="50"/>
      <c r="H145" s="103"/>
      <c r="I145" s="103"/>
      <c r="J145" s="104"/>
      <c r="K145" s="103"/>
      <c r="L145" s="103"/>
      <c r="M145" s="103">
        <f t="shared" si="17"/>
        <v>2</v>
      </c>
      <c r="N145" s="103"/>
      <c r="O145" s="103" t="s">
        <v>946</v>
      </c>
      <c r="P145" s="104">
        <f t="shared" si="21"/>
        <v>0</v>
      </c>
    </row>
    <row r="146" spans="1:16" s="8" customFormat="1" ht="15.75" x14ac:dyDescent="0.25">
      <c r="A146" s="113" t="s">
        <v>374</v>
      </c>
      <c r="B146" s="106" t="s">
        <v>106</v>
      </c>
      <c r="C146" s="25" t="s">
        <v>635</v>
      </c>
      <c r="D146" s="25" t="s">
        <v>1122</v>
      </c>
      <c r="E146" s="32">
        <v>8</v>
      </c>
      <c r="F146" s="13">
        <v>1375</v>
      </c>
      <c r="G146" s="50">
        <f>E146*F146</f>
        <v>11000</v>
      </c>
      <c r="H146" s="103"/>
      <c r="I146" s="103"/>
      <c r="J146" s="104"/>
      <c r="K146" s="103"/>
      <c r="L146" s="103">
        <v>2</v>
      </c>
      <c r="M146" s="103">
        <f t="shared" si="17"/>
        <v>6</v>
      </c>
      <c r="N146" s="103"/>
      <c r="O146" s="103" t="s">
        <v>946</v>
      </c>
      <c r="P146" s="104">
        <f t="shared" si="21"/>
        <v>8250</v>
      </c>
    </row>
    <row r="147" spans="1:16" s="8" customFormat="1" ht="15.75" x14ac:dyDescent="0.25">
      <c r="A147" s="113" t="s">
        <v>375</v>
      </c>
      <c r="B147" s="106" t="s">
        <v>106</v>
      </c>
      <c r="C147" s="25" t="s">
        <v>636</v>
      </c>
      <c r="D147" s="25" t="s">
        <v>1122</v>
      </c>
      <c r="E147" s="55">
        <v>60</v>
      </c>
      <c r="F147" s="13">
        <v>1375</v>
      </c>
      <c r="G147" s="50">
        <f>E147*F147</f>
        <v>82500</v>
      </c>
      <c r="H147" s="103"/>
      <c r="I147" s="103"/>
      <c r="J147" s="104"/>
      <c r="K147" s="103"/>
      <c r="L147" s="103"/>
      <c r="M147" s="103">
        <f t="shared" si="17"/>
        <v>60</v>
      </c>
      <c r="N147" s="103"/>
      <c r="O147" s="103" t="s">
        <v>946</v>
      </c>
      <c r="P147" s="104">
        <f t="shared" si="21"/>
        <v>82500</v>
      </c>
    </row>
    <row r="148" spans="1:16" s="8" customFormat="1" ht="15.75" x14ac:dyDescent="0.25">
      <c r="A148" s="113" t="s">
        <v>376</v>
      </c>
      <c r="B148" s="102"/>
      <c r="C148" s="25" t="s">
        <v>831</v>
      </c>
      <c r="D148" s="25" t="s">
        <v>1122</v>
      </c>
      <c r="E148" s="32">
        <f>25+28</f>
        <v>53</v>
      </c>
      <c r="F148" s="13"/>
      <c r="G148" s="50"/>
      <c r="H148" s="103"/>
      <c r="I148" s="103"/>
      <c r="J148" s="104"/>
      <c r="K148" s="103"/>
      <c r="L148" s="103">
        <v>10</v>
      </c>
      <c r="M148" s="103">
        <f t="shared" si="17"/>
        <v>43</v>
      </c>
      <c r="N148" s="103"/>
      <c r="O148" s="103" t="s">
        <v>946</v>
      </c>
      <c r="P148" s="104">
        <f t="shared" si="21"/>
        <v>0</v>
      </c>
    </row>
    <row r="149" spans="1:16" s="8" customFormat="1" ht="15.75" x14ac:dyDescent="0.25">
      <c r="A149" s="113" t="s">
        <v>377</v>
      </c>
      <c r="B149" s="102"/>
      <c r="C149" s="25" t="s">
        <v>832</v>
      </c>
      <c r="D149" s="25" t="s">
        <v>1122</v>
      </c>
      <c r="E149" s="32">
        <v>5</v>
      </c>
      <c r="F149" s="13"/>
      <c r="G149" s="50"/>
      <c r="H149" s="103"/>
      <c r="I149" s="103"/>
      <c r="J149" s="104"/>
      <c r="K149" s="103"/>
      <c r="L149" s="103"/>
      <c r="M149" s="103">
        <f t="shared" si="17"/>
        <v>5</v>
      </c>
      <c r="N149" s="103"/>
      <c r="O149" s="103" t="s">
        <v>946</v>
      </c>
      <c r="P149" s="104">
        <f t="shared" si="21"/>
        <v>0</v>
      </c>
    </row>
    <row r="150" spans="1:16" s="8" customFormat="1" ht="15.75" x14ac:dyDescent="0.25">
      <c r="A150" s="113" t="s">
        <v>378</v>
      </c>
      <c r="B150" s="106" t="s">
        <v>106</v>
      </c>
      <c r="C150" s="25" t="s">
        <v>812</v>
      </c>
      <c r="D150" s="25" t="s">
        <v>1122</v>
      </c>
      <c r="E150" s="32">
        <v>3</v>
      </c>
      <c r="F150" s="13">
        <v>1180</v>
      </c>
      <c r="G150" s="50">
        <f>E150*F150</f>
        <v>3540</v>
      </c>
      <c r="H150" s="103"/>
      <c r="I150" s="103"/>
      <c r="J150" s="104"/>
      <c r="K150" s="103"/>
      <c r="L150" s="103"/>
      <c r="M150" s="103">
        <f t="shared" si="17"/>
        <v>3</v>
      </c>
      <c r="N150" s="103"/>
      <c r="O150" s="103" t="s">
        <v>946</v>
      </c>
      <c r="P150" s="104">
        <f t="shared" si="21"/>
        <v>3540</v>
      </c>
    </row>
    <row r="151" spans="1:16" s="8" customFormat="1" ht="15.75" x14ac:dyDescent="0.25">
      <c r="A151" s="113" t="s">
        <v>379</v>
      </c>
      <c r="B151" s="102">
        <v>44193</v>
      </c>
      <c r="C151" s="25" t="s">
        <v>637</v>
      </c>
      <c r="D151" s="25" t="s">
        <v>1122</v>
      </c>
      <c r="E151" s="55">
        <v>9</v>
      </c>
      <c r="F151" s="13">
        <v>1180</v>
      </c>
      <c r="G151" s="50">
        <f>E151*F151</f>
        <v>10620</v>
      </c>
      <c r="H151" s="103"/>
      <c r="I151" s="103"/>
      <c r="J151" s="104"/>
      <c r="K151" s="103"/>
      <c r="L151" s="103"/>
      <c r="M151" s="103">
        <f t="shared" si="17"/>
        <v>9</v>
      </c>
      <c r="N151" s="103"/>
      <c r="O151" s="103" t="s">
        <v>946</v>
      </c>
      <c r="P151" s="104">
        <f t="shared" si="21"/>
        <v>10620</v>
      </c>
    </row>
    <row r="152" spans="1:16" s="8" customFormat="1" ht="15.75" x14ac:dyDescent="0.25">
      <c r="A152" s="113" t="s">
        <v>380</v>
      </c>
      <c r="B152" s="102"/>
      <c r="C152" s="25" t="s">
        <v>834</v>
      </c>
      <c r="D152" s="25" t="s">
        <v>1122</v>
      </c>
      <c r="E152" s="32">
        <v>1</v>
      </c>
      <c r="F152" s="13"/>
      <c r="G152" s="50"/>
      <c r="H152" s="103"/>
      <c r="I152" s="103"/>
      <c r="J152" s="104"/>
      <c r="K152" s="103"/>
      <c r="L152" s="103"/>
      <c r="M152" s="103">
        <f t="shared" si="17"/>
        <v>1</v>
      </c>
      <c r="N152" s="103"/>
      <c r="O152" s="103" t="s">
        <v>946</v>
      </c>
      <c r="P152" s="104">
        <f t="shared" si="21"/>
        <v>0</v>
      </c>
    </row>
    <row r="153" spans="1:16" s="8" customFormat="1" ht="15.75" x14ac:dyDescent="0.25">
      <c r="A153" s="113" t="s">
        <v>381</v>
      </c>
      <c r="B153" s="106" t="s">
        <v>106</v>
      </c>
      <c r="C153" s="25" t="s">
        <v>639</v>
      </c>
      <c r="D153" s="25" t="s">
        <v>1122</v>
      </c>
      <c r="E153" s="32">
        <v>8</v>
      </c>
      <c r="F153" s="51">
        <v>1375</v>
      </c>
      <c r="G153" s="50">
        <f t="shared" ref="G153:G165" si="22">E153*F153</f>
        <v>11000</v>
      </c>
      <c r="H153" s="103"/>
      <c r="I153" s="103"/>
      <c r="J153" s="104"/>
      <c r="K153" s="103"/>
      <c r="L153" s="103"/>
      <c r="M153" s="103">
        <f t="shared" si="17"/>
        <v>8</v>
      </c>
      <c r="N153" s="103"/>
      <c r="O153" s="103" t="s">
        <v>946</v>
      </c>
      <c r="P153" s="104">
        <f t="shared" si="21"/>
        <v>11000</v>
      </c>
    </row>
    <row r="154" spans="1:16" s="8" customFormat="1" ht="15.75" x14ac:dyDescent="0.25">
      <c r="A154" s="113" t="s">
        <v>382</v>
      </c>
      <c r="B154" s="102">
        <v>44193</v>
      </c>
      <c r="C154" s="25" t="s">
        <v>638</v>
      </c>
      <c r="D154" s="25" t="s">
        <v>1122</v>
      </c>
      <c r="E154" s="32">
        <v>4</v>
      </c>
      <c r="F154" s="13">
        <v>1294.3699999999999</v>
      </c>
      <c r="G154" s="50">
        <f t="shared" si="22"/>
        <v>5177.4799999999996</v>
      </c>
      <c r="H154" s="103"/>
      <c r="I154" s="103"/>
      <c r="J154" s="104"/>
      <c r="K154" s="103"/>
      <c r="L154" s="103"/>
      <c r="M154" s="103">
        <f t="shared" si="17"/>
        <v>4</v>
      </c>
      <c r="N154" s="103"/>
      <c r="O154" s="103" t="s">
        <v>946</v>
      </c>
      <c r="P154" s="104">
        <f t="shared" si="21"/>
        <v>5177.4799999999996</v>
      </c>
    </row>
    <row r="155" spans="1:16" s="8" customFormat="1" ht="15.75" x14ac:dyDescent="0.25">
      <c r="A155" s="113" t="s">
        <v>383</v>
      </c>
      <c r="B155" s="106" t="s">
        <v>114</v>
      </c>
      <c r="C155" s="25" t="s">
        <v>640</v>
      </c>
      <c r="D155" s="25" t="s">
        <v>1122</v>
      </c>
      <c r="E155" s="32">
        <v>4</v>
      </c>
      <c r="F155" s="52">
        <v>2600</v>
      </c>
      <c r="G155" s="50">
        <f t="shared" si="22"/>
        <v>10400</v>
      </c>
      <c r="H155" s="103"/>
      <c r="I155" s="103"/>
      <c r="J155" s="104"/>
      <c r="K155" s="103"/>
      <c r="L155" s="103"/>
      <c r="M155" s="103">
        <f t="shared" si="17"/>
        <v>4</v>
      </c>
      <c r="N155" s="103"/>
      <c r="O155" s="103" t="s">
        <v>946</v>
      </c>
      <c r="P155" s="104">
        <f>+M155*F155</f>
        <v>10400</v>
      </c>
    </row>
    <row r="156" spans="1:16" s="8" customFormat="1" ht="15.75" x14ac:dyDescent="0.25">
      <c r="A156" s="113" t="s">
        <v>384</v>
      </c>
      <c r="B156" s="102">
        <v>44193</v>
      </c>
      <c r="C156" s="25" t="s">
        <v>830</v>
      </c>
      <c r="D156" s="25" t="s">
        <v>1122</v>
      </c>
      <c r="E156" s="32">
        <v>2</v>
      </c>
      <c r="F156" s="13">
        <v>2600</v>
      </c>
      <c r="G156" s="50">
        <f t="shared" si="22"/>
        <v>5200</v>
      </c>
      <c r="H156" s="103"/>
      <c r="I156" s="103"/>
      <c r="J156" s="104"/>
      <c r="K156" s="103"/>
      <c r="L156" s="103">
        <v>2</v>
      </c>
      <c r="M156" s="103">
        <f t="shared" si="17"/>
        <v>0</v>
      </c>
      <c r="N156" s="103"/>
      <c r="O156" s="103" t="s">
        <v>946</v>
      </c>
      <c r="P156" s="104">
        <f t="shared" si="21"/>
        <v>0</v>
      </c>
    </row>
    <row r="157" spans="1:16" s="105" customFormat="1" ht="15.75" x14ac:dyDescent="0.25">
      <c r="A157" s="113" t="s">
        <v>385</v>
      </c>
      <c r="B157" s="102">
        <v>44193</v>
      </c>
      <c r="C157" s="9" t="s">
        <v>951</v>
      </c>
      <c r="D157" s="25" t="s">
        <v>1122</v>
      </c>
      <c r="E157" s="58">
        <v>46</v>
      </c>
      <c r="F157" s="13">
        <v>4.55</v>
      </c>
      <c r="G157" s="50">
        <f t="shared" si="22"/>
        <v>209.29999999999998</v>
      </c>
      <c r="H157" s="107">
        <v>44852</v>
      </c>
      <c r="I157" s="103">
        <f>10*100</f>
        <v>1000</v>
      </c>
      <c r="J157" s="104">
        <v>5.07</v>
      </c>
      <c r="K157" s="108">
        <f>+I157*J157</f>
        <v>5070</v>
      </c>
      <c r="L157" s="103">
        <f>12+100+15</f>
        <v>127</v>
      </c>
      <c r="M157" s="103">
        <f t="shared" si="17"/>
        <v>919</v>
      </c>
      <c r="N157" s="103" t="s">
        <v>1037</v>
      </c>
      <c r="O157" s="103" t="s">
        <v>947</v>
      </c>
      <c r="P157" s="104">
        <f>+M157*J157</f>
        <v>4659.33</v>
      </c>
    </row>
    <row r="158" spans="1:16" s="8" customFormat="1" ht="15.75" x14ac:dyDescent="0.25">
      <c r="A158" s="113" t="s">
        <v>386</v>
      </c>
      <c r="B158" s="102">
        <v>44193</v>
      </c>
      <c r="C158" s="9" t="s">
        <v>647</v>
      </c>
      <c r="D158" s="25" t="s">
        <v>1122</v>
      </c>
      <c r="E158" s="58">
        <v>15</v>
      </c>
      <c r="F158" s="13">
        <v>4.55</v>
      </c>
      <c r="G158" s="50">
        <f t="shared" si="22"/>
        <v>68.25</v>
      </c>
      <c r="H158" s="103"/>
      <c r="I158" s="103"/>
      <c r="J158" s="104"/>
      <c r="K158" s="103"/>
      <c r="L158" s="103"/>
      <c r="M158" s="103">
        <f t="shared" si="17"/>
        <v>15</v>
      </c>
      <c r="N158" s="103"/>
      <c r="O158" s="103" t="s">
        <v>947</v>
      </c>
      <c r="P158" s="104">
        <f t="shared" si="21"/>
        <v>68.25</v>
      </c>
    </row>
    <row r="159" spans="1:16" s="8" customFormat="1" ht="15.75" x14ac:dyDescent="0.25">
      <c r="A159" s="113" t="s">
        <v>387</v>
      </c>
      <c r="B159" s="102">
        <v>44193</v>
      </c>
      <c r="C159" s="26" t="s">
        <v>645</v>
      </c>
      <c r="D159" s="25" t="s">
        <v>1122</v>
      </c>
      <c r="E159" s="58">
        <v>820</v>
      </c>
      <c r="F159" s="13">
        <v>7.5</v>
      </c>
      <c r="G159" s="50">
        <f t="shared" si="22"/>
        <v>6150</v>
      </c>
      <c r="H159" s="103"/>
      <c r="I159" s="103"/>
      <c r="J159" s="104"/>
      <c r="K159" s="103"/>
      <c r="L159" s="103"/>
      <c r="M159" s="103">
        <f t="shared" si="17"/>
        <v>820</v>
      </c>
      <c r="N159" s="103"/>
      <c r="O159" s="103" t="s">
        <v>947</v>
      </c>
      <c r="P159" s="104">
        <f t="shared" si="21"/>
        <v>6150</v>
      </c>
    </row>
    <row r="160" spans="1:16" s="92" customFormat="1" x14ac:dyDescent="0.3">
      <c r="A160" s="113" t="s">
        <v>388</v>
      </c>
      <c r="B160" s="102">
        <v>44659</v>
      </c>
      <c r="C160" s="26" t="s">
        <v>854</v>
      </c>
      <c r="D160" s="25" t="s">
        <v>1122</v>
      </c>
      <c r="E160" s="30">
        <f>30*100</f>
        <v>3000</v>
      </c>
      <c r="F160" s="13">
        <v>3.4</v>
      </c>
      <c r="G160" s="50">
        <f t="shared" si="22"/>
        <v>10200</v>
      </c>
      <c r="H160" s="103"/>
      <c r="I160" s="103"/>
      <c r="J160" s="104"/>
      <c r="K160" s="103"/>
      <c r="L160" s="103"/>
      <c r="M160" s="103">
        <f t="shared" si="17"/>
        <v>3000</v>
      </c>
      <c r="N160" s="103"/>
      <c r="O160" s="103" t="s">
        <v>945</v>
      </c>
      <c r="P160" s="104">
        <f t="shared" si="21"/>
        <v>10200</v>
      </c>
    </row>
    <row r="161" spans="1:16" s="92" customFormat="1" x14ac:dyDescent="0.3">
      <c r="A161" s="113" t="s">
        <v>389</v>
      </c>
      <c r="B161" s="102">
        <v>44453</v>
      </c>
      <c r="C161" s="9" t="s">
        <v>648</v>
      </c>
      <c r="D161" s="25" t="s">
        <v>1122</v>
      </c>
      <c r="E161" s="30">
        <v>1100</v>
      </c>
      <c r="F161" s="13">
        <v>2.59</v>
      </c>
      <c r="G161" s="50">
        <f t="shared" si="22"/>
        <v>2849</v>
      </c>
      <c r="H161" s="107">
        <v>44778</v>
      </c>
      <c r="I161" s="109">
        <f>20*100</f>
        <v>2000</v>
      </c>
      <c r="J161" s="104">
        <f>3.4+0.612</f>
        <v>4.0119999999999996</v>
      </c>
      <c r="K161" s="108">
        <f>+I161*J161</f>
        <v>8023.9999999999991</v>
      </c>
      <c r="L161" s="103">
        <f>100+25+100</f>
        <v>225</v>
      </c>
      <c r="M161" s="103">
        <f t="shared" si="17"/>
        <v>2875</v>
      </c>
      <c r="N161" s="103" t="s">
        <v>943</v>
      </c>
      <c r="O161" s="103" t="s">
        <v>945</v>
      </c>
      <c r="P161" s="104">
        <f>+M161*J161</f>
        <v>11534.499999999998</v>
      </c>
    </row>
    <row r="162" spans="1:16" s="92" customFormat="1" x14ac:dyDescent="0.3">
      <c r="A162" s="113" t="s">
        <v>390</v>
      </c>
      <c r="B162" s="102">
        <v>44659</v>
      </c>
      <c r="C162" s="25" t="s">
        <v>855</v>
      </c>
      <c r="D162" s="25" t="s">
        <v>1122</v>
      </c>
      <c r="E162" s="38">
        <f>25*100</f>
        <v>2500</v>
      </c>
      <c r="F162" s="13">
        <v>4.3499999999999996</v>
      </c>
      <c r="G162" s="50">
        <f t="shared" si="22"/>
        <v>10875</v>
      </c>
      <c r="H162" s="107">
        <v>44778</v>
      </c>
      <c r="I162" s="109">
        <f>10*100</f>
        <v>1000</v>
      </c>
      <c r="J162" s="104">
        <v>4.8899999999999997</v>
      </c>
      <c r="K162" s="108">
        <f>+I162*J162</f>
        <v>4890</v>
      </c>
      <c r="L162" s="103"/>
      <c r="M162" s="103">
        <f t="shared" si="17"/>
        <v>3500</v>
      </c>
      <c r="N162" s="103" t="s">
        <v>943</v>
      </c>
      <c r="O162" s="103" t="s">
        <v>945</v>
      </c>
      <c r="P162" s="104">
        <f>+M162*J162</f>
        <v>17115</v>
      </c>
    </row>
    <row r="163" spans="1:16" s="92" customFormat="1" x14ac:dyDescent="0.3">
      <c r="A163" s="113" t="s">
        <v>391</v>
      </c>
      <c r="B163" s="102">
        <v>44659</v>
      </c>
      <c r="C163" s="25" t="s">
        <v>651</v>
      </c>
      <c r="D163" s="25" t="s">
        <v>1122</v>
      </c>
      <c r="E163" s="38">
        <f>60*100</f>
        <v>6000</v>
      </c>
      <c r="F163" s="13">
        <v>6.95</v>
      </c>
      <c r="G163" s="50">
        <f t="shared" si="22"/>
        <v>41700</v>
      </c>
      <c r="H163" s="103"/>
      <c r="I163" s="103"/>
      <c r="J163" s="104"/>
      <c r="K163" s="103"/>
      <c r="L163" s="103">
        <f>100+100</f>
        <v>200</v>
      </c>
      <c r="M163" s="103">
        <f t="shared" si="17"/>
        <v>5800</v>
      </c>
      <c r="N163" s="103"/>
      <c r="O163" s="103" t="s">
        <v>945</v>
      </c>
      <c r="P163" s="104">
        <f>+F163*M163</f>
        <v>40310</v>
      </c>
    </row>
    <row r="164" spans="1:16" s="92" customFormat="1" x14ac:dyDescent="0.3">
      <c r="A164" s="113" t="s">
        <v>392</v>
      </c>
      <c r="B164" s="102">
        <v>44659</v>
      </c>
      <c r="C164" s="25" t="s">
        <v>652</v>
      </c>
      <c r="D164" s="25" t="s">
        <v>1122</v>
      </c>
      <c r="E164" s="38">
        <f>30*100</f>
        <v>3000</v>
      </c>
      <c r="F164" s="13">
        <v>6.5</v>
      </c>
      <c r="G164" s="50">
        <f t="shared" si="22"/>
        <v>19500</v>
      </c>
      <c r="H164" s="103"/>
      <c r="I164" s="103"/>
      <c r="J164" s="104"/>
      <c r="K164" s="103"/>
      <c r="L164" s="103">
        <f>100+100+200</f>
        <v>400</v>
      </c>
      <c r="M164" s="103">
        <f t="shared" si="17"/>
        <v>2600</v>
      </c>
      <c r="N164" s="103"/>
      <c r="O164" s="103" t="s">
        <v>945</v>
      </c>
      <c r="P164" s="104">
        <f t="shared" ref="P164:P227" si="23">+F164*M164</f>
        <v>16900</v>
      </c>
    </row>
    <row r="165" spans="1:16" s="92" customFormat="1" x14ac:dyDescent="0.3">
      <c r="A165" s="113" t="s">
        <v>393</v>
      </c>
      <c r="B165" s="102">
        <v>44193</v>
      </c>
      <c r="C165" s="26" t="s">
        <v>786</v>
      </c>
      <c r="D165" s="25" t="s">
        <v>1122</v>
      </c>
      <c r="E165" s="32">
        <f>4+8</f>
        <v>12</v>
      </c>
      <c r="F165" s="13">
        <v>150</v>
      </c>
      <c r="G165" s="50">
        <f t="shared" si="22"/>
        <v>1800</v>
      </c>
      <c r="H165" s="103"/>
      <c r="I165" s="103"/>
      <c r="J165" s="104"/>
      <c r="K165" s="103"/>
      <c r="L165" s="103"/>
      <c r="M165" s="103">
        <f t="shared" si="17"/>
        <v>12</v>
      </c>
      <c r="N165" s="103"/>
      <c r="O165" s="103" t="s">
        <v>945</v>
      </c>
      <c r="P165" s="104">
        <f t="shared" si="23"/>
        <v>1800</v>
      </c>
    </row>
    <row r="166" spans="1:16" s="8" customFormat="1" ht="15.75" x14ac:dyDescent="0.25">
      <c r="A166" s="113" t="s">
        <v>394</v>
      </c>
      <c r="B166" s="102"/>
      <c r="C166" s="25" t="s">
        <v>827</v>
      </c>
      <c r="D166" s="25" t="s">
        <v>1122</v>
      </c>
      <c r="E166" s="38">
        <v>2</v>
      </c>
      <c r="F166" s="13"/>
      <c r="G166" s="50"/>
      <c r="H166" s="103"/>
      <c r="I166" s="103"/>
      <c r="J166" s="104"/>
      <c r="K166" s="103"/>
      <c r="L166" s="103"/>
      <c r="M166" s="103">
        <f t="shared" si="17"/>
        <v>2</v>
      </c>
      <c r="N166" s="103"/>
      <c r="O166" s="103" t="s">
        <v>946</v>
      </c>
      <c r="P166" s="104">
        <f t="shared" si="23"/>
        <v>0</v>
      </c>
    </row>
    <row r="167" spans="1:16" s="8" customFormat="1" ht="15.75" x14ac:dyDescent="0.25">
      <c r="A167" s="113" t="s">
        <v>395</v>
      </c>
      <c r="B167" s="102"/>
      <c r="C167" s="25" t="s">
        <v>828</v>
      </c>
      <c r="D167" s="25" t="s">
        <v>1122</v>
      </c>
      <c r="E167" s="38">
        <v>1</v>
      </c>
      <c r="F167" s="13"/>
      <c r="G167" s="50"/>
      <c r="H167" s="103"/>
      <c r="I167" s="103"/>
      <c r="J167" s="104"/>
      <c r="K167" s="103"/>
      <c r="L167" s="103"/>
      <c r="M167" s="103">
        <f t="shared" si="17"/>
        <v>1</v>
      </c>
      <c r="N167" s="103"/>
      <c r="O167" s="103" t="s">
        <v>946</v>
      </c>
      <c r="P167" s="104">
        <f t="shared" si="23"/>
        <v>0</v>
      </c>
    </row>
    <row r="168" spans="1:16" s="92" customFormat="1" x14ac:dyDescent="0.3">
      <c r="A168" s="113" t="s">
        <v>396</v>
      </c>
      <c r="B168" s="102">
        <v>44193</v>
      </c>
      <c r="C168" s="25" t="s">
        <v>653</v>
      </c>
      <c r="D168" s="25" t="s">
        <v>1122</v>
      </c>
      <c r="E168" s="38">
        <v>50</v>
      </c>
      <c r="F168" s="13">
        <v>575</v>
      </c>
      <c r="G168" s="50">
        <f t="shared" ref="G168:G198" si="24">E168*F168</f>
        <v>28750</v>
      </c>
      <c r="H168" s="103"/>
      <c r="I168" s="103"/>
      <c r="J168" s="104"/>
      <c r="K168" s="103"/>
      <c r="L168" s="103">
        <f>1+1</f>
        <v>2</v>
      </c>
      <c r="M168" s="103">
        <f t="shared" si="17"/>
        <v>48</v>
      </c>
      <c r="N168" s="103"/>
      <c r="O168" s="103" t="s">
        <v>945</v>
      </c>
      <c r="P168" s="104">
        <f t="shared" si="23"/>
        <v>27600</v>
      </c>
    </row>
    <row r="169" spans="1:16" s="105" customFormat="1" ht="15.75" x14ac:dyDescent="0.25">
      <c r="A169" s="113" t="s">
        <v>397</v>
      </c>
      <c r="B169" s="102">
        <v>44193</v>
      </c>
      <c r="C169" s="26" t="s">
        <v>655</v>
      </c>
      <c r="D169" s="25" t="s">
        <v>1122</v>
      </c>
      <c r="E169" s="32">
        <v>20</v>
      </c>
      <c r="F169" s="13">
        <v>25</v>
      </c>
      <c r="G169" s="50">
        <f t="shared" si="24"/>
        <v>500</v>
      </c>
      <c r="H169" s="107">
        <v>44851</v>
      </c>
      <c r="I169" s="103">
        <v>20</v>
      </c>
      <c r="J169" s="104">
        <v>8.08</v>
      </c>
      <c r="K169" s="103">
        <f>+J169*I169</f>
        <v>161.6</v>
      </c>
      <c r="L169" s="103">
        <f>3+1</f>
        <v>4</v>
      </c>
      <c r="M169" s="103">
        <f t="shared" si="17"/>
        <v>36</v>
      </c>
      <c r="N169" s="103" t="s">
        <v>1037</v>
      </c>
      <c r="O169" s="103" t="s">
        <v>947</v>
      </c>
      <c r="P169" s="104">
        <f>+M169*J169</f>
        <v>290.88</v>
      </c>
    </row>
    <row r="170" spans="1:16" s="8" customFormat="1" ht="15.75" x14ac:dyDescent="0.25">
      <c r="A170" s="113" t="s">
        <v>398</v>
      </c>
      <c r="B170" s="102">
        <v>44193</v>
      </c>
      <c r="C170" s="9" t="s">
        <v>656</v>
      </c>
      <c r="D170" s="25" t="s">
        <v>1122</v>
      </c>
      <c r="E170" s="32">
        <v>15</v>
      </c>
      <c r="F170" s="13">
        <v>275</v>
      </c>
      <c r="G170" s="50">
        <f t="shared" si="24"/>
        <v>4125</v>
      </c>
      <c r="H170" s="103"/>
      <c r="I170" s="103"/>
      <c r="J170" s="104"/>
      <c r="K170" s="103"/>
      <c r="L170" s="103">
        <f>1+3</f>
        <v>4</v>
      </c>
      <c r="M170" s="103">
        <f t="shared" si="17"/>
        <v>11</v>
      </c>
      <c r="N170" s="103"/>
      <c r="O170" s="103" t="s">
        <v>947</v>
      </c>
      <c r="P170" s="104">
        <f t="shared" si="23"/>
        <v>3025</v>
      </c>
    </row>
    <row r="171" spans="1:16" s="8" customFormat="1" ht="15.75" x14ac:dyDescent="0.25">
      <c r="A171" s="113" t="s">
        <v>399</v>
      </c>
      <c r="B171" s="102">
        <v>44193</v>
      </c>
      <c r="C171" s="9" t="s">
        <v>658</v>
      </c>
      <c r="D171" s="25" t="s">
        <v>1122</v>
      </c>
      <c r="E171" s="30">
        <v>2</v>
      </c>
      <c r="F171" s="13">
        <v>50</v>
      </c>
      <c r="G171" s="50">
        <f t="shared" si="24"/>
        <v>100</v>
      </c>
      <c r="H171" s="103"/>
      <c r="I171" s="103"/>
      <c r="J171" s="104"/>
      <c r="K171" s="103"/>
      <c r="L171" s="103"/>
      <c r="M171" s="103">
        <f t="shared" si="17"/>
        <v>2</v>
      </c>
      <c r="N171" s="103"/>
      <c r="O171" s="103" t="s">
        <v>947</v>
      </c>
      <c r="P171" s="104">
        <f t="shared" si="23"/>
        <v>100</v>
      </c>
    </row>
    <row r="172" spans="1:16" s="8" customFormat="1" ht="15.75" x14ac:dyDescent="0.25">
      <c r="A172" s="113" t="s">
        <v>400</v>
      </c>
      <c r="B172" s="102">
        <v>44193</v>
      </c>
      <c r="C172" s="9" t="s">
        <v>657</v>
      </c>
      <c r="D172" s="25" t="s">
        <v>1122</v>
      </c>
      <c r="E172" s="30">
        <f>20+9</f>
        <v>29</v>
      </c>
      <c r="F172" s="13">
        <v>50</v>
      </c>
      <c r="G172" s="50">
        <f t="shared" si="24"/>
        <v>1450</v>
      </c>
      <c r="H172" s="103"/>
      <c r="I172" s="103"/>
      <c r="J172" s="104"/>
      <c r="K172" s="103"/>
      <c r="L172" s="103">
        <v>1</v>
      </c>
      <c r="M172" s="103">
        <f t="shared" si="17"/>
        <v>28</v>
      </c>
      <c r="N172" s="103"/>
      <c r="O172" s="103" t="s">
        <v>947</v>
      </c>
      <c r="P172" s="104">
        <f t="shared" si="23"/>
        <v>1400</v>
      </c>
    </row>
    <row r="173" spans="1:16" s="92" customFormat="1" x14ac:dyDescent="0.3">
      <c r="A173" s="113" t="s">
        <v>401</v>
      </c>
      <c r="B173" s="102">
        <v>44193</v>
      </c>
      <c r="C173" s="26" t="s">
        <v>660</v>
      </c>
      <c r="D173" s="25" t="s">
        <v>1122</v>
      </c>
      <c r="E173" s="30">
        <v>35</v>
      </c>
      <c r="F173" s="13">
        <v>7</v>
      </c>
      <c r="G173" s="50">
        <f t="shared" si="24"/>
        <v>245</v>
      </c>
      <c r="H173" s="103"/>
      <c r="I173" s="103"/>
      <c r="J173" s="104"/>
      <c r="K173" s="103"/>
      <c r="L173" s="103"/>
      <c r="M173" s="103">
        <f t="shared" si="17"/>
        <v>35</v>
      </c>
      <c r="N173" s="103"/>
      <c r="O173" s="103" t="s">
        <v>945</v>
      </c>
      <c r="P173" s="104">
        <f t="shared" si="23"/>
        <v>245</v>
      </c>
    </row>
    <row r="174" spans="1:16" s="92" customFormat="1" x14ac:dyDescent="0.3">
      <c r="A174" s="113" t="s">
        <v>402</v>
      </c>
      <c r="B174" s="102">
        <v>44193</v>
      </c>
      <c r="C174" s="26" t="s">
        <v>659</v>
      </c>
      <c r="D174" s="25" t="s">
        <v>1122</v>
      </c>
      <c r="E174" s="30">
        <v>34</v>
      </c>
      <c r="F174" s="13">
        <v>125</v>
      </c>
      <c r="G174" s="50">
        <f t="shared" si="24"/>
        <v>4250</v>
      </c>
      <c r="H174" s="103"/>
      <c r="I174" s="103"/>
      <c r="J174" s="104"/>
      <c r="K174" s="103"/>
      <c r="L174" s="103">
        <v>1</v>
      </c>
      <c r="M174" s="103">
        <f t="shared" si="17"/>
        <v>33</v>
      </c>
      <c r="N174" s="103"/>
      <c r="O174" s="103" t="s">
        <v>945</v>
      </c>
      <c r="P174" s="104">
        <f t="shared" si="23"/>
        <v>4125</v>
      </c>
    </row>
    <row r="175" spans="1:16" s="92" customFormat="1" x14ac:dyDescent="0.3">
      <c r="A175" s="113" t="s">
        <v>403</v>
      </c>
      <c r="B175" s="102">
        <v>44193</v>
      </c>
      <c r="C175" s="26" t="s">
        <v>661</v>
      </c>
      <c r="D175" s="25" t="s">
        <v>1122</v>
      </c>
      <c r="E175" s="30">
        <v>106</v>
      </c>
      <c r="F175" s="13">
        <v>7</v>
      </c>
      <c r="G175" s="50">
        <f t="shared" si="24"/>
        <v>742</v>
      </c>
      <c r="H175" s="103"/>
      <c r="I175" s="103"/>
      <c r="J175" s="104"/>
      <c r="K175" s="103"/>
      <c r="L175" s="103">
        <v>3</v>
      </c>
      <c r="M175" s="103">
        <f t="shared" si="17"/>
        <v>103</v>
      </c>
      <c r="N175" s="103"/>
      <c r="O175" s="103" t="s">
        <v>945</v>
      </c>
      <c r="P175" s="104">
        <f t="shared" si="23"/>
        <v>721</v>
      </c>
    </row>
    <row r="176" spans="1:16" s="92" customFormat="1" x14ac:dyDescent="0.3">
      <c r="A176" s="113" t="s">
        <v>404</v>
      </c>
      <c r="B176" s="102">
        <v>44456</v>
      </c>
      <c r="C176" s="26" t="s">
        <v>662</v>
      </c>
      <c r="D176" s="25" t="s">
        <v>1122</v>
      </c>
      <c r="E176" s="30">
        <v>27</v>
      </c>
      <c r="F176" s="13">
        <v>7</v>
      </c>
      <c r="G176" s="50">
        <f t="shared" si="24"/>
        <v>189</v>
      </c>
      <c r="H176" s="103"/>
      <c r="I176" s="103"/>
      <c r="J176" s="104"/>
      <c r="K176" s="103"/>
      <c r="L176" s="103"/>
      <c r="M176" s="103">
        <f t="shared" ref="M176:M239" si="25">+E176+I176-L176</f>
        <v>27</v>
      </c>
      <c r="N176" s="103"/>
      <c r="O176" s="103" t="s">
        <v>945</v>
      </c>
      <c r="P176" s="104">
        <f t="shared" si="23"/>
        <v>189</v>
      </c>
    </row>
    <row r="177" spans="1:16" s="8" customFormat="1" ht="15.75" x14ac:dyDescent="0.25">
      <c r="A177" s="113" t="s">
        <v>405</v>
      </c>
      <c r="B177" s="102">
        <v>44193</v>
      </c>
      <c r="C177" s="26" t="s">
        <v>800</v>
      </c>
      <c r="D177" s="25" t="s">
        <v>1122</v>
      </c>
      <c r="E177" s="32">
        <f>6+6</f>
        <v>12</v>
      </c>
      <c r="F177" s="13">
        <v>135</v>
      </c>
      <c r="G177" s="50">
        <f t="shared" si="24"/>
        <v>1620</v>
      </c>
      <c r="H177" s="103"/>
      <c r="I177" s="103"/>
      <c r="J177" s="104"/>
      <c r="K177" s="103"/>
      <c r="L177" s="103"/>
      <c r="M177" s="103">
        <f t="shared" si="25"/>
        <v>12</v>
      </c>
      <c r="N177" s="103"/>
      <c r="O177" s="103" t="s">
        <v>946</v>
      </c>
      <c r="P177" s="104">
        <f t="shared" si="23"/>
        <v>1620</v>
      </c>
    </row>
    <row r="178" spans="1:16" s="8" customFormat="1" ht="15.75" x14ac:dyDescent="0.25">
      <c r="A178" s="113" t="s">
        <v>406</v>
      </c>
      <c r="B178" s="102">
        <v>44193</v>
      </c>
      <c r="C178" s="26" t="s">
        <v>663</v>
      </c>
      <c r="D178" s="25" t="s">
        <v>1122</v>
      </c>
      <c r="E178" s="55">
        <v>42</v>
      </c>
      <c r="F178" s="13">
        <v>115</v>
      </c>
      <c r="G178" s="50">
        <f t="shared" si="24"/>
        <v>4830</v>
      </c>
      <c r="H178" s="103"/>
      <c r="I178" s="103"/>
      <c r="J178" s="104"/>
      <c r="K178" s="103"/>
      <c r="L178" s="103"/>
      <c r="M178" s="103">
        <f t="shared" si="25"/>
        <v>42</v>
      </c>
      <c r="N178" s="103"/>
      <c r="O178" s="103" t="s">
        <v>946</v>
      </c>
      <c r="P178" s="104">
        <f t="shared" si="23"/>
        <v>4830</v>
      </c>
    </row>
    <row r="179" spans="1:16" s="92" customFormat="1" x14ac:dyDescent="0.3">
      <c r="A179" s="113" t="s">
        <v>407</v>
      </c>
      <c r="B179" s="102">
        <v>44656</v>
      </c>
      <c r="C179" s="26" t="s">
        <v>768</v>
      </c>
      <c r="D179" s="25" t="s">
        <v>1122</v>
      </c>
      <c r="E179" s="32">
        <v>104</v>
      </c>
      <c r="F179" s="13">
        <v>636.6</v>
      </c>
      <c r="G179" s="50">
        <f t="shared" si="24"/>
        <v>66206.400000000009</v>
      </c>
      <c r="H179" s="107">
        <v>44903</v>
      </c>
      <c r="I179" s="103">
        <f>20*4</f>
        <v>80</v>
      </c>
      <c r="J179" s="104">
        <v>154.58000000000001</v>
      </c>
      <c r="K179" s="108">
        <f>+I179*J179</f>
        <v>12366.400000000001</v>
      </c>
      <c r="L179" s="103">
        <f>13+4</f>
        <v>17</v>
      </c>
      <c r="M179" s="103">
        <f t="shared" si="25"/>
        <v>167</v>
      </c>
      <c r="N179" s="103"/>
      <c r="O179" s="103" t="s">
        <v>945</v>
      </c>
      <c r="P179" s="104">
        <f>+M179*J179</f>
        <v>25814.86</v>
      </c>
    </row>
    <row r="180" spans="1:16" s="92" customFormat="1" x14ac:dyDescent="0.3">
      <c r="A180" s="113" t="s">
        <v>408</v>
      </c>
      <c r="B180" s="102">
        <v>44656</v>
      </c>
      <c r="C180" s="25" t="s">
        <v>769</v>
      </c>
      <c r="D180" s="25" t="s">
        <v>1122</v>
      </c>
      <c r="E180" s="32">
        <v>74</v>
      </c>
      <c r="F180" s="13">
        <v>115.48</v>
      </c>
      <c r="G180" s="50">
        <f t="shared" si="24"/>
        <v>8545.52</v>
      </c>
      <c r="H180" s="107">
        <v>44903</v>
      </c>
      <c r="I180" s="103">
        <f>4*20</f>
        <v>80</v>
      </c>
      <c r="J180" s="104">
        <v>172.13</v>
      </c>
      <c r="K180" s="108">
        <f>+I180*J180</f>
        <v>13770.4</v>
      </c>
      <c r="L180" s="103">
        <v>21</v>
      </c>
      <c r="M180" s="103">
        <f>+E180+I180-L180</f>
        <v>133</v>
      </c>
      <c r="N180" s="103" t="s">
        <v>1006</v>
      </c>
      <c r="O180" s="103" t="s">
        <v>945</v>
      </c>
      <c r="P180" s="104">
        <f>+M180*J180</f>
        <v>22893.29</v>
      </c>
    </row>
    <row r="181" spans="1:16" s="8" customFormat="1" ht="15.75" x14ac:dyDescent="0.25">
      <c r="A181" s="113" t="s">
        <v>409</v>
      </c>
      <c r="B181" s="102">
        <v>44193</v>
      </c>
      <c r="C181" s="25" t="s">
        <v>796</v>
      </c>
      <c r="D181" s="25" t="s">
        <v>1122</v>
      </c>
      <c r="E181" s="38">
        <v>3</v>
      </c>
      <c r="F181" s="13">
        <v>352</v>
      </c>
      <c r="G181" s="50">
        <f t="shared" si="24"/>
        <v>1056</v>
      </c>
      <c r="H181" s="103"/>
      <c r="I181" s="103"/>
      <c r="J181" s="104"/>
      <c r="K181" s="103"/>
      <c r="L181" s="103"/>
      <c r="M181" s="103">
        <f t="shared" si="25"/>
        <v>3</v>
      </c>
      <c r="N181" s="103"/>
      <c r="O181" s="103" t="s">
        <v>946</v>
      </c>
      <c r="P181" s="104">
        <f>+F181*M181</f>
        <v>1056</v>
      </c>
    </row>
    <row r="182" spans="1:16" s="8" customFormat="1" ht="15.75" x14ac:dyDescent="0.25">
      <c r="A182" s="113" t="s">
        <v>410</v>
      </c>
      <c r="B182" s="102">
        <v>44193</v>
      </c>
      <c r="C182" s="25" t="s">
        <v>670</v>
      </c>
      <c r="D182" s="25" t="s">
        <v>1122</v>
      </c>
      <c r="E182" s="55">
        <f>38+19</f>
        <v>57</v>
      </c>
      <c r="F182" s="13">
        <v>67.8</v>
      </c>
      <c r="G182" s="50">
        <f t="shared" si="24"/>
        <v>3864.6</v>
      </c>
      <c r="H182" s="103"/>
      <c r="I182" s="103"/>
      <c r="J182" s="104"/>
      <c r="K182" s="103"/>
      <c r="L182" s="103"/>
      <c r="M182" s="103">
        <f t="shared" si="25"/>
        <v>57</v>
      </c>
      <c r="N182" s="103"/>
      <c r="O182" s="103" t="s">
        <v>946</v>
      </c>
      <c r="P182" s="104">
        <f t="shared" si="23"/>
        <v>3864.6</v>
      </c>
    </row>
    <row r="183" spans="1:16" s="8" customFormat="1" ht="15.75" x14ac:dyDescent="0.25">
      <c r="A183" s="113" t="s">
        <v>411</v>
      </c>
      <c r="B183" s="102">
        <v>44193</v>
      </c>
      <c r="C183" s="25" t="s">
        <v>671</v>
      </c>
      <c r="D183" s="25" t="s">
        <v>1122</v>
      </c>
      <c r="E183" s="55">
        <f>19+19</f>
        <v>38</v>
      </c>
      <c r="F183" s="13">
        <v>67.8</v>
      </c>
      <c r="G183" s="50">
        <f t="shared" si="24"/>
        <v>2576.4</v>
      </c>
      <c r="H183" s="103"/>
      <c r="I183" s="103"/>
      <c r="J183" s="104"/>
      <c r="K183" s="103"/>
      <c r="L183" s="103"/>
      <c r="M183" s="103">
        <f t="shared" si="25"/>
        <v>38</v>
      </c>
      <c r="N183" s="103"/>
      <c r="O183" s="103" t="s">
        <v>946</v>
      </c>
      <c r="P183" s="104">
        <f t="shared" si="23"/>
        <v>2576.4</v>
      </c>
    </row>
    <row r="184" spans="1:16" s="8" customFormat="1" ht="15.75" x14ac:dyDescent="0.25">
      <c r="A184" s="113" t="s">
        <v>412</v>
      </c>
      <c r="B184" s="102">
        <v>44193</v>
      </c>
      <c r="C184" s="25" t="s">
        <v>669</v>
      </c>
      <c r="D184" s="25" t="s">
        <v>1122</v>
      </c>
      <c r="E184" s="32">
        <v>0</v>
      </c>
      <c r="F184" s="13">
        <v>67.8</v>
      </c>
      <c r="G184" s="50">
        <f t="shared" si="24"/>
        <v>0</v>
      </c>
      <c r="H184" s="103"/>
      <c r="I184" s="103"/>
      <c r="J184" s="104"/>
      <c r="K184" s="103"/>
      <c r="L184" s="103"/>
      <c r="M184" s="103">
        <f t="shared" si="25"/>
        <v>0</v>
      </c>
      <c r="N184" s="103"/>
      <c r="O184" s="103" t="s">
        <v>946</v>
      </c>
      <c r="P184" s="104">
        <f t="shared" si="23"/>
        <v>0</v>
      </c>
    </row>
    <row r="185" spans="1:16" s="8" customFormat="1" ht="15.75" x14ac:dyDescent="0.25">
      <c r="A185" s="113" t="s">
        <v>413</v>
      </c>
      <c r="B185" s="102">
        <v>44193</v>
      </c>
      <c r="C185" s="9" t="s">
        <v>672</v>
      </c>
      <c r="D185" s="25" t="s">
        <v>1122</v>
      </c>
      <c r="E185" s="55">
        <v>50</v>
      </c>
      <c r="F185" s="13">
        <v>170.69</v>
      </c>
      <c r="G185" s="50">
        <f t="shared" si="24"/>
        <v>8534.5</v>
      </c>
      <c r="H185" s="103"/>
      <c r="I185" s="103"/>
      <c r="J185" s="104"/>
      <c r="K185" s="103"/>
      <c r="L185" s="103"/>
      <c r="M185" s="103">
        <f t="shared" si="25"/>
        <v>50</v>
      </c>
      <c r="N185" s="103"/>
      <c r="O185" s="103" t="s">
        <v>947</v>
      </c>
      <c r="P185" s="104">
        <f t="shared" si="23"/>
        <v>8534.5</v>
      </c>
    </row>
    <row r="186" spans="1:16" s="8" customFormat="1" ht="15.75" x14ac:dyDescent="0.25">
      <c r="A186" s="113" t="s">
        <v>414</v>
      </c>
      <c r="B186" s="102">
        <v>44193</v>
      </c>
      <c r="C186" s="9" t="s">
        <v>673</v>
      </c>
      <c r="D186" s="25" t="s">
        <v>1122</v>
      </c>
      <c r="E186" s="55">
        <v>1040</v>
      </c>
      <c r="F186" s="13">
        <v>170.69</v>
      </c>
      <c r="G186" s="50">
        <f t="shared" si="24"/>
        <v>177517.6</v>
      </c>
      <c r="H186" s="103"/>
      <c r="I186" s="103"/>
      <c r="J186" s="104"/>
      <c r="K186" s="103"/>
      <c r="L186" s="103"/>
      <c r="M186" s="103">
        <f t="shared" si="25"/>
        <v>1040</v>
      </c>
      <c r="N186" s="103"/>
      <c r="O186" s="103" t="s">
        <v>947</v>
      </c>
      <c r="P186" s="104">
        <f t="shared" si="23"/>
        <v>177517.6</v>
      </c>
    </row>
    <row r="187" spans="1:16" s="8" customFormat="1" ht="15.75" x14ac:dyDescent="0.25">
      <c r="A187" s="113" t="s">
        <v>415</v>
      </c>
      <c r="B187" s="102">
        <v>44193</v>
      </c>
      <c r="C187" s="9" t="s">
        <v>674</v>
      </c>
      <c r="D187" s="25" t="s">
        <v>1122</v>
      </c>
      <c r="E187" s="56">
        <v>1</v>
      </c>
      <c r="F187" s="13">
        <v>170.69</v>
      </c>
      <c r="G187" s="50">
        <f t="shared" si="24"/>
        <v>170.69</v>
      </c>
      <c r="H187" s="103"/>
      <c r="I187" s="103"/>
      <c r="J187" s="104"/>
      <c r="K187" s="103"/>
      <c r="L187" s="103"/>
      <c r="M187" s="103">
        <f t="shared" si="25"/>
        <v>1</v>
      </c>
      <c r="N187" s="103"/>
      <c r="O187" s="103" t="s">
        <v>947</v>
      </c>
      <c r="P187" s="104">
        <f t="shared" si="23"/>
        <v>170.69</v>
      </c>
    </row>
    <row r="188" spans="1:16" s="8" customFormat="1" ht="15.75" x14ac:dyDescent="0.25">
      <c r="A188" s="113" t="s">
        <v>416</v>
      </c>
      <c r="B188" s="102">
        <v>44193</v>
      </c>
      <c r="C188" s="9" t="s">
        <v>675</v>
      </c>
      <c r="D188" s="25" t="s">
        <v>1122</v>
      </c>
      <c r="E188" s="30">
        <v>300</v>
      </c>
      <c r="F188" s="13">
        <v>6.5</v>
      </c>
      <c r="G188" s="50">
        <f t="shared" si="24"/>
        <v>1950</v>
      </c>
      <c r="H188" s="103"/>
      <c r="I188" s="103"/>
      <c r="J188" s="104"/>
      <c r="K188" s="103"/>
      <c r="L188" s="103"/>
      <c r="M188" s="103">
        <f t="shared" si="25"/>
        <v>300</v>
      </c>
      <c r="N188" s="103"/>
      <c r="O188" s="103" t="s">
        <v>947</v>
      </c>
      <c r="P188" s="104">
        <f t="shared" si="23"/>
        <v>1950</v>
      </c>
    </row>
    <row r="189" spans="1:16" s="8" customFormat="1" ht="15.75" x14ac:dyDescent="0.25">
      <c r="A189" s="113" t="s">
        <v>417</v>
      </c>
      <c r="B189" s="102">
        <v>44193</v>
      </c>
      <c r="C189" s="9" t="s">
        <v>676</v>
      </c>
      <c r="D189" s="25" t="s">
        <v>1122</v>
      </c>
      <c r="E189" s="30">
        <v>2</v>
      </c>
      <c r="F189" s="13">
        <v>3.5</v>
      </c>
      <c r="G189" s="50">
        <f t="shared" si="24"/>
        <v>7</v>
      </c>
      <c r="H189" s="103"/>
      <c r="I189" s="103"/>
      <c r="J189" s="104"/>
      <c r="K189" s="103"/>
      <c r="L189" s="103"/>
      <c r="M189" s="103">
        <f t="shared" si="25"/>
        <v>2</v>
      </c>
      <c r="N189" s="103"/>
      <c r="O189" s="103" t="s">
        <v>947</v>
      </c>
      <c r="P189" s="104">
        <f t="shared" si="23"/>
        <v>7</v>
      </c>
    </row>
    <row r="190" spans="1:16" s="8" customFormat="1" ht="15.75" x14ac:dyDescent="0.25">
      <c r="A190" s="113" t="s">
        <v>418</v>
      </c>
      <c r="B190" s="102">
        <v>44193</v>
      </c>
      <c r="C190" s="26" t="s">
        <v>678</v>
      </c>
      <c r="D190" s="25" t="s">
        <v>1122</v>
      </c>
      <c r="E190" s="30">
        <v>5</v>
      </c>
      <c r="F190" s="13">
        <v>5000</v>
      </c>
      <c r="G190" s="50">
        <f t="shared" si="24"/>
        <v>25000</v>
      </c>
      <c r="H190" s="103"/>
      <c r="I190" s="103"/>
      <c r="J190" s="104"/>
      <c r="K190" s="103"/>
      <c r="L190" s="103"/>
      <c r="M190" s="103">
        <f t="shared" si="25"/>
        <v>5</v>
      </c>
      <c r="N190" s="103"/>
      <c r="O190" s="103" t="s">
        <v>946</v>
      </c>
      <c r="P190" s="104">
        <f t="shared" si="23"/>
        <v>25000</v>
      </c>
    </row>
    <row r="191" spans="1:16" s="8" customFormat="1" ht="15.75" x14ac:dyDescent="0.25">
      <c r="A191" s="113" t="s">
        <v>419</v>
      </c>
      <c r="B191" s="102">
        <v>44193</v>
      </c>
      <c r="C191" s="26" t="s">
        <v>677</v>
      </c>
      <c r="D191" s="25" t="s">
        <v>1122</v>
      </c>
      <c r="E191" s="30">
        <v>2</v>
      </c>
      <c r="F191" s="13">
        <v>10800</v>
      </c>
      <c r="G191" s="50">
        <f t="shared" si="24"/>
        <v>21600</v>
      </c>
      <c r="H191" s="103"/>
      <c r="I191" s="103"/>
      <c r="J191" s="104"/>
      <c r="K191" s="103"/>
      <c r="L191" s="103"/>
      <c r="M191" s="103">
        <f t="shared" si="25"/>
        <v>2</v>
      </c>
      <c r="N191" s="103"/>
      <c r="O191" s="103" t="s">
        <v>946</v>
      </c>
      <c r="P191" s="104">
        <f>+F191*M191</f>
        <v>21600</v>
      </c>
    </row>
    <row r="192" spans="1:16" s="8" customFormat="1" ht="15.75" x14ac:dyDescent="0.25">
      <c r="A192" s="113" t="s">
        <v>420</v>
      </c>
      <c r="B192" s="102">
        <v>44193</v>
      </c>
      <c r="C192" s="9" t="s">
        <v>679</v>
      </c>
      <c r="D192" s="25" t="s">
        <v>1122</v>
      </c>
      <c r="E192" s="38">
        <v>29</v>
      </c>
      <c r="F192" s="13">
        <v>33</v>
      </c>
      <c r="G192" s="50">
        <f t="shared" si="24"/>
        <v>957</v>
      </c>
      <c r="H192" s="103"/>
      <c r="I192" s="103"/>
      <c r="J192" s="104"/>
      <c r="K192" s="103"/>
      <c r="L192" s="103"/>
      <c r="M192" s="103">
        <f t="shared" si="25"/>
        <v>29</v>
      </c>
      <c r="N192" s="103"/>
      <c r="O192" s="103" t="s">
        <v>947</v>
      </c>
      <c r="P192" s="104">
        <f t="shared" si="23"/>
        <v>957</v>
      </c>
    </row>
    <row r="193" spans="1:16" s="8" customFormat="1" ht="15.75" x14ac:dyDescent="0.25">
      <c r="A193" s="113" t="s">
        <v>421</v>
      </c>
      <c r="B193" s="102">
        <v>44193</v>
      </c>
      <c r="C193" s="9" t="s">
        <v>1035</v>
      </c>
      <c r="D193" s="25" t="s">
        <v>1122</v>
      </c>
      <c r="E193" s="30">
        <f>8*12</f>
        <v>96</v>
      </c>
      <c r="F193" s="13">
        <v>15</v>
      </c>
      <c r="G193" s="50">
        <f t="shared" si="24"/>
        <v>1440</v>
      </c>
      <c r="H193" s="103"/>
      <c r="I193" s="103"/>
      <c r="J193" s="104"/>
      <c r="K193" s="103"/>
      <c r="L193" s="103">
        <v>12</v>
      </c>
      <c r="M193" s="103">
        <f t="shared" si="25"/>
        <v>84</v>
      </c>
      <c r="N193" s="103"/>
      <c r="O193" s="103" t="s">
        <v>947</v>
      </c>
      <c r="P193" s="104">
        <f>+M193*F193</f>
        <v>1260</v>
      </c>
    </row>
    <row r="194" spans="1:16" s="8" customFormat="1" ht="15.75" x14ac:dyDescent="0.25">
      <c r="A194" s="113" t="s">
        <v>422</v>
      </c>
      <c r="B194" s="102">
        <v>44547</v>
      </c>
      <c r="C194" s="9" t="s">
        <v>777</v>
      </c>
      <c r="D194" s="25" t="s">
        <v>1122</v>
      </c>
      <c r="E194" s="30">
        <v>27</v>
      </c>
      <c r="F194" s="13">
        <v>8.34</v>
      </c>
      <c r="G194" s="50">
        <f t="shared" si="24"/>
        <v>225.18</v>
      </c>
      <c r="H194" s="103"/>
      <c r="I194" s="103"/>
      <c r="J194" s="104"/>
      <c r="K194" s="103"/>
      <c r="L194" s="103"/>
      <c r="M194" s="103">
        <f t="shared" si="25"/>
        <v>27</v>
      </c>
      <c r="N194" s="103"/>
      <c r="O194" s="103" t="s">
        <v>947</v>
      </c>
      <c r="P194" s="104">
        <f t="shared" si="23"/>
        <v>225.18</v>
      </c>
    </row>
    <row r="195" spans="1:16" s="8" customFormat="1" ht="15.75" x14ac:dyDescent="0.25">
      <c r="A195" s="113" t="s">
        <v>423</v>
      </c>
      <c r="B195" s="102">
        <v>44193</v>
      </c>
      <c r="C195" s="9" t="s">
        <v>778</v>
      </c>
      <c r="D195" s="25" t="s">
        <v>1122</v>
      </c>
      <c r="E195" s="30">
        <v>12</v>
      </c>
      <c r="F195" s="13">
        <v>8.34</v>
      </c>
      <c r="G195" s="50">
        <f t="shared" si="24"/>
        <v>100.08</v>
      </c>
      <c r="H195" s="103"/>
      <c r="I195" s="103"/>
      <c r="J195" s="104"/>
      <c r="K195" s="103"/>
      <c r="L195" s="103"/>
      <c r="M195" s="103">
        <f t="shared" si="25"/>
        <v>12</v>
      </c>
      <c r="N195" s="103"/>
      <c r="O195" s="103" t="s">
        <v>947</v>
      </c>
      <c r="P195" s="104">
        <f t="shared" si="23"/>
        <v>100.08</v>
      </c>
    </row>
    <row r="196" spans="1:16" s="8" customFormat="1" ht="15.75" x14ac:dyDescent="0.25">
      <c r="A196" s="113" t="s">
        <v>424</v>
      </c>
      <c r="B196" s="102">
        <v>44193</v>
      </c>
      <c r="C196" s="9" t="s">
        <v>681</v>
      </c>
      <c r="D196" s="25" t="s">
        <v>1122</v>
      </c>
      <c r="E196" s="30">
        <v>139</v>
      </c>
      <c r="F196" s="13">
        <v>5.6</v>
      </c>
      <c r="G196" s="50">
        <f t="shared" si="24"/>
        <v>778.4</v>
      </c>
      <c r="H196" s="103"/>
      <c r="I196" s="103"/>
      <c r="J196" s="104"/>
      <c r="K196" s="103"/>
      <c r="L196" s="103"/>
      <c r="M196" s="103">
        <f t="shared" si="25"/>
        <v>139</v>
      </c>
      <c r="N196" s="103"/>
      <c r="O196" s="103" t="s">
        <v>947</v>
      </c>
      <c r="P196" s="104">
        <f>+F196*M196</f>
        <v>778.4</v>
      </c>
    </row>
    <row r="197" spans="1:16" s="92" customFormat="1" x14ac:dyDescent="0.3">
      <c r="A197" s="113" t="s">
        <v>425</v>
      </c>
      <c r="B197" s="102">
        <v>44193</v>
      </c>
      <c r="C197" s="9" t="s">
        <v>684</v>
      </c>
      <c r="D197" s="25" t="s">
        <v>1122</v>
      </c>
      <c r="E197" s="30">
        <v>79</v>
      </c>
      <c r="F197" s="13">
        <v>160</v>
      </c>
      <c r="G197" s="50">
        <f t="shared" si="24"/>
        <v>12640</v>
      </c>
      <c r="H197" s="103"/>
      <c r="I197" s="103"/>
      <c r="J197" s="104"/>
      <c r="K197" s="103"/>
      <c r="L197" s="103"/>
      <c r="M197" s="103">
        <f t="shared" si="25"/>
        <v>79</v>
      </c>
      <c r="N197" s="103"/>
      <c r="O197" s="103" t="s">
        <v>945</v>
      </c>
      <c r="P197" s="104">
        <f t="shared" si="23"/>
        <v>12640</v>
      </c>
    </row>
    <row r="198" spans="1:16" s="105" customFormat="1" ht="15.75" x14ac:dyDescent="0.25">
      <c r="A198" s="113" t="s">
        <v>426</v>
      </c>
      <c r="B198" s="102">
        <v>44193</v>
      </c>
      <c r="C198" s="9" t="s">
        <v>787</v>
      </c>
      <c r="D198" s="25" t="s">
        <v>1122</v>
      </c>
      <c r="E198" s="30">
        <v>11</v>
      </c>
      <c r="F198" s="13">
        <v>35</v>
      </c>
      <c r="G198" s="50">
        <f t="shared" si="24"/>
        <v>385</v>
      </c>
      <c r="H198" s="107">
        <v>44852</v>
      </c>
      <c r="I198" s="103">
        <v>30</v>
      </c>
      <c r="J198" s="104">
        <v>38.65</v>
      </c>
      <c r="K198" s="103">
        <f>+J198*I198</f>
        <v>1159.5</v>
      </c>
      <c r="L198" s="103"/>
      <c r="M198" s="103">
        <f t="shared" si="25"/>
        <v>41</v>
      </c>
      <c r="N198" s="103" t="s">
        <v>1037</v>
      </c>
      <c r="O198" s="103" t="s">
        <v>947</v>
      </c>
      <c r="P198" s="104">
        <f>+M198*J198</f>
        <v>1584.6499999999999</v>
      </c>
    </row>
    <row r="199" spans="1:16" s="8" customFormat="1" ht="15.75" x14ac:dyDescent="0.25">
      <c r="A199" s="113" t="s">
        <v>427</v>
      </c>
      <c r="B199" s="102"/>
      <c r="C199" s="25" t="s">
        <v>782</v>
      </c>
      <c r="D199" s="25" t="s">
        <v>1122</v>
      </c>
      <c r="E199" s="38">
        <v>38</v>
      </c>
      <c r="F199" s="13"/>
      <c r="G199" s="50"/>
      <c r="H199" s="103"/>
      <c r="I199" s="103"/>
      <c r="J199" s="104"/>
      <c r="K199" s="103"/>
      <c r="L199" s="103"/>
      <c r="M199" s="103">
        <f t="shared" si="25"/>
        <v>38</v>
      </c>
      <c r="N199" s="103"/>
      <c r="O199" s="103" t="s">
        <v>947</v>
      </c>
      <c r="P199" s="104">
        <f t="shared" si="23"/>
        <v>0</v>
      </c>
    </row>
    <row r="200" spans="1:16" s="105" customFormat="1" ht="15.75" x14ac:dyDescent="0.25">
      <c r="A200" s="113" t="s">
        <v>428</v>
      </c>
      <c r="B200" s="106" t="s">
        <v>106</v>
      </c>
      <c r="C200" s="9" t="s">
        <v>780</v>
      </c>
      <c r="D200" s="25" t="s">
        <v>1122</v>
      </c>
      <c r="E200" s="30">
        <v>2</v>
      </c>
      <c r="F200" s="51">
        <v>325</v>
      </c>
      <c r="G200" s="50">
        <f>E200*F200</f>
        <v>650</v>
      </c>
      <c r="H200" s="107">
        <v>44852</v>
      </c>
      <c r="I200" s="103">
        <v>10</v>
      </c>
      <c r="J200" s="104">
        <v>310.33999999999997</v>
      </c>
      <c r="K200" s="104">
        <f>+J200*I200</f>
        <v>3103.3999999999996</v>
      </c>
      <c r="L200" s="103">
        <v>1</v>
      </c>
      <c r="M200" s="103">
        <f t="shared" si="25"/>
        <v>11</v>
      </c>
      <c r="N200" s="103" t="s">
        <v>1037</v>
      </c>
      <c r="O200" s="103" t="s">
        <v>947</v>
      </c>
      <c r="P200" s="104">
        <f>+M200*J200</f>
        <v>3413.74</v>
      </c>
    </row>
    <row r="201" spans="1:16" s="8" customFormat="1" ht="15.75" x14ac:dyDescent="0.25">
      <c r="A201" s="113" t="s">
        <v>429</v>
      </c>
      <c r="B201" s="102"/>
      <c r="C201" s="25" t="s">
        <v>783</v>
      </c>
      <c r="D201" s="25" t="s">
        <v>1122</v>
      </c>
      <c r="E201" s="38">
        <v>15</v>
      </c>
      <c r="F201" s="13"/>
      <c r="G201" s="50"/>
      <c r="H201" s="103"/>
      <c r="I201" s="103"/>
      <c r="J201" s="104"/>
      <c r="K201" s="103"/>
      <c r="L201" s="103"/>
      <c r="M201" s="103">
        <f t="shared" si="25"/>
        <v>15</v>
      </c>
      <c r="N201" s="103"/>
      <c r="O201" s="103" t="s">
        <v>947</v>
      </c>
      <c r="P201" s="104">
        <f t="shared" si="23"/>
        <v>0</v>
      </c>
    </row>
    <row r="202" spans="1:16" s="8" customFormat="1" ht="15.75" x14ac:dyDescent="0.25">
      <c r="A202" s="113" t="s">
        <v>430</v>
      </c>
      <c r="B202" s="102">
        <v>44193</v>
      </c>
      <c r="C202" s="9" t="s">
        <v>687</v>
      </c>
      <c r="D202" s="25" t="s">
        <v>1122</v>
      </c>
      <c r="E202" s="32">
        <v>2</v>
      </c>
      <c r="F202" s="13">
        <v>175</v>
      </c>
      <c r="G202" s="50">
        <f t="shared" ref="G202:G260" si="26">E202*F202</f>
        <v>350</v>
      </c>
      <c r="H202" s="103"/>
      <c r="I202" s="103"/>
      <c r="J202" s="104"/>
      <c r="K202" s="103"/>
      <c r="L202" s="103"/>
      <c r="M202" s="103">
        <f t="shared" si="25"/>
        <v>2</v>
      </c>
      <c r="N202" s="103"/>
      <c r="O202" s="103" t="s">
        <v>947</v>
      </c>
      <c r="P202" s="104">
        <f t="shared" si="23"/>
        <v>350</v>
      </c>
    </row>
    <row r="203" spans="1:16" s="8" customFormat="1" ht="15.75" x14ac:dyDescent="0.25">
      <c r="A203" s="113" t="s">
        <v>431</v>
      </c>
      <c r="B203" s="102">
        <v>44193</v>
      </c>
      <c r="C203" s="26" t="s">
        <v>695</v>
      </c>
      <c r="D203" s="25" t="s">
        <v>1122</v>
      </c>
      <c r="E203" s="38">
        <v>1</v>
      </c>
      <c r="F203" s="13">
        <v>270.55</v>
      </c>
      <c r="G203" s="50">
        <f t="shared" si="26"/>
        <v>270.55</v>
      </c>
      <c r="H203" s="103"/>
      <c r="I203" s="103"/>
      <c r="J203" s="104"/>
      <c r="K203" s="103"/>
      <c r="L203" s="103"/>
      <c r="M203" s="103">
        <f t="shared" si="25"/>
        <v>1</v>
      </c>
      <c r="N203" s="103"/>
      <c r="O203" s="103" t="s">
        <v>946</v>
      </c>
      <c r="P203" s="104">
        <f t="shared" si="23"/>
        <v>270.55</v>
      </c>
    </row>
    <row r="204" spans="1:16" s="8" customFormat="1" ht="15.75" x14ac:dyDescent="0.25">
      <c r="A204" s="113" t="s">
        <v>432</v>
      </c>
      <c r="B204" s="102">
        <v>44193</v>
      </c>
      <c r="C204" s="25" t="s">
        <v>688</v>
      </c>
      <c r="D204" s="25" t="s">
        <v>1122</v>
      </c>
      <c r="E204" s="58">
        <v>3</v>
      </c>
      <c r="F204" s="13">
        <v>79.8</v>
      </c>
      <c r="G204" s="50">
        <f t="shared" si="26"/>
        <v>239.39999999999998</v>
      </c>
      <c r="H204" s="103"/>
      <c r="I204" s="103"/>
      <c r="J204" s="104"/>
      <c r="K204" s="103"/>
      <c r="L204" s="103"/>
      <c r="M204" s="103">
        <f t="shared" si="25"/>
        <v>3</v>
      </c>
      <c r="N204" s="103"/>
      <c r="O204" s="103" t="s">
        <v>946</v>
      </c>
      <c r="P204" s="104">
        <f t="shared" si="23"/>
        <v>239.39999999999998</v>
      </c>
    </row>
    <row r="205" spans="1:16" s="8" customFormat="1" ht="15.75" x14ac:dyDescent="0.25">
      <c r="A205" s="113" t="s">
        <v>433</v>
      </c>
      <c r="B205" s="102">
        <v>44193</v>
      </c>
      <c r="C205" s="25" t="s">
        <v>689</v>
      </c>
      <c r="D205" s="25" t="s">
        <v>1122</v>
      </c>
      <c r="E205" s="55">
        <v>7</v>
      </c>
      <c r="F205" s="13">
        <v>79.8</v>
      </c>
      <c r="G205" s="50">
        <f t="shared" si="26"/>
        <v>558.6</v>
      </c>
      <c r="H205" s="103"/>
      <c r="I205" s="103"/>
      <c r="J205" s="104"/>
      <c r="K205" s="103"/>
      <c r="L205" s="103"/>
      <c r="M205" s="103">
        <f t="shared" si="25"/>
        <v>7</v>
      </c>
      <c r="N205" s="103"/>
      <c r="O205" s="103" t="s">
        <v>946</v>
      </c>
      <c r="P205" s="104">
        <f t="shared" si="23"/>
        <v>558.6</v>
      </c>
    </row>
    <row r="206" spans="1:16" s="8" customFormat="1" ht="15.75" x14ac:dyDescent="0.25">
      <c r="A206" s="113" t="s">
        <v>434</v>
      </c>
      <c r="B206" s="102">
        <v>44193</v>
      </c>
      <c r="C206" s="25" t="s">
        <v>690</v>
      </c>
      <c r="D206" s="25" t="s">
        <v>1122</v>
      </c>
      <c r="E206" s="57">
        <v>7</v>
      </c>
      <c r="F206" s="13">
        <v>62.93</v>
      </c>
      <c r="G206" s="50">
        <f t="shared" si="26"/>
        <v>440.51</v>
      </c>
      <c r="H206" s="103"/>
      <c r="I206" s="103"/>
      <c r="J206" s="104"/>
      <c r="K206" s="103"/>
      <c r="L206" s="103"/>
      <c r="M206" s="103">
        <f t="shared" si="25"/>
        <v>7</v>
      </c>
      <c r="N206" s="103"/>
      <c r="O206" s="103" t="s">
        <v>946</v>
      </c>
      <c r="P206" s="104">
        <f t="shared" si="23"/>
        <v>440.51</v>
      </c>
    </row>
    <row r="207" spans="1:16" s="8" customFormat="1" ht="15.75" x14ac:dyDescent="0.25">
      <c r="A207" s="113" t="s">
        <v>435</v>
      </c>
      <c r="B207" s="102">
        <v>44193</v>
      </c>
      <c r="C207" s="26" t="s">
        <v>691</v>
      </c>
      <c r="D207" s="25" t="s">
        <v>1122</v>
      </c>
      <c r="E207" s="57">
        <v>21</v>
      </c>
      <c r="F207" s="13">
        <v>165</v>
      </c>
      <c r="G207" s="50">
        <f t="shared" si="26"/>
        <v>3465</v>
      </c>
      <c r="H207" s="103"/>
      <c r="I207" s="103"/>
      <c r="J207" s="104"/>
      <c r="K207" s="103"/>
      <c r="L207" s="103"/>
      <c r="M207" s="103">
        <f t="shared" si="25"/>
        <v>21</v>
      </c>
      <c r="N207" s="103"/>
      <c r="O207" s="103" t="s">
        <v>946</v>
      </c>
      <c r="P207" s="104">
        <f t="shared" si="23"/>
        <v>3465</v>
      </c>
    </row>
    <row r="208" spans="1:16" s="8" customFormat="1" ht="15.75" x14ac:dyDescent="0.25">
      <c r="A208" s="113" t="s">
        <v>436</v>
      </c>
      <c r="B208" s="102">
        <v>44193</v>
      </c>
      <c r="C208" s="26" t="s">
        <v>791</v>
      </c>
      <c r="D208" s="25" t="s">
        <v>1122</v>
      </c>
      <c r="E208" s="38">
        <v>18</v>
      </c>
      <c r="F208" s="13">
        <v>52</v>
      </c>
      <c r="G208" s="50">
        <f t="shared" si="26"/>
        <v>936</v>
      </c>
      <c r="H208" s="103"/>
      <c r="I208" s="103"/>
      <c r="J208" s="104"/>
      <c r="K208" s="103"/>
      <c r="L208" s="103">
        <v>1</v>
      </c>
      <c r="M208" s="103">
        <f t="shared" si="25"/>
        <v>17</v>
      </c>
      <c r="N208" s="103"/>
      <c r="O208" s="103" t="s">
        <v>946</v>
      </c>
      <c r="P208" s="104">
        <f t="shared" si="23"/>
        <v>884</v>
      </c>
    </row>
    <row r="209" spans="1:16" s="8" customFormat="1" ht="15.75" x14ac:dyDescent="0.25">
      <c r="A209" s="113" t="s">
        <v>437</v>
      </c>
      <c r="B209" s="102">
        <v>44193</v>
      </c>
      <c r="C209" s="26" t="s">
        <v>790</v>
      </c>
      <c r="D209" s="25" t="s">
        <v>1122</v>
      </c>
      <c r="E209" s="38">
        <v>11</v>
      </c>
      <c r="F209" s="13">
        <v>79.8</v>
      </c>
      <c r="G209" s="50">
        <f t="shared" si="26"/>
        <v>877.8</v>
      </c>
      <c r="H209" s="103"/>
      <c r="I209" s="103"/>
      <c r="J209" s="104"/>
      <c r="K209" s="103"/>
      <c r="L209" s="103"/>
      <c r="M209" s="103">
        <f t="shared" si="25"/>
        <v>11</v>
      </c>
      <c r="N209" s="103"/>
      <c r="O209" s="103" t="s">
        <v>946</v>
      </c>
      <c r="P209" s="104">
        <f>+F209*M209</f>
        <v>877.8</v>
      </c>
    </row>
    <row r="210" spans="1:16" s="8" customFormat="1" ht="15.75" x14ac:dyDescent="0.25">
      <c r="A210" s="113" t="s">
        <v>438</v>
      </c>
      <c r="B210" s="102">
        <v>44193</v>
      </c>
      <c r="C210" s="26" t="s">
        <v>693</v>
      </c>
      <c r="D210" s="25" t="s">
        <v>1122</v>
      </c>
      <c r="E210" s="38">
        <v>1</v>
      </c>
      <c r="F210" s="13">
        <v>2075</v>
      </c>
      <c r="G210" s="50">
        <f t="shared" si="26"/>
        <v>2075</v>
      </c>
      <c r="H210" s="103"/>
      <c r="I210" s="103"/>
      <c r="J210" s="104"/>
      <c r="K210" s="103"/>
      <c r="L210" s="103"/>
      <c r="M210" s="103">
        <f t="shared" si="25"/>
        <v>1</v>
      </c>
      <c r="N210" s="103"/>
      <c r="O210" s="103" t="s">
        <v>946</v>
      </c>
      <c r="P210" s="104">
        <f t="shared" si="23"/>
        <v>2075</v>
      </c>
    </row>
    <row r="211" spans="1:16" s="8" customFormat="1" ht="15.75" x14ac:dyDescent="0.25">
      <c r="A211" s="113" t="s">
        <v>439</v>
      </c>
      <c r="B211" s="102">
        <v>44193</v>
      </c>
      <c r="C211" s="26" t="s">
        <v>692</v>
      </c>
      <c r="D211" s="25" t="s">
        <v>1122</v>
      </c>
      <c r="E211" s="57">
        <v>18</v>
      </c>
      <c r="F211" s="13">
        <v>165</v>
      </c>
      <c r="G211" s="50">
        <f t="shared" si="26"/>
        <v>2970</v>
      </c>
      <c r="H211" s="103"/>
      <c r="I211" s="103"/>
      <c r="J211" s="104"/>
      <c r="K211" s="103"/>
      <c r="L211" s="103"/>
      <c r="M211" s="103">
        <f t="shared" si="25"/>
        <v>18</v>
      </c>
      <c r="N211" s="103"/>
      <c r="O211" s="103" t="s">
        <v>946</v>
      </c>
      <c r="P211" s="104">
        <f t="shared" si="23"/>
        <v>2970</v>
      </c>
    </row>
    <row r="212" spans="1:16" s="8" customFormat="1" ht="15.75" x14ac:dyDescent="0.25">
      <c r="A212" s="113" t="s">
        <v>440</v>
      </c>
      <c r="B212" s="102">
        <v>44193</v>
      </c>
      <c r="C212" s="26" t="s">
        <v>697</v>
      </c>
      <c r="D212" s="25" t="s">
        <v>1122</v>
      </c>
      <c r="E212" s="38">
        <v>20</v>
      </c>
      <c r="F212" s="13">
        <v>79.8</v>
      </c>
      <c r="G212" s="50">
        <f t="shared" si="26"/>
        <v>1596</v>
      </c>
      <c r="H212" s="103"/>
      <c r="I212" s="103"/>
      <c r="J212" s="104"/>
      <c r="K212" s="103"/>
      <c r="L212" s="103"/>
      <c r="M212" s="103">
        <f t="shared" si="25"/>
        <v>20</v>
      </c>
      <c r="N212" s="103"/>
      <c r="O212" s="103" t="s">
        <v>946</v>
      </c>
      <c r="P212" s="104">
        <f t="shared" si="23"/>
        <v>1596</v>
      </c>
    </row>
    <row r="213" spans="1:16" s="8" customFormat="1" ht="15.75" x14ac:dyDescent="0.25">
      <c r="A213" s="113" t="s">
        <v>441</v>
      </c>
      <c r="B213" s="102">
        <v>44193</v>
      </c>
      <c r="C213" s="26" t="s">
        <v>696</v>
      </c>
      <c r="D213" s="25" t="s">
        <v>1122</v>
      </c>
      <c r="E213" s="38">
        <v>9</v>
      </c>
      <c r="F213" s="13">
        <v>79.8</v>
      </c>
      <c r="G213" s="50">
        <f t="shared" si="26"/>
        <v>718.19999999999993</v>
      </c>
      <c r="H213" s="103"/>
      <c r="I213" s="103"/>
      <c r="J213" s="104"/>
      <c r="K213" s="103"/>
      <c r="L213" s="103">
        <v>1</v>
      </c>
      <c r="M213" s="103">
        <f t="shared" si="25"/>
        <v>8</v>
      </c>
      <c r="N213" s="103"/>
      <c r="O213" s="103" t="s">
        <v>946</v>
      </c>
      <c r="P213" s="104">
        <f t="shared" si="23"/>
        <v>638.4</v>
      </c>
    </row>
    <row r="214" spans="1:16" s="8" customFormat="1" ht="15.75" x14ac:dyDescent="0.25">
      <c r="A214" s="113" t="s">
        <v>442</v>
      </c>
      <c r="B214" s="102"/>
      <c r="C214" s="26" t="s">
        <v>808</v>
      </c>
      <c r="D214" s="25" t="s">
        <v>1122</v>
      </c>
      <c r="E214" s="38">
        <v>9</v>
      </c>
      <c r="F214" s="13">
        <v>352</v>
      </c>
      <c r="G214" s="50">
        <f t="shared" si="26"/>
        <v>3168</v>
      </c>
      <c r="H214" s="103"/>
      <c r="I214" s="103"/>
      <c r="J214" s="104"/>
      <c r="K214" s="103"/>
      <c r="L214" s="103"/>
      <c r="M214" s="103">
        <f t="shared" si="25"/>
        <v>9</v>
      </c>
      <c r="N214" s="103"/>
      <c r="O214" s="103" t="s">
        <v>946</v>
      </c>
      <c r="P214" s="104">
        <f t="shared" si="23"/>
        <v>3168</v>
      </c>
    </row>
    <row r="215" spans="1:16" s="92" customFormat="1" x14ac:dyDescent="0.3">
      <c r="A215" s="113" t="s">
        <v>443</v>
      </c>
      <c r="B215" s="102">
        <v>44456</v>
      </c>
      <c r="C215" s="26" t="s">
        <v>698</v>
      </c>
      <c r="D215" s="25" t="s">
        <v>1122</v>
      </c>
      <c r="E215" s="38">
        <v>3</v>
      </c>
      <c r="F215" s="13">
        <v>600</v>
      </c>
      <c r="G215" s="50">
        <f t="shared" si="26"/>
        <v>1800</v>
      </c>
      <c r="H215" s="103"/>
      <c r="I215" s="103"/>
      <c r="J215" s="104"/>
      <c r="K215" s="103"/>
      <c r="L215" s="103"/>
      <c r="M215" s="103">
        <f t="shared" si="25"/>
        <v>3</v>
      </c>
      <c r="N215" s="103"/>
      <c r="O215" s="103" t="s">
        <v>945</v>
      </c>
      <c r="P215" s="104">
        <f t="shared" si="23"/>
        <v>1800</v>
      </c>
    </row>
    <row r="216" spans="1:16" s="92" customFormat="1" x14ac:dyDescent="0.3">
      <c r="A216" s="113" t="s">
        <v>444</v>
      </c>
      <c r="B216" s="102">
        <v>44193</v>
      </c>
      <c r="C216" s="26" t="s">
        <v>699</v>
      </c>
      <c r="D216" s="25" t="s">
        <v>1122</v>
      </c>
      <c r="E216" s="38">
        <v>15</v>
      </c>
      <c r="F216" s="13">
        <v>140</v>
      </c>
      <c r="G216" s="50">
        <f t="shared" si="26"/>
        <v>2100</v>
      </c>
      <c r="H216" s="103"/>
      <c r="I216" s="103"/>
      <c r="J216" s="104"/>
      <c r="K216" s="103"/>
      <c r="L216" s="103">
        <v>1</v>
      </c>
      <c r="M216" s="103">
        <f t="shared" si="25"/>
        <v>14</v>
      </c>
      <c r="N216" s="103"/>
      <c r="O216" s="103" t="s">
        <v>945</v>
      </c>
      <c r="P216" s="104">
        <f t="shared" si="23"/>
        <v>1960</v>
      </c>
    </row>
    <row r="217" spans="1:16" s="8" customFormat="1" ht="15.75" x14ac:dyDescent="0.25">
      <c r="A217" s="113" t="s">
        <v>445</v>
      </c>
      <c r="B217" s="102">
        <v>44193</v>
      </c>
      <c r="C217" s="9" t="s">
        <v>706</v>
      </c>
      <c r="D217" s="25" t="s">
        <v>1122</v>
      </c>
      <c r="E217" s="48">
        <v>1</v>
      </c>
      <c r="F217" s="13">
        <v>5250</v>
      </c>
      <c r="G217" s="50">
        <f t="shared" si="26"/>
        <v>5250</v>
      </c>
      <c r="H217" s="103"/>
      <c r="I217" s="103"/>
      <c r="J217" s="104"/>
      <c r="K217" s="103"/>
      <c r="L217" s="103"/>
      <c r="M217" s="103">
        <f t="shared" si="25"/>
        <v>1</v>
      </c>
      <c r="N217" s="103"/>
      <c r="O217" s="103" t="s">
        <v>947</v>
      </c>
      <c r="P217" s="104">
        <f>+F217*M217</f>
        <v>5250</v>
      </c>
    </row>
    <row r="218" spans="1:16" s="8" customFormat="1" ht="15.75" x14ac:dyDescent="0.25">
      <c r="A218" s="113" t="s">
        <v>446</v>
      </c>
      <c r="B218" s="102">
        <v>44193</v>
      </c>
      <c r="C218" s="9" t="s">
        <v>700</v>
      </c>
      <c r="D218" s="25" t="s">
        <v>1122</v>
      </c>
      <c r="E218" s="48">
        <f>9+12+12+24</f>
        <v>57</v>
      </c>
      <c r="F218" s="13">
        <v>12.93</v>
      </c>
      <c r="G218" s="50">
        <f t="shared" si="26"/>
        <v>737.01</v>
      </c>
      <c r="H218" s="103"/>
      <c r="I218" s="103"/>
      <c r="J218" s="104"/>
      <c r="K218" s="103"/>
      <c r="L218" s="103"/>
      <c r="M218" s="103">
        <f t="shared" si="25"/>
        <v>57</v>
      </c>
      <c r="N218" s="103"/>
      <c r="O218" s="103" t="s">
        <v>947</v>
      </c>
      <c r="P218" s="104">
        <f t="shared" si="23"/>
        <v>737.01</v>
      </c>
    </row>
    <row r="219" spans="1:16" s="8" customFormat="1" ht="15.75" x14ac:dyDescent="0.25">
      <c r="A219" s="113" t="s">
        <v>447</v>
      </c>
      <c r="B219" s="102">
        <v>44193</v>
      </c>
      <c r="C219" s="9" t="s">
        <v>701</v>
      </c>
      <c r="D219" s="25" t="s">
        <v>1122</v>
      </c>
      <c r="E219" s="48">
        <f>16+12+12</f>
        <v>40</v>
      </c>
      <c r="F219" s="13">
        <v>14.37</v>
      </c>
      <c r="G219" s="50">
        <f t="shared" si="26"/>
        <v>574.79999999999995</v>
      </c>
      <c r="H219" s="103"/>
      <c r="I219" s="103"/>
      <c r="J219" s="104"/>
      <c r="K219" s="103"/>
      <c r="L219" s="103"/>
      <c r="M219" s="103">
        <f t="shared" si="25"/>
        <v>40</v>
      </c>
      <c r="N219" s="103"/>
      <c r="O219" s="103" t="s">
        <v>947</v>
      </c>
      <c r="P219" s="104">
        <f t="shared" si="23"/>
        <v>574.79999999999995</v>
      </c>
    </row>
    <row r="220" spans="1:16" s="8" customFormat="1" ht="15.75" x14ac:dyDescent="0.25">
      <c r="A220" s="113" t="s">
        <v>448</v>
      </c>
      <c r="B220" s="102">
        <v>44193</v>
      </c>
      <c r="C220" s="9" t="s">
        <v>702</v>
      </c>
      <c r="D220" s="25" t="s">
        <v>1122</v>
      </c>
      <c r="E220" s="48">
        <v>6</v>
      </c>
      <c r="F220" s="13">
        <v>35</v>
      </c>
      <c r="G220" s="50">
        <f t="shared" si="26"/>
        <v>210</v>
      </c>
      <c r="H220" s="103"/>
      <c r="I220" s="103"/>
      <c r="J220" s="104"/>
      <c r="K220" s="103"/>
      <c r="L220" s="103"/>
      <c r="M220" s="103">
        <f t="shared" si="25"/>
        <v>6</v>
      </c>
      <c r="N220" s="103"/>
      <c r="O220" s="103" t="s">
        <v>947</v>
      </c>
      <c r="P220" s="104">
        <f t="shared" si="23"/>
        <v>210</v>
      </c>
    </row>
    <row r="221" spans="1:16" s="8" customFormat="1" ht="15.75" x14ac:dyDescent="0.25">
      <c r="A221" s="113" t="s">
        <v>449</v>
      </c>
      <c r="B221" s="102">
        <v>44193</v>
      </c>
      <c r="C221" s="9" t="s">
        <v>703</v>
      </c>
      <c r="D221" s="25" t="s">
        <v>1122</v>
      </c>
      <c r="E221" s="48"/>
      <c r="F221" s="13">
        <v>30</v>
      </c>
      <c r="G221" s="50">
        <f t="shared" si="26"/>
        <v>0</v>
      </c>
      <c r="H221" s="103"/>
      <c r="I221" s="103"/>
      <c r="J221" s="104"/>
      <c r="K221" s="103"/>
      <c r="L221" s="103"/>
      <c r="M221" s="103">
        <f t="shared" si="25"/>
        <v>0</v>
      </c>
      <c r="N221" s="103"/>
      <c r="O221" s="103" t="s">
        <v>947</v>
      </c>
      <c r="P221" s="104">
        <f t="shared" si="23"/>
        <v>0</v>
      </c>
    </row>
    <row r="222" spans="1:16" s="8" customFormat="1" ht="15.75" x14ac:dyDescent="0.25">
      <c r="A222" s="113" t="s">
        <v>450</v>
      </c>
      <c r="B222" s="102">
        <v>44193</v>
      </c>
      <c r="C222" s="9" t="s">
        <v>704</v>
      </c>
      <c r="D222" s="25" t="s">
        <v>1122</v>
      </c>
      <c r="E222" s="48">
        <v>1300</v>
      </c>
      <c r="F222" s="13">
        <v>2.6</v>
      </c>
      <c r="G222" s="50">
        <f t="shared" si="26"/>
        <v>3380</v>
      </c>
      <c r="H222" s="103"/>
      <c r="I222" s="103"/>
      <c r="J222" s="104"/>
      <c r="K222" s="103"/>
      <c r="L222" s="103"/>
      <c r="M222" s="103">
        <f t="shared" si="25"/>
        <v>1300</v>
      </c>
      <c r="N222" s="103"/>
      <c r="O222" s="103" t="s">
        <v>947</v>
      </c>
      <c r="P222" s="104">
        <f t="shared" si="23"/>
        <v>3380</v>
      </c>
    </row>
    <row r="223" spans="1:16" s="8" customFormat="1" ht="15.75" x14ac:dyDescent="0.25">
      <c r="A223" s="113" t="s">
        <v>451</v>
      </c>
      <c r="B223" s="102">
        <v>44193</v>
      </c>
      <c r="C223" s="9" t="s">
        <v>705</v>
      </c>
      <c r="D223" s="25" t="s">
        <v>1122</v>
      </c>
      <c r="E223" s="48">
        <v>1</v>
      </c>
      <c r="F223" s="13">
        <v>728.81</v>
      </c>
      <c r="G223" s="50">
        <f t="shared" si="26"/>
        <v>728.81</v>
      </c>
      <c r="H223" s="103"/>
      <c r="I223" s="103"/>
      <c r="J223" s="104"/>
      <c r="K223" s="103"/>
      <c r="L223" s="103"/>
      <c r="M223" s="103">
        <f t="shared" si="25"/>
        <v>1</v>
      </c>
      <c r="N223" s="103"/>
      <c r="O223" s="103" t="s">
        <v>947</v>
      </c>
      <c r="P223" s="104">
        <f t="shared" si="23"/>
        <v>728.81</v>
      </c>
    </row>
    <row r="224" spans="1:16" s="8" customFormat="1" ht="15.75" x14ac:dyDescent="0.25">
      <c r="A224" s="113" t="s">
        <v>452</v>
      </c>
      <c r="B224" s="102">
        <v>44193</v>
      </c>
      <c r="C224" s="9" t="s">
        <v>709</v>
      </c>
      <c r="D224" s="25" t="s">
        <v>1122</v>
      </c>
      <c r="E224" s="58">
        <v>2</v>
      </c>
      <c r="F224" s="13">
        <v>350</v>
      </c>
      <c r="G224" s="50">
        <f t="shared" si="26"/>
        <v>700</v>
      </c>
      <c r="H224" s="103"/>
      <c r="I224" s="103"/>
      <c r="J224" s="104"/>
      <c r="K224" s="103"/>
      <c r="L224" s="103"/>
      <c r="M224" s="103">
        <f t="shared" si="25"/>
        <v>2</v>
      </c>
      <c r="N224" s="103"/>
      <c r="O224" s="103" t="s">
        <v>947</v>
      </c>
      <c r="P224" s="104">
        <f t="shared" si="23"/>
        <v>700</v>
      </c>
    </row>
    <row r="225" spans="1:16" s="8" customFormat="1" ht="15.75" x14ac:dyDescent="0.25">
      <c r="A225" s="113" t="s">
        <v>453</v>
      </c>
      <c r="B225" s="102">
        <v>44193</v>
      </c>
      <c r="C225" s="9" t="s">
        <v>707</v>
      </c>
      <c r="D225" s="25" t="s">
        <v>1122</v>
      </c>
      <c r="E225" s="48">
        <v>5</v>
      </c>
      <c r="F225" s="13">
        <v>595</v>
      </c>
      <c r="G225" s="50">
        <f t="shared" si="26"/>
        <v>2975</v>
      </c>
      <c r="H225" s="103"/>
      <c r="I225" s="103"/>
      <c r="J225" s="104"/>
      <c r="K225" s="103"/>
      <c r="L225" s="103"/>
      <c r="M225" s="103">
        <f t="shared" si="25"/>
        <v>5</v>
      </c>
      <c r="N225" s="103"/>
      <c r="O225" s="103" t="s">
        <v>947</v>
      </c>
      <c r="P225" s="104">
        <f t="shared" si="23"/>
        <v>2975</v>
      </c>
    </row>
    <row r="226" spans="1:16" s="8" customFormat="1" ht="15.75" x14ac:dyDescent="0.25">
      <c r="A226" s="113" t="s">
        <v>454</v>
      </c>
      <c r="B226" s="102">
        <v>44193</v>
      </c>
      <c r="C226" s="9" t="s">
        <v>868</v>
      </c>
      <c r="D226" s="25" t="s">
        <v>1122</v>
      </c>
      <c r="E226" s="48">
        <v>2</v>
      </c>
      <c r="F226" s="13">
        <v>300</v>
      </c>
      <c r="G226" s="50">
        <f t="shared" si="26"/>
        <v>600</v>
      </c>
      <c r="H226" s="103"/>
      <c r="I226" s="103"/>
      <c r="J226" s="104"/>
      <c r="K226" s="103"/>
      <c r="L226" s="103"/>
      <c r="M226" s="103">
        <f t="shared" si="25"/>
        <v>2</v>
      </c>
      <c r="N226" s="103"/>
      <c r="O226" s="103" t="s">
        <v>947</v>
      </c>
      <c r="P226" s="104">
        <f t="shared" si="23"/>
        <v>600</v>
      </c>
    </row>
    <row r="227" spans="1:16" s="8" customFormat="1" ht="15.75" x14ac:dyDescent="0.25">
      <c r="A227" s="113" t="s">
        <v>455</v>
      </c>
      <c r="B227" s="102">
        <v>44193</v>
      </c>
      <c r="C227" s="26" t="s">
        <v>710</v>
      </c>
      <c r="D227" s="25" t="s">
        <v>1122</v>
      </c>
      <c r="E227" s="32">
        <v>0</v>
      </c>
      <c r="F227" s="13">
        <v>3950</v>
      </c>
      <c r="G227" s="50">
        <f t="shared" si="26"/>
        <v>0</v>
      </c>
      <c r="H227" s="103"/>
      <c r="I227" s="103"/>
      <c r="J227" s="104"/>
      <c r="K227" s="103"/>
      <c r="L227" s="103"/>
      <c r="M227" s="103">
        <f t="shared" si="25"/>
        <v>0</v>
      </c>
      <c r="N227" s="103"/>
      <c r="O227" s="103" t="s">
        <v>947</v>
      </c>
      <c r="P227" s="104">
        <f t="shared" si="23"/>
        <v>0</v>
      </c>
    </row>
    <row r="228" spans="1:16" s="8" customFormat="1" ht="15.75" x14ac:dyDescent="0.25">
      <c r="A228" s="113" t="s">
        <v>456</v>
      </c>
      <c r="B228" s="106" t="s">
        <v>108</v>
      </c>
      <c r="C228" s="26" t="s">
        <v>714</v>
      </c>
      <c r="D228" s="25" t="s">
        <v>1122</v>
      </c>
      <c r="E228" s="55">
        <v>6</v>
      </c>
      <c r="F228" s="51">
        <v>11000</v>
      </c>
      <c r="G228" s="50">
        <f t="shared" si="26"/>
        <v>66000</v>
      </c>
      <c r="H228" s="103"/>
      <c r="I228" s="103"/>
      <c r="J228" s="104"/>
      <c r="K228" s="103"/>
      <c r="L228" s="103"/>
      <c r="M228" s="103">
        <f t="shared" si="25"/>
        <v>6</v>
      </c>
      <c r="N228" s="103"/>
      <c r="O228" s="103" t="s">
        <v>947</v>
      </c>
      <c r="P228" s="104">
        <f t="shared" ref="P228:P236" si="27">+F228*M228</f>
        <v>66000</v>
      </c>
    </row>
    <row r="229" spans="1:16" s="8" customFormat="1" ht="15.75" x14ac:dyDescent="0.25">
      <c r="A229" s="113" t="s">
        <v>457</v>
      </c>
      <c r="B229" s="102">
        <v>44652</v>
      </c>
      <c r="C229" s="26" t="s">
        <v>856</v>
      </c>
      <c r="D229" s="25" t="s">
        <v>1122</v>
      </c>
      <c r="E229" s="38">
        <v>5</v>
      </c>
      <c r="F229" s="59">
        <v>1700</v>
      </c>
      <c r="G229" s="50">
        <f t="shared" si="26"/>
        <v>8500</v>
      </c>
      <c r="H229" s="103"/>
      <c r="I229" s="103"/>
      <c r="J229" s="104"/>
      <c r="K229" s="103"/>
      <c r="L229" s="103"/>
      <c r="M229" s="103">
        <f t="shared" si="25"/>
        <v>5</v>
      </c>
      <c r="N229" s="103"/>
      <c r="O229" s="103" t="s">
        <v>946</v>
      </c>
      <c r="P229" s="104">
        <f t="shared" si="27"/>
        <v>8500</v>
      </c>
    </row>
    <row r="230" spans="1:16" s="8" customFormat="1" ht="15.75" x14ac:dyDescent="0.25">
      <c r="A230" s="113" t="s">
        <v>458</v>
      </c>
      <c r="B230" s="102">
        <v>44193</v>
      </c>
      <c r="C230" s="26" t="s">
        <v>712</v>
      </c>
      <c r="D230" s="25" t="s">
        <v>1122</v>
      </c>
      <c r="E230" s="32">
        <v>0</v>
      </c>
      <c r="F230" s="13">
        <v>148.31</v>
      </c>
      <c r="G230" s="50">
        <f t="shared" si="26"/>
        <v>0</v>
      </c>
      <c r="H230" s="103"/>
      <c r="I230" s="103"/>
      <c r="J230" s="104"/>
      <c r="K230" s="103"/>
      <c r="L230" s="103"/>
      <c r="M230" s="103">
        <f t="shared" si="25"/>
        <v>0</v>
      </c>
      <c r="N230" s="103"/>
      <c r="O230" s="103" t="s">
        <v>946</v>
      </c>
      <c r="P230" s="104">
        <f t="shared" si="27"/>
        <v>0</v>
      </c>
    </row>
    <row r="231" spans="1:16" s="8" customFormat="1" ht="15.75" x14ac:dyDescent="0.25">
      <c r="A231" s="113" t="s">
        <v>459</v>
      </c>
      <c r="B231" s="102">
        <v>44193</v>
      </c>
      <c r="C231" s="26" t="s">
        <v>713</v>
      </c>
      <c r="D231" s="25" t="s">
        <v>1122</v>
      </c>
      <c r="E231" s="32">
        <v>0</v>
      </c>
      <c r="F231" s="13">
        <v>122.88</v>
      </c>
      <c r="G231" s="50">
        <f t="shared" si="26"/>
        <v>0</v>
      </c>
      <c r="H231" s="103"/>
      <c r="I231" s="103"/>
      <c r="J231" s="104"/>
      <c r="K231" s="103"/>
      <c r="L231" s="103"/>
      <c r="M231" s="103">
        <f t="shared" si="25"/>
        <v>0</v>
      </c>
      <c r="N231" s="103"/>
      <c r="O231" s="103" t="s">
        <v>946</v>
      </c>
      <c r="P231" s="104">
        <f t="shared" si="27"/>
        <v>0</v>
      </c>
    </row>
    <row r="232" spans="1:16" s="8" customFormat="1" ht="15.75" x14ac:dyDescent="0.25">
      <c r="A232" s="113" t="s">
        <v>460</v>
      </c>
      <c r="B232" s="102">
        <v>44193</v>
      </c>
      <c r="C232" s="26" t="s">
        <v>847</v>
      </c>
      <c r="D232" s="25" t="s">
        <v>1122</v>
      </c>
      <c r="E232" s="32">
        <v>0</v>
      </c>
      <c r="F232" s="13">
        <v>0</v>
      </c>
      <c r="G232" s="50">
        <f t="shared" si="26"/>
        <v>0</v>
      </c>
      <c r="H232" s="103"/>
      <c r="I232" s="103"/>
      <c r="J232" s="104"/>
      <c r="K232" s="103"/>
      <c r="L232" s="103"/>
      <c r="M232" s="103">
        <f t="shared" si="25"/>
        <v>0</v>
      </c>
      <c r="N232" s="103"/>
      <c r="O232" s="103" t="s">
        <v>946</v>
      </c>
      <c r="P232" s="104">
        <f t="shared" si="27"/>
        <v>0</v>
      </c>
    </row>
    <row r="233" spans="1:16" s="8" customFormat="1" ht="15.75" x14ac:dyDescent="0.25">
      <c r="A233" s="113" t="s">
        <v>461</v>
      </c>
      <c r="B233" s="102">
        <v>44193</v>
      </c>
      <c r="C233" s="26" t="s">
        <v>711</v>
      </c>
      <c r="D233" s="25" t="s">
        <v>1122</v>
      </c>
      <c r="E233" s="32">
        <v>0</v>
      </c>
      <c r="F233" s="13">
        <v>237.29</v>
      </c>
      <c r="G233" s="50">
        <f t="shared" si="26"/>
        <v>0</v>
      </c>
      <c r="H233" s="124">
        <v>44851</v>
      </c>
      <c r="I233" s="125">
        <v>100</v>
      </c>
      <c r="J233" s="126">
        <v>156.35</v>
      </c>
      <c r="K233" s="127">
        <f>+I233*J233</f>
        <v>15635</v>
      </c>
      <c r="L233" s="125">
        <v>2</v>
      </c>
      <c r="M233" s="103">
        <f t="shared" si="25"/>
        <v>98</v>
      </c>
      <c r="N233" s="103"/>
      <c r="O233" s="103" t="s">
        <v>946</v>
      </c>
      <c r="P233" s="104">
        <f t="shared" si="27"/>
        <v>23254.42</v>
      </c>
    </row>
    <row r="234" spans="1:16" s="92" customFormat="1" x14ac:dyDescent="0.3">
      <c r="A234" s="113" t="s">
        <v>462</v>
      </c>
      <c r="B234" s="102">
        <v>44193</v>
      </c>
      <c r="C234" s="25" t="s">
        <v>716</v>
      </c>
      <c r="D234" s="25" t="s">
        <v>1122</v>
      </c>
      <c r="E234" s="32">
        <v>0</v>
      </c>
      <c r="F234" s="51">
        <v>82</v>
      </c>
      <c r="G234" s="50">
        <f t="shared" si="26"/>
        <v>0</v>
      </c>
      <c r="H234" s="125"/>
      <c r="I234" s="125"/>
      <c r="J234" s="126"/>
      <c r="K234" s="125"/>
      <c r="L234" s="125">
        <v>1</v>
      </c>
      <c r="M234" s="103">
        <f t="shared" si="25"/>
        <v>-1</v>
      </c>
      <c r="N234" s="103"/>
      <c r="O234" s="103" t="s">
        <v>945</v>
      </c>
      <c r="P234" s="104">
        <f t="shared" si="27"/>
        <v>-82</v>
      </c>
    </row>
    <row r="235" spans="1:16" s="92" customFormat="1" x14ac:dyDescent="0.3">
      <c r="A235" s="113" t="s">
        <v>463</v>
      </c>
      <c r="B235" s="102">
        <v>44193</v>
      </c>
      <c r="C235" s="25" t="s">
        <v>717</v>
      </c>
      <c r="D235" s="25" t="s">
        <v>1122</v>
      </c>
      <c r="E235" s="32">
        <v>0</v>
      </c>
      <c r="F235" s="51">
        <v>14.29</v>
      </c>
      <c r="G235" s="50">
        <f t="shared" si="26"/>
        <v>0</v>
      </c>
      <c r="H235" s="103"/>
      <c r="I235" s="103"/>
      <c r="J235" s="104"/>
      <c r="K235" s="103"/>
      <c r="L235" s="103"/>
      <c r="M235" s="103">
        <f t="shared" si="25"/>
        <v>0</v>
      </c>
      <c r="N235" s="103"/>
      <c r="O235" s="103" t="s">
        <v>945</v>
      </c>
      <c r="P235" s="104">
        <f t="shared" si="27"/>
        <v>0</v>
      </c>
    </row>
    <row r="236" spans="1:16" s="92" customFormat="1" x14ac:dyDescent="0.3">
      <c r="A236" s="113" t="s">
        <v>464</v>
      </c>
      <c r="B236" s="106" t="s">
        <v>770</v>
      </c>
      <c r="C236" s="25" t="s">
        <v>715</v>
      </c>
      <c r="D236" s="25" t="s">
        <v>1122</v>
      </c>
      <c r="E236" s="32">
        <v>6</v>
      </c>
      <c r="F236" s="51">
        <v>82</v>
      </c>
      <c r="G236" s="50">
        <f t="shared" si="26"/>
        <v>492</v>
      </c>
      <c r="H236" s="103"/>
      <c r="I236" s="103"/>
      <c r="J236" s="104"/>
      <c r="K236" s="103"/>
      <c r="L236" s="103"/>
      <c r="M236" s="103">
        <f t="shared" si="25"/>
        <v>6</v>
      </c>
      <c r="N236" s="103"/>
      <c r="O236" s="103" t="s">
        <v>945</v>
      </c>
      <c r="P236" s="104">
        <f t="shared" si="27"/>
        <v>492</v>
      </c>
    </row>
    <row r="237" spans="1:16" s="8" customFormat="1" ht="15.75" x14ac:dyDescent="0.25">
      <c r="A237" s="113" t="s">
        <v>465</v>
      </c>
      <c r="B237" s="106" t="s">
        <v>108</v>
      </c>
      <c r="C237" s="25" t="s">
        <v>718</v>
      </c>
      <c r="D237" s="25" t="s">
        <v>1122</v>
      </c>
      <c r="E237" s="32">
        <v>0</v>
      </c>
      <c r="F237" s="51">
        <v>6375</v>
      </c>
      <c r="G237" s="50">
        <f t="shared" si="26"/>
        <v>0</v>
      </c>
      <c r="H237" s="103"/>
      <c r="I237" s="103"/>
      <c r="J237" s="104"/>
      <c r="K237" s="103"/>
      <c r="L237" s="103">
        <v>1</v>
      </c>
      <c r="M237" s="103">
        <f t="shared" si="25"/>
        <v>-1</v>
      </c>
      <c r="N237" s="103"/>
      <c r="O237" s="103" t="s">
        <v>946</v>
      </c>
      <c r="P237" s="104">
        <f>+F237*M237</f>
        <v>-6375</v>
      </c>
    </row>
    <row r="238" spans="1:16" s="8" customFormat="1" ht="15.75" x14ac:dyDescent="0.25">
      <c r="A238" s="113" t="s">
        <v>466</v>
      </c>
      <c r="B238" s="102">
        <v>44193</v>
      </c>
      <c r="C238" s="9" t="s">
        <v>781</v>
      </c>
      <c r="D238" s="25" t="s">
        <v>1122</v>
      </c>
      <c r="E238" s="48">
        <v>2</v>
      </c>
      <c r="F238" s="13">
        <v>725</v>
      </c>
      <c r="G238" s="50">
        <f t="shared" si="26"/>
        <v>1450</v>
      </c>
      <c r="H238" s="103"/>
      <c r="I238" s="103"/>
      <c r="J238" s="104"/>
      <c r="K238" s="103"/>
      <c r="L238" s="103"/>
      <c r="M238" s="103">
        <f t="shared" si="25"/>
        <v>2</v>
      </c>
      <c r="N238" s="103"/>
      <c r="O238" s="103" t="s">
        <v>947</v>
      </c>
      <c r="P238" s="104">
        <f t="shared" ref="P238:P267" si="28">+M238*F238</f>
        <v>1450</v>
      </c>
    </row>
    <row r="239" spans="1:16" s="8" customFormat="1" ht="15.75" x14ac:dyDescent="0.25">
      <c r="A239" s="113" t="s">
        <v>467</v>
      </c>
      <c r="B239" s="102">
        <v>44193</v>
      </c>
      <c r="C239" s="9" t="s">
        <v>721</v>
      </c>
      <c r="D239" s="25" t="s">
        <v>1122</v>
      </c>
      <c r="E239" s="30">
        <v>40</v>
      </c>
      <c r="F239" s="13">
        <v>230</v>
      </c>
      <c r="G239" s="50">
        <f t="shared" si="26"/>
        <v>9200</v>
      </c>
      <c r="H239" s="107">
        <v>44852</v>
      </c>
      <c r="I239" s="103">
        <f>10*10</f>
        <v>100</v>
      </c>
      <c r="J239" s="104">
        <v>326.62</v>
      </c>
      <c r="K239" s="104">
        <f>+J239*I239</f>
        <v>32662</v>
      </c>
      <c r="L239" s="103">
        <f>6+1+1+8+25+1+10</f>
        <v>52</v>
      </c>
      <c r="M239" s="103">
        <f t="shared" si="25"/>
        <v>88</v>
      </c>
      <c r="N239" s="103" t="s">
        <v>1037</v>
      </c>
      <c r="O239" s="103" t="s">
        <v>947</v>
      </c>
      <c r="P239" s="104">
        <f>+M239*J239</f>
        <v>28742.560000000001</v>
      </c>
    </row>
    <row r="240" spans="1:16" s="8" customFormat="1" ht="15.75" x14ac:dyDescent="0.25">
      <c r="A240" s="113" t="s">
        <v>468</v>
      </c>
      <c r="B240" s="102">
        <v>44193</v>
      </c>
      <c r="C240" s="9" t="s">
        <v>722</v>
      </c>
      <c r="D240" s="25" t="s">
        <v>1122</v>
      </c>
      <c r="E240" s="48">
        <v>100</v>
      </c>
      <c r="F240" s="13">
        <v>2.25</v>
      </c>
      <c r="G240" s="50">
        <f t="shared" si="26"/>
        <v>225</v>
      </c>
      <c r="H240" s="103"/>
      <c r="I240" s="103"/>
      <c r="J240" s="104"/>
      <c r="K240" s="104">
        <f t="shared" ref="K240:K251" si="29">+J240*I240</f>
        <v>0</v>
      </c>
      <c r="L240" s="103">
        <v>5</v>
      </c>
      <c r="M240" s="103">
        <f t="shared" ref="M240:M303" si="30">+E240+I240-L240</f>
        <v>95</v>
      </c>
      <c r="N240" s="103"/>
      <c r="O240" s="103" t="s">
        <v>947</v>
      </c>
      <c r="P240" s="104">
        <f t="shared" si="28"/>
        <v>213.75</v>
      </c>
    </row>
    <row r="241" spans="1:16" s="105" customFormat="1" ht="15.75" x14ac:dyDescent="0.25">
      <c r="A241" s="113" t="s">
        <v>469</v>
      </c>
      <c r="B241" s="102">
        <v>44193</v>
      </c>
      <c r="C241" s="9" t="s">
        <v>1039</v>
      </c>
      <c r="D241" s="25" t="s">
        <v>1122</v>
      </c>
      <c r="E241" s="48">
        <v>7</v>
      </c>
      <c r="F241" s="13">
        <v>250</v>
      </c>
      <c r="G241" s="50">
        <f t="shared" si="26"/>
        <v>1750</v>
      </c>
      <c r="H241" s="107">
        <v>44852</v>
      </c>
      <c r="I241" s="103">
        <f>2*10</f>
        <v>20</v>
      </c>
      <c r="J241" s="104">
        <v>428.22</v>
      </c>
      <c r="K241" s="104">
        <f t="shared" si="29"/>
        <v>8564.4000000000015</v>
      </c>
      <c r="L241" s="103"/>
      <c r="M241" s="103">
        <f t="shared" si="30"/>
        <v>27</v>
      </c>
      <c r="N241" s="103" t="s">
        <v>1037</v>
      </c>
      <c r="O241" s="103" t="s">
        <v>947</v>
      </c>
      <c r="P241" s="104">
        <f>+M241*J241</f>
        <v>11561.94</v>
      </c>
    </row>
    <row r="242" spans="1:16" s="8" customFormat="1" ht="15.75" x14ac:dyDescent="0.25">
      <c r="A242" s="113" t="s">
        <v>470</v>
      </c>
      <c r="B242" s="102">
        <v>44193</v>
      </c>
      <c r="C242" s="9" t="s">
        <v>725</v>
      </c>
      <c r="D242" s="25" t="s">
        <v>1122</v>
      </c>
      <c r="E242" s="48">
        <v>61</v>
      </c>
      <c r="F242" s="13">
        <v>30</v>
      </c>
      <c r="G242" s="50">
        <f t="shared" si="26"/>
        <v>1830</v>
      </c>
      <c r="H242" s="107">
        <v>44852</v>
      </c>
      <c r="I242" s="103">
        <v>2</v>
      </c>
      <c r="J242" s="104">
        <v>21.69</v>
      </c>
      <c r="K242" s="104">
        <f t="shared" si="29"/>
        <v>43.38</v>
      </c>
      <c r="L242" s="103">
        <v>15</v>
      </c>
      <c r="M242" s="103">
        <f t="shared" si="30"/>
        <v>48</v>
      </c>
      <c r="N242" s="103" t="s">
        <v>1037</v>
      </c>
      <c r="O242" s="103" t="s">
        <v>947</v>
      </c>
      <c r="P242" s="104">
        <f>+M242*J242</f>
        <v>1041.1200000000001</v>
      </c>
    </row>
    <row r="243" spans="1:16" s="105" customFormat="1" ht="15.75" x14ac:dyDescent="0.25">
      <c r="A243" s="113" t="s">
        <v>466</v>
      </c>
      <c r="B243" s="102">
        <v>44193</v>
      </c>
      <c r="C243" s="9" t="s">
        <v>781</v>
      </c>
      <c r="D243" s="25" t="s">
        <v>1122</v>
      </c>
      <c r="E243" s="48">
        <v>2</v>
      </c>
      <c r="F243" s="13">
        <v>725</v>
      </c>
      <c r="G243" s="50">
        <f t="shared" si="26"/>
        <v>1450</v>
      </c>
      <c r="H243" s="107">
        <v>44851</v>
      </c>
      <c r="I243" s="103">
        <v>2</v>
      </c>
      <c r="J243" s="104">
        <v>857.86</v>
      </c>
      <c r="K243" s="103">
        <f>+J243*I243</f>
        <v>1715.72</v>
      </c>
      <c r="L243" s="103"/>
      <c r="M243" s="103">
        <f t="shared" si="30"/>
        <v>4</v>
      </c>
      <c r="N243" s="103" t="s">
        <v>1037</v>
      </c>
      <c r="O243" s="103" t="s">
        <v>947</v>
      </c>
      <c r="P243" s="104">
        <f>+M243*J243</f>
        <v>3431.44</v>
      </c>
    </row>
    <row r="244" spans="1:16" s="8" customFormat="1" ht="15.75" x14ac:dyDescent="0.25">
      <c r="A244" s="113" t="s">
        <v>472</v>
      </c>
      <c r="B244" s="102">
        <v>44652</v>
      </c>
      <c r="C244" s="128" t="s">
        <v>727</v>
      </c>
      <c r="D244" s="25" t="s">
        <v>1122</v>
      </c>
      <c r="E244" s="14">
        <v>190</v>
      </c>
      <c r="F244" s="13">
        <v>560</v>
      </c>
      <c r="G244" s="50">
        <f t="shared" si="26"/>
        <v>106400</v>
      </c>
      <c r="H244" s="107">
        <v>44778</v>
      </c>
      <c r="I244" s="103">
        <f>70*6</f>
        <v>420</v>
      </c>
      <c r="J244" s="104">
        <f>65254/I244</f>
        <v>155.36666666666667</v>
      </c>
      <c r="K244" s="104">
        <f t="shared" si="29"/>
        <v>65254</v>
      </c>
      <c r="L244" s="103">
        <f>4+4+4+2+4+3+6+6+3+12+4+4+3+6+1+2+4+5+18+24+6+18+4+24+12+12+12</f>
        <v>207</v>
      </c>
      <c r="M244" s="103">
        <f t="shared" si="30"/>
        <v>403</v>
      </c>
      <c r="N244" s="103" t="s">
        <v>943</v>
      </c>
      <c r="O244" s="103" t="s">
        <v>947</v>
      </c>
      <c r="P244" s="104">
        <f>+M244*J244</f>
        <v>62612.76666666667</v>
      </c>
    </row>
    <row r="245" spans="1:16" s="8" customFormat="1" ht="15.75" x14ac:dyDescent="0.25">
      <c r="A245" s="113" t="s">
        <v>473</v>
      </c>
      <c r="B245" s="106" t="s">
        <v>112</v>
      </c>
      <c r="C245" s="26" t="s">
        <v>752</v>
      </c>
      <c r="D245" s="25" t="s">
        <v>1122</v>
      </c>
      <c r="E245" s="38">
        <v>3</v>
      </c>
      <c r="F245" s="13">
        <v>135</v>
      </c>
      <c r="G245" s="50">
        <f t="shared" si="26"/>
        <v>405</v>
      </c>
      <c r="H245" s="103"/>
      <c r="I245" s="103"/>
      <c r="J245" s="104"/>
      <c r="K245" s="104">
        <f t="shared" si="29"/>
        <v>0</v>
      </c>
      <c r="L245" s="103"/>
      <c r="M245" s="103">
        <f t="shared" si="30"/>
        <v>3</v>
      </c>
      <c r="N245" s="103"/>
      <c r="O245" s="103" t="s">
        <v>947</v>
      </c>
      <c r="P245" s="104">
        <f t="shared" si="28"/>
        <v>405</v>
      </c>
    </row>
    <row r="246" spans="1:16" s="105" customFormat="1" ht="15.75" x14ac:dyDescent="0.25">
      <c r="A246" s="113" t="s">
        <v>507</v>
      </c>
      <c r="B246" s="102">
        <v>44193</v>
      </c>
      <c r="C246" s="9" t="s">
        <v>728</v>
      </c>
      <c r="D246" s="25" t="s">
        <v>1122</v>
      </c>
      <c r="E246" s="30">
        <v>0</v>
      </c>
      <c r="F246" s="13">
        <v>62.5</v>
      </c>
      <c r="G246" s="50">
        <f t="shared" si="26"/>
        <v>0</v>
      </c>
      <c r="H246" s="107">
        <v>44852</v>
      </c>
      <c r="I246" s="103">
        <v>5</v>
      </c>
      <c r="J246" s="104">
        <v>206.54</v>
      </c>
      <c r="K246" s="103">
        <f>+J246*I246</f>
        <v>1032.7</v>
      </c>
      <c r="L246" s="103">
        <v>1</v>
      </c>
      <c r="M246" s="103">
        <f t="shared" si="30"/>
        <v>4</v>
      </c>
      <c r="N246" s="103" t="s">
        <v>1037</v>
      </c>
      <c r="O246" s="103" t="s">
        <v>947</v>
      </c>
      <c r="P246" s="104">
        <f>+M246*J246</f>
        <v>826.16</v>
      </c>
    </row>
    <row r="247" spans="1:16" s="8" customFormat="1" ht="15.75" x14ac:dyDescent="0.25">
      <c r="A247" s="113" t="s">
        <v>508</v>
      </c>
      <c r="B247" s="102">
        <v>44193</v>
      </c>
      <c r="C247" s="9" t="s">
        <v>729</v>
      </c>
      <c r="D247" s="25" t="s">
        <v>1122</v>
      </c>
      <c r="E247" s="30">
        <v>226</v>
      </c>
      <c r="F247" s="13">
        <v>22.2</v>
      </c>
      <c r="G247" s="50">
        <f t="shared" si="26"/>
        <v>5017.2</v>
      </c>
      <c r="H247" s="103"/>
      <c r="I247" s="103"/>
      <c r="J247" s="104"/>
      <c r="K247" s="104">
        <f t="shared" si="29"/>
        <v>0</v>
      </c>
      <c r="L247" s="103"/>
      <c r="M247" s="103">
        <f t="shared" si="30"/>
        <v>226</v>
      </c>
      <c r="N247" s="103"/>
      <c r="O247" s="103" t="s">
        <v>947</v>
      </c>
      <c r="P247" s="104">
        <f t="shared" si="28"/>
        <v>5017.2</v>
      </c>
    </row>
    <row r="248" spans="1:16" s="8" customFormat="1" ht="15.75" x14ac:dyDescent="0.25">
      <c r="A248" s="113" t="s">
        <v>509</v>
      </c>
      <c r="B248" s="102">
        <v>44193</v>
      </c>
      <c r="C248" s="9" t="s">
        <v>730</v>
      </c>
      <c r="D248" s="25" t="s">
        <v>1122</v>
      </c>
      <c r="E248" s="30">
        <v>2</v>
      </c>
      <c r="F248" s="13">
        <v>375</v>
      </c>
      <c r="G248" s="50">
        <f t="shared" si="26"/>
        <v>750</v>
      </c>
      <c r="H248" s="107">
        <v>44610</v>
      </c>
      <c r="I248" s="103">
        <v>2</v>
      </c>
      <c r="J248" s="104">
        <v>284.99</v>
      </c>
      <c r="K248" s="104">
        <f t="shared" si="29"/>
        <v>569.98</v>
      </c>
      <c r="L248" s="103"/>
      <c r="M248" s="103">
        <f t="shared" si="30"/>
        <v>4</v>
      </c>
      <c r="N248" s="103" t="s">
        <v>1037</v>
      </c>
      <c r="O248" s="103" t="s">
        <v>947</v>
      </c>
      <c r="P248" s="104">
        <f>+M248*J248</f>
        <v>1139.96</v>
      </c>
    </row>
    <row r="249" spans="1:16" s="8" customFormat="1" ht="15.75" x14ac:dyDescent="0.25">
      <c r="A249" s="113" t="s">
        <v>869</v>
      </c>
      <c r="B249" s="102">
        <v>44193</v>
      </c>
      <c r="C249" s="25" t="s">
        <v>825</v>
      </c>
      <c r="D249" s="25" t="s">
        <v>1122</v>
      </c>
      <c r="E249" s="38">
        <v>11</v>
      </c>
      <c r="F249" s="13">
        <v>301</v>
      </c>
      <c r="G249" s="50">
        <f t="shared" si="26"/>
        <v>3311</v>
      </c>
      <c r="H249" s="103"/>
      <c r="I249" s="103"/>
      <c r="J249" s="104"/>
      <c r="K249" s="104">
        <f t="shared" si="29"/>
        <v>0</v>
      </c>
      <c r="L249" s="103"/>
      <c r="M249" s="103">
        <f t="shared" si="30"/>
        <v>11</v>
      </c>
      <c r="N249" s="103"/>
      <c r="O249" s="103" t="s">
        <v>947</v>
      </c>
      <c r="P249" s="104">
        <f t="shared" si="28"/>
        <v>3311</v>
      </c>
    </row>
    <row r="250" spans="1:16" s="92" customFormat="1" x14ac:dyDescent="0.3">
      <c r="A250" s="113" t="s">
        <v>512</v>
      </c>
      <c r="B250" s="106" t="s">
        <v>106</v>
      </c>
      <c r="C250" s="25" t="s">
        <v>731</v>
      </c>
      <c r="D250" s="25" t="s">
        <v>1122</v>
      </c>
      <c r="E250" s="30">
        <v>0</v>
      </c>
      <c r="F250" s="51">
        <v>171.6</v>
      </c>
      <c r="G250" s="50">
        <f t="shared" si="26"/>
        <v>0</v>
      </c>
      <c r="H250" s="107">
        <v>44903</v>
      </c>
      <c r="I250" s="103">
        <f>5*48</f>
        <v>240</v>
      </c>
      <c r="J250" s="104">
        <v>56.54</v>
      </c>
      <c r="K250" s="104">
        <f t="shared" si="29"/>
        <v>13569.6</v>
      </c>
      <c r="L250" s="103">
        <f>48+3+3+2</f>
        <v>56</v>
      </c>
      <c r="M250" s="103">
        <f t="shared" si="30"/>
        <v>184</v>
      </c>
      <c r="N250" s="103" t="s">
        <v>1006</v>
      </c>
      <c r="O250" s="103" t="s">
        <v>945</v>
      </c>
      <c r="P250" s="104">
        <f t="shared" si="28"/>
        <v>31574.399999999998</v>
      </c>
    </row>
    <row r="251" spans="1:16" s="105" customFormat="1" ht="15.75" x14ac:dyDescent="0.25">
      <c r="A251" s="113" t="s">
        <v>870</v>
      </c>
      <c r="B251" s="102">
        <v>44193</v>
      </c>
      <c r="C251" s="9" t="s">
        <v>950</v>
      </c>
      <c r="D251" s="25" t="s">
        <v>1122</v>
      </c>
      <c r="E251" s="30">
        <v>12</v>
      </c>
      <c r="F251" s="13">
        <v>65</v>
      </c>
      <c r="G251" s="50">
        <f t="shared" si="26"/>
        <v>780</v>
      </c>
      <c r="H251" s="107">
        <v>44852</v>
      </c>
      <c r="I251" s="103">
        <v>32</v>
      </c>
      <c r="J251" s="104">
        <v>44.54</v>
      </c>
      <c r="K251" s="104">
        <f t="shared" si="29"/>
        <v>1425.28</v>
      </c>
      <c r="L251" s="103">
        <f>4+4</f>
        <v>8</v>
      </c>
      <c r="M251" s="103">
        <f t="shared" si="30"/>
        <v>36</v>
      </c>
      <c r="N251" s="103"/>
      <c r="O251" s="103" t="s">
        <v>945</v>
      </c>
      <c r="P251" s="104">
        <f>+M251*J251</f>
        <v>1603.44</v>
      </c>
    </row>
    <row r="252" spans="1:16" s="92" customFormat="1" x14ac:dyDescent="0.3">
      <c r="A252" s="113" t="s">
        <v>513</v>
      </c>
      <c r="B252" s="102">
        <v>44678</v>
      </c>
      <c r="C252" s="25" t="s">
        <v>853</v>
      </c>
      <c r="D252" s="25" t="s">
        <v>1122</v>
      </c>
      <c r="E252" s="56">
        <v>16</v>
      </c>
      <c r="F252" s="13">
        <v>3000</v>
      </c>
      <c r="G252" s="50">
        <f t="shared" si="26"/>
        <v>48000</v>
      </c>
      <c r="H252" s="103"/>
      <c r="I252" s="103"/>
      <c r="J252" s="104"/>
      <c r="K252" s="103"/>
      <c r="L252" s="103"/>
      <c r="M252" s="103">
        <f t="shared" si="30"/>
        <v>16</v>
      </c>
      <c r="N252" s="103"/>
      <c r="O252" s="103" t="s">
        <v>945</v>
      </c>
      <c r="P252" s="104">
        <f t="shared" si="28"/>
        <v>48000</v>
      </c>
    </row>
    <row r="253" spans="1:16" s="92" customFormat="1" x14ac:dyDescent="0.3">
      <c r="A253" s="113" t="s">
        <v>514</v>
      </c>
      <c r="B253" s="102">
        <v>44193</v>
      </c>
      <c r="C253" s="25" t="s">
        <v>734</v>
      </c>
      <c r="D253" s="25" t="s">
        <v>1122</v>
      </c>
      <c r="E253" s="38">
        <v>0</v>
      </c>
      <c r="F253" s="13">
        <v>1500</v>
      </c>
      <c r="G253" s="50">
        <f t="shared" si="26"/>
        <v>0</v>
      </c>
      <c r="H253" s="103"/>
      <c r="I253" s="103"/>
      <c r="J253" s="104"/>
      <c r="K253" s="103"/>
      <c r="L253" s="103"/>
      <c r="M253" s="103">
        <f t="shared" si="30"/>
        <v>0</v>
      </c>
      <c r="N253" s="103"/>
      <c r="O253" s="103" t="s">
        <v>945</v>
      </c>
      <c r="P253" s="104">
        <f t="shared" si="28"/>
        <v>0</v>
      </c>
    </row>
    <row r="254" spans="1:16" s="92" customFormat="1" x14ac:dyDescent="0.3">
      <c r="A254" s="113" t="s">
        <v>871</v>
      </c>
      <c r="B254" s="102">
        <v>44678</v>
      </c>
      <c r="C254" s="25" t="s">
        <v>852</v>
      </c>
      <c r="D254" s="25" t="s">
        <v>1122</v>
      </c>
      <c r="E254" s="57">
        <v>11</v>
      </c>
      <c r="F254" s="13">
        <v>1500</v>
      </c>
      <c r="G254" s="50">
        <f t="shared" si="26"/>
        <v>16500</v>
      </c>
      <c r="H254" s="103"/>
      <c r="I254" s="103"/>
      <c r="J254" s="104"/>
      <c r="K254" s="103"/>
      <c r="L254" s="103"/>
      <c r="M254" s="103">
        <f t="shared" si="30"/>
        <v>11</v>
      </c>
      <c r="N254" s="103"/>
      <c r="O254" s="103" t="s">
        <v>945</v>
      </c>
      <c r="P254" s="104">
        <f t="shared" si="28"/>
        <v>16500</v>
      </c>
    </row>
    <row r="255" spans="1:16" s="92" customFormat="1" x14ac:dyDescent="0.3">
      <c r="A255" s="113" t="s">
        <v>872</v>
      </c>
      <c r="B255" s="102">
        <v>44678</v>
      </c>
      <c r="C255" s="25" t="s">
        <v>735</v>
      </c>
      <c r="D255" s="25" t="s">
        <v>1122</v>
      </c>
      <c r="E255" s="57">
        <v>3</v>
      </c>
      <c r="F255" s="13">
        <v>3800</v>
      </c>
      <c r="G255" s="50">
        <f t="shared" si="26"/>
        <v>11400</v>
      </c>
      <c r="H255" s="103"/>
      <c r="I255" s="103"/>
      <c r="J255" s="104"/>
      <c r="K255" s="103"/>
      <c r="L255" s="103"/>
      <c r="M255" s="103">
        <f t="shared" si="30"/>
        <v>3</v>
      </c>
      <c r="N255" s="103"/>
      <c r="O255" s="103" t="s">
        <v>945</v>
      </c>
      <c r="P255" s="104">
        <f t="shared" si="28"/>
        <v>11400</v>
      </c>
    </row>
    <row r="256" spans="1:16" s="92" customFormat="1" x14ac:dyDescent="0.3">
      <c r="A256" s="113" t="s">
        <v>515</v>
      </c>
      <c r="B256" s="102">
        <v>44678</v>
      </c>
      <c r="C256" s="25" t="s">
        <v>737</v>
      </c>
      <c r="D256" s="25" t="s">
        <v>1122</v>
      </c>
      <c r="E256" s="57">
        <v>2</v>
      </c>
      <c r="F256" s="13">
        <v>1500</v>
      </c>
      <c r="G256" s="50">
        <f t="shared" si="26"/>
        <v>3000</v>
      </c>
      <c r="H256" s="103"/>
      <c r="I256" s="103"/>
      <c r="J256" s="104"/>
      <c r="K256" s="103"/>
      <c r="L256" s="103"/>
      <c r="M256" s="103">
        <f t="shared" si="30"/>
        <v>2</v>
      </c>
      <c r="N256" s="103"/>
      <c r="O256" s="103" t="s">
        <v>945</v>
      </c>
      <c r="P256" s="104">
        <f t="shared" si="28"/>
        <v>3000</v>
      </c>
    </row>
    <row r="257" spans="1:16" s="92" customFormat="1" x14ac:dyDescent="0.3">
      <c r="A257" s="113" t="s">
        <v>516</v>
      </c>
      <c r="B257" s="102">
        <v>44678</v>
      </c>
      <c r="C257" s="25" t="s">
        <v>736</v>
      </c>
      <c r="D257" s="25" t="s">
        <v>1122</v>
      </c>
      <c r="E257" s="57">
        <v>2</v>
      </c>
      <c r="F257" s="13">
        <v>3800</v>
      </c>
      <c r="G257" s="50">
        <f t="shared" si="26"/>
        <v>7600</v>
      </c>
      <c r="H257" s="103"/>
      <c r="I257" s="103"/>
      <c r="J257" s="104"/>
      <c r="K257" s="103"/>
      <c r="L257" s="103"/>
      <c r="M257" s="103">
        <f t="shared" si="30"/>
        <v>2</v>
      </c>
      <c r="N257" s="103"/>
      <c r="O257" s="103" t="s">
        <v>945</v>
      </c>
      <c r="P257" s="104">
        <f t="shared" si="28"/>
        <v>7600</v>
      </c>
    </row>
    <row r="258" spans="1:16" s="92" customFormat="1" x14ac:dyDescent="0.3">
      <c r="A258" s="113" t="s">
        <v>517</v>
      </c>
      <c r="B258" s="102">
        <v>44678</v>
      </c>
      <c r="C258" s="25" t="s">
        <v>738</v>
      </c>
      <c r="D258" s="25" t="s">
        <v>1122</v>
      </c>
      <c r="E258" s="57">
        <v>4</v>
      </c>
      <c r="F258" s="13">
        <v>3800</v>
      </c>
      <c r="G258" s="50">
        <f t="shared" si="26"/>
        <v>15200</v>
      </c>
      <c r="H258" s="103"/>
      <c r="I258" s="103"/>
      <c r="J258" s="104"/>
      <c r="K258" s="103"/>
      <c r="L258" s="103"/>
      <c r="M258" s="103">
        <f t="shared" si="30"/>
        <v>4</v>
      </c>
      <c r="N258" s="103"/>
      <c r="O258" s="103" t="s">
        <v>945</v>
      </c>
      <c r="P258" s="104">
        <f t="shared" si="28"/>
        <v>15200</v>
      </c>
    </row>
    <row r="259" spans="1:16" s="92" customFormat="1" x14ac:dyDescent="0.3">
      <c r="A259" s="113" t="s">
        <v>518</v>
      </c>
      <c r="B259" s="102">
        <v>44678</v>
      </c>
      <c r="C259" s="26" t="s">
        <v>751</v>
      </c>
      <c r="D259" s="25" t="s">
        <v>1122</v>
      </c>
      <c r="E259" s="57">
        <v>16</v>
      </c>
      <c r="F259" s="13">
        <v>3000</v>
      </c>
      <c r="G259" s="50">
        <f t="shared" si="26"/>
        <v>48000</v>
      </c>
      <c r="H259" s="103"/>
      <c r="I259" s="103"/>
      <c r="J259" s="104"/>
      <c r="K259" s="103"/>
      <c r="L259" s="103"/>
      <c r="M259" s="103">
        <f t="shared" si="30"/>
        <v>16</v>
      </c>
      <c r="N259" s="103"/>
      <c r="O259" s="103" t="s">
        <v>945</v>
      </c>
      <c r="P259" s="104">
        <f t="shared" si="28"/>
        <v>48000</v>
      </c>
    </row>
    <row r="260" spans="1:16" s="92" customFormat="1" x14ac:dyDescent="0.3">
      <c r="A260" s="113" t="s">
        <v>519</v>
      </c>
      <c r="B260" s="102">
        <v>44678</v>
      </c>
      <c r="C260" s="25" t="s">
        <v>845</v>
      </c>
      <c r="D260" s="25" t="s">
        <v>1122</v>
      </c>
      <c r="E260" s="38">
        <v>2</v>
      </c>
      <c r="F260" s="13">
        <v>200</v>
      </c>
      <c r="G260" s="50">
        <f t="shared" si="26"/>
        <v>400</v>
      </c>
      <c r="H260" s="103"/>
      <c r="I260" s="103"/>
      <c r="J260" s="104"/>
      <c r="K260" s="103"/>
      <c r="L260" s="103"/>
      <c r="M260" s="103">
        <f t="shared" si="30"/>
        <v>2</v>
      </c>
      <c r="N260" s="103"/>
      <c r="O260" s="103" t="s">
        <v>945</v>
      </c>
      <c r="P260" s="104">
        <f t="shared" si="28"/>
        <v>400</v>
      </c>
    </row>
    <row r="261" spans="1:16" s="8" customFormat="1" ht="15.75" x14ac:dyDescent="0.25">
      <c r="A261" s="113" t="s">
        <v>520</v>
      </c>
      <c r="B261" s="102">
        <v>44193</v>
      </c>
      <c r="C261" s="9" t="s">
        <v>740</v>
      </c>
      <c r="D261" s="25" t="s">
        <v>1122</v>
      </c>
      <c r="E261" s="30">
        <v>3</v>
      </c>
      <c r="F261" s="13">
        <v>75</v>
      </c>
      <c r="G261" s="50">
        <f>E261*F261</f>
        <v>225</v>
      </c>
      <c r="H261" s="103"/>
      <c r="I261" s="103"/>
      <c r="J261" s="104"/>
      <c r="K261" s="103"/>
      <c r="L261" s="103"/>
      <c r="M261" s="103">
        <f t="shared" si="30"/>
        <v>3</v>
      </c>
      <c r="N261" s="103"/>
      <c r="O261" s="103" t="s">
        <v>947</v>
      </c>
      <c r="P261" s="104">
        <f t="shared" si="28"/>
        <v>225</v>
      </c>
    </row>
    <row r="262" spans="1:16" s="8" customFormat="1" ht="15.75" x14ac:dyDescent="0.25">
      <c r="A262" s="113" t="s">
        <v>521</v>
      </c>
      <c r="B262" s="102">
        <v>44193</v>
      </c>
      <c r="C262" s="9" t="s">
        <v>739</v>
      </c>
      <c r="D262" s="25" t="s">
        <v>1122</v>
      </c>
      <c r="E262" s="30">
        <v>300</v>
      </c>
      <c r="F262" s="13">
        <v>29</v>
      </c>
      <c r="G262" s="50">
        <f>E262*F262</f>
        <v>8700</v>
      </c>
      <c r="H262" s="103"/>
      <c r="I262" s="103"/>
      <c r="J262" s="104"/>
      <c r="K262" s="103"/>
      <c r="L262" s="103"/>
      <c r="M262" s="103">
        <f t="shared" si="30"/>
        <v>300</v>
      </c>
      <c r="N262" s="103"/>
      <c r="O262" s="103" t="s">
        <v>947</v>
      </c>
      <c r="P262" s="104">
        <f t="shared" si="28"/>
        <v>8700</v>
      </c>
    </row>
    <row r="263" spans="1:16" s="8" customFormat="1" ht="15.75" x14ac:dyDescent="0.25">
      <c r="A263" s="113" t="s">
        <v>522</v>
      </c>
      <c r="B263" s="102">
        <v>44193</v>
      </c>
      <c r="C263" s="25" t="s">
        <v>826</v>
      </c>
      <c r="D263" s="25" t="s">
        <v>1122</v>
      </c>
      <c r="E263" s="38">
        <v>16</v>
      </c>
      <c r="F263" s="13">
        <v>143</v>
      </c>
      <c r="G263" s="50">
        <f>E263*F263</f>
        <v>2288</v>
      </c>
      <c r="H263" s="103"/>
      <c r="I263" s="103"/>
      <c r="J263" s="104"/>
      <c r="K263" s="103"/>
      <c r="L263" s="103"/>
      <c r="M263" s="103">
        <f t="shared" si="30"/>
        <v>16</v>
      </c>
      <c r="N263" s="103"/>
      <c r="O263" s="103" t="s">
        <v>946</v>
      </c>
      <c r="P263" s="104">
        <f t="shared" si="28"/>
        <v>2288</v>
      </c>
    </row>
    <row r="264" spans="1:16" s="8" customFormat="1" ht="15.75" x14ac:dyDescent="0.25">
      <c r="A264" s="113" t="s">
        <v>523</v>
      </c>
      <c r="B264" s="102">
        <v>44193</v>
      </c>
      <c r="C264" s="9" t="s">
        <v>741</v>
      </c>
      <c r="D264" s="25" t="s">
        <v>1122</v>
      </c>
      <c r="E264" s="56">
        <v>112</v>
      </c>
      <c r="F264" s="13">
        <v>8.5</v>
      </c>
      <c r="G264" s="50">
        <f t="shared" ref="G264:G271" si="31">E264*F264</f>
        <v>952</v>
      </c>
      <c r="H264" s="103"/>
      <c r="I264" s="103"/>
      <c r="J264" s="104"/>
      <c r="K264" s="103"/>
      <c r="L264" s="103"/>
      <c r="M264" s="103">
        <f t="shared" si="30"/>
        <v>112</v>
      </c>
      <c r="N264" s="103"/>
      <c r="O264" s="103" t="s">
        <v>947</v>
      </c>
      <c r="P264" s="104">
        <f t="shared" si="28"/>
        <v>952</v>
      </c>
    </row>
    <row r="265" spans="1:16" s="8" customFormat="1" ht="15.75" x14ac:dyDescent="0.25">
      <c r="A265" s="113" t="s">
        <v>524</v>
      </c>
      <c r="B265" s="102">
        <v>44193</v>
      </c>
      <c r="C265" s="9" t="s">
        <v>742</v>
      </c>
      <c r="D265" s="25" t="s">
        <v>1122</v>
      </c>
      <c r="E265" s="56">
        <v>24</v>
      </c>
      <c r="F265" s="13">
        <v>12</v>
      </c>
      <c r="G265" s="50">
        <f t="shared" si="31"/>
        <v>288</v>
      </c>
      <c r="H265" s="103"/>
      <c r="I265" s="103"/>
      <c r="J265" s="104"/>
      <c r="K265" s="103"/>
      <c r="L265" s="103"/>
      <c r="M265" s="103">
        <f t="shared" si="30"/>
        <v>24</v>
      </c>
      <c r="N265" s="103"/>
      <c r="O265" s="103" t="s">
        <v>947</v>
      </c>
      <c r="P265" s="104">
        <f t="shared" si="28"/>
        <v>288</v>
      </c>
    </row>
    <row r="266" spans="1:16" s="8" customFormat="1" ht="15.75" x14ac:dyDescent="0.25">
      <c r="A266" s="113" t="s">
        <v>525</v>
      </c>
      <c r="B266" s="102">
        <v>44193</v>
      </c>
      <c r="C266" s="9" t="s">
        <v>743</v>
      </c>
      <c r="D266" s="25" t="s">
        <v>1122</v>
      </c>
      <c r="E266" s="30">
        <v>34</v>
      </c>
      <c r="F266" s="13">
        <v>8</v>
      </c>
      <c r="G266" s="50">
        <f t="shared" si="31"/>
        <v>272</v>
      </c>
      <c r="H266" s="103"/>
      <c r="I266" s="103"/>
      <c r="J266" s="104"/>
      <c r="K266" s="103"/>
      <c r="L266" s="103"/>
      <c r="M266" s="103">
        <f t="shared" si="30"/>
        <v>34</v>
      </c>
      <c r="N266" s="103"/>
      <c r="O266" s="103" t="s">
        <v>947</v>
      </c>
      <c r="P266" s="104">
        <f t="shared" si="28"/>
        <v>272</v>
      </c>
    </row>
    <row r="267" spans="1:16" s="105" customFormat="1" ht="15.75" x14ac:dyDescent="0.25">
      <c r="A267" s="113" t="s">
        <v>526</v>
      </c>
      <c r="B267" s="102">
        <v>44193</v>
      </c>
      <c r="C267" s="9" t="s">
        <v>744</v>
      </c>
      <c r="D267" s="25" t="s">
        <v>1122</v>
      </c>
      <c r="E267" s="30">
        <v>1</v>
      </c>
      <c r="F267" s="13">
        <v>150</v>
      </c>
      <c r="G267" s="50">
        <f t="shared" si="31"/>
        <v>150</v>
      </c>
      <c r="H267" s="107">
        <v>44852</v>
      </c>
      <c r="I267" s="103">
        <v>5</v>
      </c>
      <c r="J267" s="104">
        <v>91.99</v>
      </c>
      <c r="K267" s="108">
        <f>+I267*J267</f>
        <v>459.95</v>
      </c>
      <c r="L267" s="103">
        <v>1</v>
      </c>
      <c r="M267" s="103">
        <f t="shared" si="30"/>
        <v>5</v>
      </c>
      <c r="N267" s="103" t="s">
        <v>1037</v>
      </c>
      <c r="O267" s="103" t="s">
        <v>947</v>
      </c>
      <c r="P267" s="104">
        <f t="shared" si="28"/>
        <v>750</v>
      </c>
    </row>
    <row r="268" spans="1:16" s="8" customFormat="1" ht="31.5" x14ac:dyDescent="0.25">
      <c r="A268" s="113" t="s">
        <v>527</v>
      </c>
      <c r="B268" s="102">
        <v>44193</v>
      </c>
      <c r="C268" s="9" t="s">
        <v>745</v>
      </c>
      <c r="D268" s="25" t="s">
        <v>1122</v>
      </c>
      <c r="E268" s="30">
        <v>1</v>
      </c>
      <c r="F268" s="13">
        <v>211.86</v>
      </c>
      <c r="G268" s="50">
        <f t="shared" si="31"/>
        <v>211.86</v>
      </c>
      <c r="H268" s="107">
        <v>44851</v>
      </c>
      <c r="I268" s="103">
        <v>20</v>
      </c>
      <c r="J268" s="104">
        <v>188.21</v>
      </c>
      <c r="K268" s="108">
        <f>+I268*J268</f>
        <v>3764.2000000000003</v>
      </c>
      <c r="L268" s="103">
        <v>1</v>
      </c>
      <c r="M268" s="103">
        <f t="shared" si="30"/>
        <v>20</v>
      </c>
      <c r="N268" s="121" t="s">
        <v>1006</v>
      </c>
      <c r="O268" s="103" t="s">
        <v>946</v>
      </c>
      <c r="P268" s="104">
        <f>+M268*J268</f>
        <v>3764.2000000000003</v>
      </c>
    </row>
    <row r="269" spans="1:16" s="8" customFormat="1" ht="15.75" x14ac:dyDescent="0.25">
      <c r="A269" s="113" t="s">
        <v>528</v>
      </c>
      <c r="B269" s="106" t="s">
        <v>105</v>
      </c>
      <c r="C269" s="9" t="s">
        <v>747</v>
      </c>
      <c r="D269" s="25" t="s">
        <v>1122</v>
      </c>
      <c r="E269" s="30">
        <f>90+44</f>
        <v>134</v>
      </c>
      <c r="F269" s="13">
        <v>25.42</v>
      </c>
      <c r="G269" s="50">
        <f t="shared" si="31"/>
        <v>3406.28</v>
      </c>
      <c r="H269" s="103"/>
      <c r="I269" s="103"/>
      <c r="J269" s="104"/>
      <c r="K269" s="103"/>
      <c r="L269" s="103"/>
      <c r="M269" s="103">
        <f t="shared" si="30"/>
        <v>134</v>
      </c>
      <c r="N269" s="103"/>
      <c r="O269" s="103" t="s">
        <v>947</v>
      </c>
      <c r="P269" s="104">
        <f t="shared" ref="P269:P274" si="32">+M269*F269</f>
        <v>3406.28</v>
      </c>
    </row>
    <row r="270" spans="1:16" s="8" customFormat="1" ht="15.75" x14ac:dyDescent="0.25">
      <c r="A270" s="113" t="s">
        <v>529</v>
      </c>
      <c r="B270" s="102">
        <v>44193</v>
      </c>
      <c r="C270" s="9" t="s">
        <v>748</v>
      </c>
      <c r="D270" s="25" t="s">
        <v>1122</v>
      </c>
      <c r="E270" s="30">
        <v>31</v>
      </c>
      <c r="F270" s="13">
        <v>50</v>
      </c>
      <c r="G270" s="50">
        <f t="shared" si="31"/>
        <v>1550</v>
      </c>
      <c r="H270" s="107">
        <v>44852</v>
      </c>
      <c r="I270" s="103">
        <f>10*12</f>
        <v>120</v>
      </c>
      <c r="J270" s="104">
        <v>23.82</v>
      </c>
      <c r="K270" s="108">
        <f>+I270*J270</f>
        <v>2858.4</v>
      </c>
      <c r="L270" s="103"/>
      <c r="M270" s="103">
        <f t="shared" si="30"/>
        <v>151</v>
      </c>
      <c r="N270" s="103" t="s">
        <v>1037</v>
      </c>
      <c r="O270" s="103" t="s">
        <v>947</v>
      </c>
      <c r="P270" s="104">
        <f>+M270*J270</f>
        <v>3596.82</v>
      </c>
    </row>
    <row r="271" spans="1:16" s="8" customFormat="1" ht="15.75" x14ac:dyDescent="0.25">
      <c r="A271" s="113" t="s">
        <v>873</v>
      </c>
      <c r="B271" s="102">
        <v>44193</v>
      </c>
      <c r="C271" s="25" t="s">
        <v>785</v>
      </c>
      <c r="D271" s="25" t="s">
        <v>1122</v>
      </c>
      <c r="E271" s="38">
        <v>4</v>
      </c>
      <c r="F271" s="13">
        <v>45</v>
      </c>
      <c r="G271" s="50">
        <f t="shared" si="31"/>
        <v>180</v>
      </c>
      <c r="H271" s="103"/>
      <c r="I271" s="103"/>
      <c r="J271" s="104"/>
      <c r="K271" s="103"/>
      <c r="L271" s="103"/>
      <c r="M271" s="103">
        <f t="shared" si="30"/>
        <v>4</v>
      </c>
      <c r="N271" s="103"/>
      <c r="O271" s="103" t="s">
        <v>947</v>
      </c>
      <c r="P271" s="104">
        <f t="shared" si="32"/>
        <v>180</v>
      </c>
    </row>
    <row r="272" spans="1:16" s="8" customFormat="1" ht="15.75" x14ac:dyDescent="0.25">
      <c r="A272" s="113" t="s">
        <v>874</v>
      </c>
      <c r="B272" s="106" t="s">
        <v>105</v>
      </c>
      <c r="C272" s="9" t="s">
        <v>746</v>
      </c>
      <c r="D272" s="25" t="s">
        <v>1122</v>
      </c>
      <c r="E272" s="30">
        <v>7</v>
      </c>
      <c r="F272" s="51">
        <v>48</v>
      </c>
      <c r="G272" s="50">
        <f>E272*F272</f>
        <v>336</v>
      </c>
      <c r="H272" s="103"/>
      <c r="I272" s="103"/>
      <c r="J272" s="104"/>
      <c r="K272" s="103"/>
      <c r="L272" s="103">
        <f>3+2</f>
        <v>5</v>
      </c>
      <c r="M272" s="103">
        <f t="shared" si="30"/>
        <v>2</v>
      </c>
      <c r="N272" s="103"/>
      <c r="O272" s="103" t="s">
        <v>947</v>
      </c>
      <c r="P272" s="104">
        <f t="shared" si="32"/>
        <v>96</v>
      </c>
    </row>
    <row r="273" spans="1:16" s="8" customFormat="1" ht="15.75" x14ac:dyDescent="0.25">
      <c r="A273" s="113" t="s">
        <v>875</v>
      </c>
      <c r="B273" s="102"/>
      <c r="C273" s="25" t="s">
        <v>815</v>
      </c>
      <c r="D273" s="25" t="s">
        <v>1122</v>
      </c>
      <c r="E273" s="38">
        <v>6</v>
      </c>
      <c r="F273" s="13"/>
      <c r="G273" s="50"/>
      <c r="H273" s="103"/>
      <c r="I273" s="103"/>
      <c r="J273" s="104"/>
      <c r="K273" s="103"/>
      <c r="L273" s="103"/>
      <c r="M273" s="103">
        <f t="shared" si="30"/>
        <v>6</v>
      </c>
      <c r="N273" s="103"/>
      <c r="O273" s="103" t="s">
        <v>946</v>
      </c>
      <c r="P273" s="104">
        <f t="shared" si="32"/>
        <v>0</v>
      </c>
    </row>
    <row r="274" spans="1:16" s="92" customFormat="1" x14ac:dyDescent="0.3">
      <c r="A274" s="113" t="s">
        <v>876</v>
      </c>
      <c r="B274" s="102">
        <v>44193</v>
      </c>
      <c r="C274" s="26" t="s">
        <v>750</v>
      </c>
      <c r="D274" s="25" t="s">
        <v>1122</v>
      </c>
      <c r="E274" s="38">
        <v>20</v>
      </c>
      <c r="F274" s="13">
        <v>1449.14</v>
      </c>
      <c r="G274" s="50">
        <f t="shared" ref="G274:G286" si="33">E274*F274</f>
        <v>28982.800000000003</v>
      </c>
      <c r="H274" s="103"/>
      <c r="I274" s="103"/>
      <c r="J274" s="104"/>
      <c r="K274" s="103"/>
      <c r="L274" s="103"/>
      <c r="M274" s="103">
        <f t="shared" si="30"/>
        <v>20</v>
      </c>
      <c r="N274" s="103"/>
      <c r="O274" s="103" t="s">
        <v>945</v>
      </c>
      <c r="P274" s="104">
        <f t="shared" si="32"/>
        <v>28982.800000000003</v>
      </c>
    </row>
    <row r="275" spans="1:16" s="92" customFormat="1" x14ac:dyDescent="0.3">
      <c r="A275" s="113" t="s">
        <v>877</v>
      </c>
      <c r="B275" s="102">
        <v>44193</v>
      </c>
      <c r="C275" s="26" t="s">
        <v>771</v>
      </c>
      <c r="D275" s="25" t="s">
        <v>1122</v>
      </c>
      <c r="E275" s="38">
        <v>3</v>
      </c>
      <c r="F275" s="13">
        <v>289</v>
      </c>
      <c r="G275" s="50">
        <f t="shared" si="33"/>
        <v>867</v>
      </c>
      <c r="H275" s="107">
        <v>44778</v>
      </c>
      <c r="I275" s="103">
        <v>10</v>
      </c>
      <c r="J275" s="104">
        <v>3481</v>
      </c>
      <c r="K275" s="103">
        <f>+J275/10</f>
        <v>348.1</v>
      </c>
      <c r="L275" s="103"/>
      <c r="M275" s="103">
        <f t="shared" si="30"/>
        <v>13</v>
      </c>
      <c r="N275" s="103" t="s">
        <v>943</v>
      </c>
      <c r="O275" s="103" t="s">
        <v>945</v>
      </c>
      <c r="P275" s="104">
        <f>+M275*J275</f>
        <v>45253</v>
      </c>
    </row>
    <row r="276" spans="1:16" s="8" customFormat="1" ht="15.75" x14ac:dyDescent="0.25">
      <c r="A276" s="113" t="s">
        <v>878</v>
      </c>
      <c r="B276" s="102">
        <v>44193</v>
      </c>
      <c r="C276" s="26" t="s">
        <v>754</v>
      </c>
      <c r="D276" s="25" t="s">
        <v>1122</v>
      </c>
      <c r="E276" s="38">
        <v>7</v>
      </c>
      <c r="F276" s="13">
        <v>38</v>
      </c>
      <c r="G276" s="50">
        <f t="shared" si="33"/>
        <v>266</v>
      </c>
      <c r="H276" s="103"/>
      <c r="I276" s="103"/>
      <c r="J276" s="104"/>
      <c r="K276" s="103"/>
      <c r="L276" s="103"/>
      <c r="M276" s="103">
        <f t="shared" si="30"/>
        <v>7</v>
      </c>
      <c r="N276" s="103"/>
      <c r="O276" s="103" t="s">
        <v>946</v>
      </c>
      <c r="P276" s="104">
        <f>+M276*F276</f>
        <v>266</v>
      </c>
    </row>
    <row r="277" spans="1:16" s="8" customFormat="1" ht="15.75" x14ac:dyDescent="0.25">
      <c r="A277" s="113" t="s">
        <v>879</v>
      </c>
      <c r="B277" s="106" t="s">
        <v>105</v>
      </c>
      <c r="C277" s="26" t="s">
        <v>753</v>
      </c>
      <c r="D277" s="25" t="s">
        <v>1122</v>
      </c>
      <c r="E277" s="38">
        <v>12</v>
      </c>
      <c r="F277" s="13">
        <v>38</v>
      </c>
      <c r="G277" s="50">
        <f t="shared" si="33"/>
        <v>456</v>
      </c>
      <c r="H277" s="103"/>
      <c r="I277" s="103"/>
      <c r="J277" s="104"/>
      <c r="K277" s="103"/>
      <c r="L277" s="103"/>
      <c r="M277" s="103">
        <f t="shared" si="30"/>
        <v>12</v>
      </c>
      <c r="N277" s="103"/>
      <c r="O277" s="103" t="s">
        <v>946</v>
      </c>
      <c r="P277" s="104">
        <f t="shared" ref="P277:P302" si="34">+M277*F277</f>
        <v>456</v>
      </c>
    </row>
    <row r="278" spans="1:16" s="8" customFormat="1" ht="15.75" x14ac:dyDescent="0.25">
      <c r="A278" s="113" t="s">
        <v>880</v>
      </c>
      <c r="B278" s="102">
        <v>44193</v>
      </c>
      <c r="C278" s="26" t="s">
        <v>757</v>
      </c>
      <c r="D278" s="25" t="s">
        <v>1122</v>
      </c>
      <c r="E278" s="38">
        <v>1</v>
      </c>
      <c r="F278" s="13">
        <v>38</v>
      </c>
      <c r="G278" s="50">
        <f t="shared" si="33"/>
        <v>38</v>
      </c>
      <c r="H278" s="103"/>
      <c r="I278" s="103"/>
      <c r="J278" s="104"/>
      <c r="K278" s="103"/>
      <c r="L278" s="103"/>
      <c r="M278" s="103">
        <f t="shared" si="30"/>
        <v>1</v>
      </c>
      <c r="N278" s="103"/>
      <c r="O278" s="103" t="s">
        <v>946</v>
      </c>
      <c r="P278" s="104">
        <f t="shared" si="34"/>
        <v>38</v>
      </c>
    </row>
    <row r="279" spans="1:16" s="8" customFormat="1" ht="15.75" x14ac:dyDescent="0.25">
      <c r="A279" s="113" t="s">
        <v>881</v>
      </c>
      <c r="B279" s="102">
        <v>44193</v>
      </c>
      <c r="C279" s="26" t="s">
        <v>760</v>
      </c>
      <c r="D279" s="25" t="s">
        <v>1122</v>
      </c>
      <c r="E279" s="38">
        <v>1</v>
      </c>
      <c r="F279" s="13">
        <v>41</v>
      </c>
      <c r="G279" s="50">
        <f t="shared" si="33"/>
        <v>41</v>
      </c>
      <c r="H279" s="103"/>
      <c r="I279" s="103"/>
      <c r="J279" s="104"/>
      <c r="K279" s="103"/>
      <c r="L279" s="103"/>
      <c r="M279" s="103">
        <f t="shared" si="30"/>
        <v>1</v>
      </c>
      <c r="N279" s="103"/>
      <c r="O279" s="103" t="s">
        <v>946</v>
      </c>
      <c r="P279" s="104">
        <f t="shared" si="34"/>
        <v>41</v>
      </c>
    </row>
    <row r="280" spans="1:16" s="8" customFormat="1" ht="15.75" x14ac:dyDescent="0.25">
      <c r="A280" s="113" t="s">
        <v>882</v>
      </c>
      <c r="B280" s="102">
        <v>44193</v>
      </c>
      <c r="C280" s="26" t="s">
        <v>758</v>
      </c>
      <c r="D280" s="25" t="s">
        <v>1122</v>
      </c>
      <c r="E280" s="38">
        <v>1</v>
      </c>
      <c r="F280" s="13">
        <v>38</v>
      </c>
      <c r="G280" s="50">
        <f t="shared" si="33"/>
        <v>38</v>
      </c>
      <c r="H280" s="103"/>
      <c r="I280" s="103"/>
      <c r="J280" s="104"/>
      <c r="K280" s="103"/>
      <c r="L280" s="103"/>
      <c r="M280" s="103">
        <f t="shared" si="30"/>
        <v>1</v>
      </c>
      <c r="N280" s="103"/>
      <c r="O280" s="103" t="s">
        <v>946</v>
      </c>
      <c r="P280" s="104">
        <f t="shared" si="34"/>
        <v>38</v>
      </c>
    </row>
    <row r="281" spans="1:16" s="8" customFormat="1" ht="15.75" x14ac:dyDescent="0.25">
      <c r="A281" s="113" t="s">
        <v>883</v>
      </c>
      <c r="B281" s="102">
        <v>44193</v>
      </c>
      <c r="C281" s="26" t="s">
        <v>759</v>
      </c>
      <c r="D281" s="25" t="s">
        <v>1122</v>
      </c>
      <c r="E281" s="38">
        <v>1</v>
      </c>
      <c r="F281" s="13">
        <v>38</v>
      </c>
      <c r="G281" s="50">
        <f t="shared" si="33"/>
        <v>38</v>
      </c>
      <c r="H281" s="103"/>
      <c r="I281" s="103"/>
      <c r="J281" s="104"/>
      <c r="K281" s="103"/>
      <c r="L281" s="103"/>
      <c r="M281" s="103">
        <f t="shared" si="30"/>
        <v>1</v>
      </c>
      <c r="N281" s="103"/>
      <c r="O281" s="103" t="s">
        <v>946</v>
      </c>
      <c r="P281" s="104">
        <f t="shared" si="34"/>
        <v>38</v>
      </c>
    </row>
    <row r="282" spans="1:16" s="8" customFormat="1" ht="15.75" x14ac:dyDescent="0.25">
      <c r="A282" s="113" t="s">
        <v>884</v>
      </c>
      <c r="B282" s="106" t="s">
        <v>105</v>
      </c>
      <c r="C282" s="26" t="s">
        <v>755</v>
      </c>
      <c r="D282" s="25" t="s">
        <v>1122</v>
      </c>
      <c r="E282" s="38">
        <v>1</v>
      </c>
      <c r="F282" s="13">
        <v>38</v>
      </c>
      <c r="G282" s="50">
        <f t="shared" si="33"/>
        <v>38</v>
      </c>
      <c r="H282" s="103"/>
      <c r="I282" s="103"/>
      <c r="J282" s="104"/>
      <c r="K282" s="103"/>
      <c r="L282" s="103"/>
      <c r="M282" s="103">
        <f t="shared" si="30"/>
        <v>1</v>
      </c>
      <c r="N282" s="103"/>
      <c r="O282" s="103" t="s">
        <v>946</v>
      </c>
      <c r="P282" s="104">
        <f t="shared" si="34"/>
        <v>38</v>
      </c>
    </row>
    <row r="283" spans="1:16" s="8" customFormat="1" ht="15.75" x14ac:dyDescent="0.25">
      <c r="A283" s="113" t="s">
        <v>885</v>
      </c>
      <c r="B283" s="102">
        <v>44193</v>
      </c>
      <c r="C283" s="26" t="s">
        <v>756</v>
      </c>
      <c r="D283" s="25" t="s">
        <v>1122</v>
      </c>
      <c r="E283" s="38">
        <v>1</v>
      </c>
      <c r="F283" s="13">
        <v>38</v>
      </c>
      <c r="G283" s="50">
        <f t="shared" si="33"/>
        <v>38</v>
      </c>
      <c r="H283" s="103"/>
      <c r="I283" s="103"/>
      <c r="J283" s="104"/>
      <c r="K283" s="103"/>
      <c r="L283" s="103"/>
      <c r="M283" s="103">
        <f t="shared" si="30"/>
        <v>1</v>
      </c>
      <c r="N283" s="103"/>
      <c r="O283" s="103" t="s">
        <v>946</v>
      </c>
      <c r="P283" s="104">
        <f t="shared" si="34"/>
        <v>38</v>
      </c>
    </row>
    <row r="284" spans="1:16" s="8" customFormat="1" ht="15.75" x14ac:dyDescent="0.25">
      <c r="A284" s="113" t="s">
        <v>886</v>
      </c>
      <c r="B284" s="102">
        <v>44193</v>
      </c>
      <c r="C284" s="26" t="s">
        <v>762</v>
      </c>
      <c r="D284" s="25" t="s">
        <v>1122</v>
      </c>
      <c r="E284" s="38">
        <v>7</v>
      </c>
      <c r="F284" s="13">
        <v>537</v>
      </c>
      <c r="G284" s="50">
        <f t="shared" si="33"/>
        <v>3759</v>
      </c>
      <c r="H284" s="103"/>
      <c r="I284" s="103"/>
      <c r="J284" s="104"/>
      <c r="K284" s="103"/>
      <c r="L284" s="103"/>
      <c r="M284" s="103">
        <f t="shared" si="30"/>
        <v>7</v>
      </c>
      <c r="N284" s="103"/>
      <c r="O284" s="103" t="s">
        <v>946</v>
      </c>
      <c r="P284" s="104">
        <f t="shared" si="34"/>
        <v>3759</v>
      </c>
    </row>
    <row r="285" spans="1:16" s="8" customFormat="1" ht="15.75" x14ac:dyDescent="0.25">
      <c r="A285" s="113" t="s">
        <v>887</v>
      </c>
      <c r="B285" s="102">
        <v>44193</v>
      </c>
      <c r="C285" s="26" t="s">
        <v>761</v>
      </c>
      <c r="D285" s="25" t="s">
        <v>1122</v>
      </c>
      <c r="E285" s="38">
        <v>3</v>
      </c>
      <c r="F285" s="13">
        <v>537</v>
      </c>
      <c r="G285" s="50">
        <f t="shared" si="33"/>
        <v>1611</v>
      </c>
      <c r="H285" s="103"/>
      <c r="I285" s="103"/>
      <c r="J285" s="104"/>
      <c r="K285" s="103"/>
      <c r="L285" s="103"/>
      <c r="M285" s="103">
        <f t="shared" si="30"/>
        <v>3</v>
      </c>
      <c r="N285" s="103"/>
      <c r="O285" s="103" t="s">
        <v>946</v>
      </c>
      <c r="P285" s="104">
        <f t="shared" si="34"/>
        <v>1611</v>
      </c>
    </row>
    <row r="286" spans="1:16" s="8" customFormat="1" ht="15.75" x14ac:dyDescent="0.25">
      <c r="A286" s="113" t="s">
        <v>888</v>
      </c>
      <c r="B286" s="102">
        <v>44193</v>
      </c>
      <c r="C286" s="9" t="s">
        <v>763</v>
      </c>
      <c r="D286" s="25" t="s">
        <v>1122</v>
      </c>
      <c r="E286" s="30">
        <v>13</v>
      </c>
      <c r="F286" s="13">
        <v>13.87</v>
      </c>
      <c r="G286" s="50">
        <f t="shared" si="33"/>
        <v>180.31</v>
      </c>
      <c r="H286" s="103"/>
      <c r="I286" s="103"/>
      <c r="J286" s="104"/>
      <c r="K286" s="103"/>
      <c r="L286" s="103"/>
      <c r="M286" s="103">
        <f t="shared" si="30"/>
        <v>13</v>
      </c>
      <c r="N286" s="103"/>
      <c r="O286" s="103" t="s">
        <v>947</v>
      </c>
      <c r="P286" s="104">
        <f t="shared" si="34"/>
        <v>180.31</v>
      </c>
    </row>
    <row r="287" spans="1:16" s="8" customFormat="1" ht="15.75" x14ac:dyDescent="0.25">
      <c r="A287" s="113" t="s">
        <v>889</v>
      </c>
      <c r="B287" s="102"/>
      <c r="C287" s="25" t="s">
        <v>814</v>
      </c>
      <c r="D287" s="25" t="s">
        <v>1122</v>
      </c>
      <c r="E287" s="38">
        <v>5</v>
      </c>
      <c r="F287" s="13"/>
      <c r="G287" s="50"/>
      <c r="H287" s="103"/>
      <c r="I287" s="103"/>
      <c r="J287" s="104"/>
      <c r="K287" s="103"/>
      <c r="L287" s="103"/>
      <c r="M287" s="103">
        <f t="shared" si="30"/>
        <v>5</v>
      </c>
      <c r="N287" s="103"/>
      <c r="O287" s="103" t="s">
        <v>946</v>
      </c>
      <c r="P287" s="104">
        <f>+M287*F287</f>
        <v>0</v>
      </c>
    </row>
    <row r="288" spans="1:16" s="8" customFormat="1" ht="15.75" x14ac:dyDescent="0.25">
      <c r="A288" s="113" t="s">
        <v>890</v>
      </c>
      <c r="B288" s="102"/>
      <c r="C288" s="25" t="s">
        <v>805</v>
      </c>
      <c r="D288" s="25" t="s">
        <v>1122</v>
      </c>
      <c r="E288" s="38">
        <v>9</v>
      </c>
      <c r="F288" s="13"/>
      <c r="G288" s="50"/>
      <c r="H288" s="103"/>
      <c r="I288" s="103"/>
      <c r="J288" s="104"/>
      <c r="K288" s="103"/>
      <c r="L288" s="103"/>
      <c r="M288" s="103">
        <f t="shared" si="30"/>
        <v>9</v>
      </c>
      <c r="N288" s="103"/>
      <c r="O288" s="103" t="s">
        <v>946</v>
      </c>
      <c r="P288" s="104">
        <f t="shared" si="34"/>
        <v>0</v>
      </c>
    </row>
    <row r="289" spans="1:16" s="105" customFormat="1" ht="15.75" x14ac:dyDescent="0.25">
      <c r="A289" s="113" t="s">
        <v>891</v>
      </c>
      <c r="B289" s="102"/>
      <c r="C289" s="25" t="s">
        <v>784</v>
      </c>
      <c r="D289" s="25" t="s">
        <v>1122</v>
      </c>
      <c r="E289" s="38">
        <v>29</v>
      </c>
      <c r="F289" s="13"/>
      <c r="G289" s="50"/>
      <c r="H289" s="107">
        <v>44852</v>
      </c>
      <c r="I289" s="103">
        <v>15</v>
      </c>
      <c r="J289" s="104">
        <v>25.52</v>
      </c>
      <c r="K289" s="108">
        <f>+I289*J289</f>
        <v>382.8</v>
      </c>
      <c r="L289" s="103">
        <v>1</v>
      </c>
      <c r="M289" s="103">
        <f t="shared" si="30"/>
        <v>43</v>
      </c>
      <c r="N289" s="103" t="s">
        <v>1037</v>
      </c>
      <c r="O289" s="103" t="s">
        <v>947</v>
      </c>
      <c r="P289" s="104">
        <f>+M289*J289</f>
        <v>1097.3599999999999</v>
      </c>
    </row>
    <row r="290" spans="1:16" s="105" customFormat="1" ht="15.75" x14ac:dyDescent="0.25">
      <c r="A290" s="113" t="s">
        <v>892</v>
      </c>
      <c r="B290" s="102">
        <v>44729</v>
      </c>
      <c r="C290" s="25" t="s">
        <v>860</v>
      </c>
      <c r="D290" s="25" t="s">
        <v>1122</v>
      </c>
      <c r="E290" s="38">
        <v>12</v>
      </c>
      <c r="F290" s="13">
        <v>1637.5</v>
      </c>
      <c r="G290" s="50">
        <f>+E290*F290</f>
        <v>19650</v>
      </c>
      <c r="H290" s="103"/>
      <c r="I290" s="103"/>
      <c r="J290" s="104"/>
      <c r="K290" s="103"/>
      <c r="L290" s="103"/>
      <c r="M290" s="103">
        <f t="shared" si="30"/>
        <v>12</v>
      </c>
      <c r="N290" s="103"/>
      <c r="O290" s="103" t="s">
        <v>946</v>
      </c>
      <c r="P290" s="104">
        <f t="shared" ref="P290" si="35">+M290*F290</f>
        <v>19650</v>
      </c>
    </row>
    <row r="291" spans="1:16" s="92" customFormat="1" x14ac:dyDescent="0.3">
      <c r="A291" s="113" t="s">
        <v>893</v>
      </c>
      <c r="B291" s="102">
        <v>44652</v>
      </c>
      <c r="C291" s="25" t="s">
        <v>859</v>
      </c>
      <c r="D291" s="25" t="s">
        <v>1122</v>
      </c>
      <c r="E291" s="38">
        <f>11+6+12+11</f>
        <v>40</v>
      </c>
      <c r="F291" s="13">
        <v>159</v>
      </c>
      <c r="G291" s="50">
        <f>+E291*F291</f>
        <v>6360</v>
      </c>
      <c r="H291" s="103"/>
      <c r="I291" s="103"/>
      <c r="J291" s="104"/>
      <c r="K291" s="103"/>
      <c r="L291" s="103">
        <f>3+1+1+1</f>
        <v>6</v>
      </c>
      <c r="M291" s="103">
        <f t="shared" si="30"/>
        <v>34</v>
      </c>
      <c r="N291" s="103"/>
      <c r="O291" s="103" t="s">
        <v>945</v>
      </c>
      <c r="P291" s="104">
        <f t="shared" si="34"/>
        <v>5406</v>
      </c>
    </row>
    <row r="292" spans="1:16" s="92" customFormat="1" x14ac:dyDescent="0.3">
      <c r="A292" s="113" t="s">
        <v>894</v>
      </c>
      <c r="B292" s="102">
        <v>44652</v>
      </c>
      <c r="C292" s="25" t="s">
        <v>858</v>
      </c>
      <c r="D292" s="25" t="s">
        <v>1122</v>
      </c>
      <c r="E292" s="38">
        <v>11</v>
      </c>
      <c r="F292" s="13"/>
      <c r="G292" s="50">
        <f>+E292*F292</f>
        <v>0</v>
      </c>
      <c r="H292" s="103"/>
      <c r="I292" s="103"/>
      <c r="J292" s="104"/>
      <c r="K292" s="103"/>
      <c r="L292" s="103"/>
      <c r="M292" s="103">
        <f t="shared" si="30"/>
        <v>11</v>
      </c>
      <c r="N292" s="103"/>
      <c r="O292" s="103" t="s">
        <v>945</v>
      </c>
      <c r="P292" s="104">
        <f t="shared" si="34"/>
        <v>0</v>
      </c>
    </row>
    <row r="293" spans="1:16" s="92" customFormat="1" x14ac:dyDescent="0.3">
      <c r="A293" s="113" t="s">
        <v>895</v>
      </c>
      <c r="B293" s="102">
        <v>44652</v>
      </c>
      <c r="C293" s="25" t="s">
        <v>920</v>
      </c>
      <c r="D293" s="25" t="s">
        <v>1122</v>
      </c>
      <c r="E293" s="38">
        <f>9+11+7</f>
        <v>27</v>
      </c>
      <c r="F293" s="13">
        <v>145</v>
      </c>
      <c r="G293" s="50">
        <f>+E293*F293</f>
        <v>3915</v>
      </c>
      <c r="H293" s="103"/>
      <c r="I293" s="103"/>
      <c r="J293" s="104"/>
      <c r="K293" s="103"/>
      <c r="L293" s="103">
        <v>1</v>
      </c>
      <c r="M293" s="103">
        <f t="shared" si="30"/>
        <v>26</v>
      </c>
      <c r="N293" s="103"/>
      <c r="O293" s="103" t="s">
        <v>945</v>
      </c>
      <c r="P293" s="104">
        <f t="shared" si="34"/>
        <v>3770</v>
      </c>
    </row>
    <row r="294" spans="1:16" s="8" customFormat="1" ht="15.75" x14ac:dyDescent="0.25">
      <c r="A294" s="113" t="s">
        <v>896</v>
      </c>
      <c r="B294" s="102"/>
      <c r="C294" s="25" t="s">
        <v>795</v>
      </c>
      <c r="D294" s="25" t="s">
        <v>1122</v>
      </c>
      <c r="E294" s="38">
        <v>29</v>
      </c>
      <c r="F294" s="13">
        <v>29.35</v>
      </c>
      <c r="G294" s="50">
        <f t="shared" ref="G294:G310" si="36">+E294*F294</f>
        <v>851.15000000000009</v>
      </c>
      <c r="H294" s="103"/>
      <c r="I294" s="103"/>
      <c r="J294" s="104"/>
      <c r="K294" s="103"/>
      <c r="L294" s="103"/>
      <c r="M294" s="103">
        <f t="shared" si="30"/>
        <v>29</v>
      </c>
      <c r="N294" s="103"/>
      <c r="O294" s="103" t="s">
        <v>946</v>
      </c>
      <c r="P294" s="104">
        <f t="shared" si="34"/>
        <v>851.15000000000009</v>
      </c>
    </row>
    <row r="295" spans="1:16" s="8" customFormat="1" ht="15.75" x14ac:dyDescent="0.25">
      <c r="A295" s="113" t="s">
        <v>897</v>
      </c>
      <c r="B295" s="102"/>
      <c r="C295" s="25" t="s">
        <v>843</v>
      </c>
      <c r="D295" s="25" t="s">
        <v>1122</v>
      </c>
      <c r="E295" s="38">
        <v>8</v>
      </c>
      <c r="F295" s="13"/>
      <c r="G295" s="50">
        <f t="shared" si="36"/>
        <v>0</v>
      </c>
      <c r="H295" s="103"/>
      <c r="I295" s="103"/>
      <c r="J295" s="104"/>
      <c r="K295" s="103"/>
      <c r="L295" s="103"/>
      <c r="M295" s="103">
        <f t="shared" si="30"/>
        <v>8</v>
      </c>
      <c r="N295" s="103"/>
      <c r="O295" s="103" t="s">
        <v>946</v>
      </c>
      <c r="P295" s="104">
        <f t="shared" si="34"/>
        <v>0</v>
      </c>
    </row>
    <row r="296" spans="1:16" s="8" customFormat="1" ht="15.75" x14ac:dyDescent="0.25">
      <c r="A296" s="113" t="s">
        <v>898</v>
      </c>
      <c r="B296" s="102"/>
      <c r="C296" s="25" t="s">
        <v>793</v>
      </c>
      <c r="D296" s="25" t="s">
        <v>1122</v>
      </c>
      <c r="E296" s="38">
        <f>3+1</f>
        <v>4</v>
      </c>
      <c r="F296" s="13"/>
      <c r="G296" s="50">
        <f t="shared" si="36"/>
        <v>0</v>
      </c>
      <c r="H296" s="103"/>
      <c r="I296" s="103"/>
      <c r="J296" s="104"/>
      <c r="K296" s="103"/>
      <c r="L296" s="103">
        <v>1</v>
      </c>
      <c r="M296" s="103">
        <f t="shared" si="30"/>
        <v>3</v>
      </c>
      <c r="N296" s="103"/>
      <c r="O296" s="103" t="s">
        <v>946</v>
      </c>
      <c r="P296" s="104">
        <f t="shared" si="34"/>
        <v>0</v>
      </c>
    </row>
    <row r="297" spans="1:16" s="8" customFormat="1" ht="15.75" x14ac:dyDescent="0.25">
      <c r="A297" s="113" t="s">
        <v>899</v>
      </c>
      <c r="B297" s="102"/>
      <c r="C297" s="25" t="s">
        <v>842</v>
      </c>
      <c r="D297" s="25" t="s">
        <v>1122</v>
      </c>
      <c r="E297" s="38">
        <v>2</v>
      </c>
      <c r="F297" s="13"/>
      <c r="G297" s="50">
        <f t="shared" si="36"/>
        <v>0</v>
      </c>
      <c r="H297" s="103"/>
      <c r="I297" s="103"/>
      <c r="J297" s="104"/>
      <c r="K297" s="103"/>
      <c r="L297" s="103"/>
      <c r="M297" s="103">
        <f t="shared" si="30"/>
        <v>2</v>
      </c>
      <c r="N297" s="103"/>
      <c r="O297" s="103" t="s">
        <v>946</v>
      </c>
      <c r="P297" s="104">
        <f t="shared" si="34"/>
        <v>0</v>
      </c>
    </row>
    <row r="298" spans="1:16" s="8" customFormat="1" ht="15.75" x14ac:dyDescent="0.25">
      <c r="A298" s="113" t="s">
        <v>900</v>
      </c>
      <c r="B298" s="102">
        <v>44193</v>
      </c>
      <c r="C298" s="25" t="s">
        <v>841</v>
      </c>
      <c r="D298" s="25" t="s">
        <v>1122</v>
      </c>
      <c r="E298" s="38">
        <v>1</v>
      </c>
      <c r="F298" s="13">
        <v>18.86</v>
      </c>
      <c r="G298" s="50">
        <f t="shared" si="36"/>
        <v>18.86</v>
      </c>
      <c r="H298" s="103"/>
      <c r="I298" s="103"/>
      <c r="J298" s="104"/>
      <c r="K298" s="103"/>
      <c r="L298" s="103"/>
      <c r="M298" s="103">
        <f t="shared" si="30"/>
        <v>1</v>
      </c>
      <c r="N298" s="103"/>
      <c r="O298" s="103" t="s">
        <v>946</v>
      </c>
      <c r="P298" s="104">
        <f>+M298*F298</f>
        <v>18.86</v>
      </c>
    </row>
    <row r="299" spans="1:16" s="8" customFormat="1" ht="15.75" x14ac:dyDescent="0.25">
      <c r="A299" s="113" t="s">
        <v>901</v>
      </c>
      <c r="B299" s="102">
        <v>44193</v>
      </c>
      <c r="C299" s="25" t="s">
        <v>848</v>
      </c>
      <c r="D299" s="25" t="s">
        <v>1122</v>
      </c>
      <c r="E299" s="38">
        <v>1</v>
      </c>
      <c r="F299" s="13"/>
      <c r="G299" s="50">
        <f t="shared" si="36"/>
        <v>0</v>
      </c>
      <c r="H299" s="103"/>
      <c r="I299" s="103"/>
      <c r="J299" s="104"/>
      <c r="K299" s="103"/>
      <c r="L299" s="103"/>
      <c r="M299" s="103">
        <f t="shared" si="30"/>
        <v>1</v>
      </c>
      <c r="N299" s="103"/>
      <c r="O299" s="103" t="s">
        <v>946</v>
      </c>
      <c r="P299" s="104">
        <f t="shared" si="34"/>
        <v>0</v>
      </c>
    </row>
    <row r="300" spans="1:16" s="8" customFormat="1" ht="15.75" x14ac:dyDescent="0.25">
      <c r="A300" s="113" t="s">
        <v>902</v>
      </c>
      <c r="B300" s="102">
        <v>44193</v>
      </c>
      <c r="C300" s="25" t="s">
        <v>839</v>
      </c>
      <c r="D300" s="25" t="s">
        <v>1122</v>
      </c>
      <c r="E300" s="38">
        <v>7</v>
      </c>
      <c r="F300" s="13"/>
      <c r="G300" s="50">
        <f t="shared" si="36"/>
        <v>0</v>
      </c>
      <c r="H300" s="103"/>
      <c r="I300" s="103"/>
      <c r="J300" s="104"/>
      <c r="K300" s="103"/>
      <c r="L300" s="103"/>
      <c r="M300" s="103">
        <f t="shared" si="30"/>
        <v>7</v>
      </c>
      <c r="N300" s="103"/>
      <c r="O300" s="103" t="s">
        <v>946</v>
      </c>
      <c r="P300" s="104">
        <f t="shared" si="34"/>
        <v>0</v>
      </c>
    </row>
    <row r="301" spans="1:16" s="8" customFormat="1" ht="15.75" x14ac:dyDescent="0.25">
      <c r="A301" s="113" t="s">
        <v>903</v>
      </c>
      <c r="B301" s="102">
        <v>44193</v>
      </c>
      <c r="C301" s="25" t="s">
        <v>867</v>
      </c>
      <c r="D301" s="25" t="s">
        <v>1122</v>
      </c>
      <c r="E301" s="38">
        <v>6</v>
      </c>
      <c r="F301" s="13">
        <v>176</v>
      </c>
      <c r="G301" s="50">
        <f t="shared" si="36"/>
        <v>1056</v>
      </c>
      <c r="H301" s="103"/>
      <c r="I301" s="103"/>
      <c r="J301" s="104"/>
      <c r="K301" s="103"/>
      <c r="L301" s="103"/>
      <c r="M301" s="103">
        <f t="shared" si="30"/>
        <v>6</v>
      </c>
      <c r="N301" s="103"/>
      <c r="O301" s="103" t="s">
        <v>947</v>
      </c>
      <c r="P301" s="104">
        <f t="shared" si="34"/>
        <v>1056</v>
      </c>
    </row>
    <row r="302" spans="1:16" s="8" customFormat="1" ht="15.75" x14ac:dyDescent="0.25">
      <c r="A302" s="113" t="s">
        <v>904</v>
      </c>
      <c r="B302" s="102">
        <v>44193</v>
      </c>
      <c r="C302" s="25" t="s">
        <v>798</v>
      </c>
      <c r="D302" s="25" t="s">
        <v>1122</v>
      </c>
      <c r="E302" s="38">
        <v>3</v>
      </c>
      <c r="F302" s="13">
        <v>234</v>
      </c>
      <c r="G302" s="50">
        <f t="shared" si="36"/>
        <v>702</v>
      </c>
      <c r="H302" s="103"/>
      <c r="I302" s="103"/>
      <c r="J302" s="104"/>
      <c r="K302" s="103"/>
      <c r="L302" s="103"/>
      <c r="M302" s="103">
        <f t="shared" si="30"/>
        <v>3</v>
      </c>
      <c r="N302" s="103"/>
      <c r="O302" s="103" t="s">
        <v>946</v>
      </c>
      <c r="P302" s="104">
        <f t="shared" si="34"/>
        <v>702</v>
      </c>
    </row>
    <row r="303" spans="1:16" s="92" customFormat="1" x14ac:dyDescent="0.3">
      <c r="A303" s="113" t="s">
        <v>905</v>
      </c>
      <c r="B303" s="102">
        <v>44193</v>
      </c>
      <c r="C303" s="25" t="s">
        <v>764</v>
      </c>
      <c r="D303" s="25" t="s">
        <v>1122</v>
      </c>
      <c r="E303" s="38">
        <v>0</v>
      </c>
      <c r="F303" s="13">
        <v>39</v>
      </c>
      <c r="G303" s="50">
        <f t="shared" si="36"/>
        <v>0</v>
      </c>
      <c r="H303" s="107">
        <v>44755</v>
      </c>
      <c r="I303" s="103">
        <v>25</v>
      </c>
      <c r="J303" s="104">
        <v>50.84</v>
      </c>
      <c r="K303" s="108">
        <f>+I303*J303</f>
        <v>1271</v>
      </c>
      <c r="L303" s="38">
        <f>1+1+2+1+1+2</f>
        <v>8</v>
      </c>
      <c r="M303" s="103">
        <f t="shared" si="30"/>
        <v>17</v>
      </c>
      <c r="N303" s="103" t="s">
        <v>928</v>
      </c>
      <c r="O303" s="103" t="s">
        <v>945</v>
      </c>
      <c r="P303" s="104">
        <f>+M303*J303</f>
        <v>864.28000000000009</v>
      </c>
    </row>
    <row r="304" spans="1:16" s="8" customFormat="1" ht="15.75" x14ac:dyDescent="0.25">
      <c r="A304" s="113" t="s">
        <v>906</v>
      </c>
      <c r="B304" s="102"/>
      <c r="C304" s="25" t="s">
        <v>799</v>
      </c>
      <c r="D304" s="25" t="s">
        <v>1122</v>
      </c>
      <c r="E304" s="38">
        <v>120</v>
      </c>
      <c r="F304" s="13"/>
      <c r="G304" s="50">
        <f t="shared" si="36"/>
        <v>0</v>
      </c>
      <c r="H304" s="103"/>
      <c r="I304" s="103"/>
      <c r="J304" s="104"/>
      <c r="K304" s="103"/>
      <c r="L304" s="103"/>
      <c r="M304" s="103">
        <f t="shared" ref="M304:M367" si="37">+E304+I304-L304</f>
        <v>120</v>
      </c>
      <c r="N304" s="103"/>
      <c r="O304" s="103" t="s">
        <v>946</v>
      </c>
      <c r="P304" s="104">
        <f>+M304*F304</f>
        <v>0</v>
      </c>
    </row>
    <row r="305" spans="1:16" s="8" customFormat="1" ht="15.75" x14ac:dyDescent="0.25">
      <c r="A305" s="113" t="s">
        <v>907</v>
      </c>
      <c r="B305" s="102"/>
      <c r="C305" s="25" t="s">
        <v>824</v>
      </c>
      <c r="D305" s="25" t="s">
        <v>1122</v>
      </c>
      <c r="E305" s="38">
        <v>15</v>
      </c>
      <c r="F305" s="13"/>
      <c r="G305" s="50">
        <f t="shared" si="36"/>
        <v>0</v>
      </c>
      <c r="H305" s="107"/>
      <c r="I305" s="103"/>
      <c r="J305" s="104"/>
      <c r="K305" s="108"/>
      <c r="L305" s="108"/>
      <c r="M305" s="103">
        <f t="shared" si="37"/>
        <v>15</v>
      </c>
      <c r="N305" s="103"/>
      <c r="O305" s="103" t="s">
        <v>946</v>
      </c>
      <c r="P305" s="104">
        <f t="shared" ref="P305:P322" si="38">+M305*F305</f>
        <v>0</v>
      </c>
    </row>
    <row r="306" spans="1:16" s="8" customFormat="1" ht="15.75" x14ac:dyDescent="0.25">
      <c r="A306" s="113" t="s">
        <v>908</v>
      </c>
      <c r="B306" s="102"/>
      <c r="C306" s="25" t="s">
        <v>837</v>
      </c>
      <c r="D306" s="25" t="s">
        <v>1122</v>
      </c>
      <c r="E306" s="38">
        <v>9</v>
      </c>
      <c r="F306" s="13"/>
      <c r="G306" s="50">
        <f t="shared" si="36"/>
        <v>0</v>
      </c>
      <c r="H306" s="103"/>
      <c r="I306" s="103"/>
      <c r="J306" s="104"/>
      <c r="K306" s="103"/>
      <c r="L306" s="103"/>
      <c r="M306" s="103">
        <f t="shared" si="37"/>
        <v>9</v>
      </c>
      <c r="N306" s="103"/>
      <c r="O306" s="103" t="s">
        <v>946</v>
      </c>
      <c r="P306" s="104">
        <f t="shared" si="38"/>
        <v>0</v>
      </c>
    </row>
    <row r="307" spans="1:16" s="8" customFormat="1" ht="15.75" x14ac:dyDescent="0.25">
      <c r="A307" s="113" t="s">
        <v>909</v>
      </c>
      <c r="B307" s="102"/>
      <c r="C307" s="25" t="s">
        <v>792</v>
      </c>
      <c r="D307" s="25" t="s">
        <v>1122</v>
      </c>
      <c r="E307" s="38">
        <v>19</v>
      </c>
      <c r="F307" s="13"/>
      <c r="G307" s="50">
        <f t="shared" si="36"/>
        <v>0</v>
      </c>
      <c r="H307" s="103"/>
      <c r="I307" s="103"/>
      <c r="J307" s="104"/>
      <c r="K307" s="103"/>
      <c r="L307" s="103">
        <v>1</v>
      </c>
      <c r="M307" s="103">
        <f t="shared" si="37"/>
        <v>18</v>
      </c>
      <c r="N307" s="103"/>
      <c r="O307" s="103" t="s">
        <v>946</v>
      </c>
      <c r="P307" s="104">
        <f t="shared" si="38"/>
        <v>0</v>
      </c>
    </row>
    <row r="308" spans="1:16" s="8" customFormat="1" ht="15.75" x14ac:dyDescent="0.25">
      <c r="A308" s="113" t="s">
        <v>910</v>
      </c>
      <c r="B308" s="102"/>
      <c r="C308" s="25" t="s">
        <v>329</v>
      </c>
      <c r="D308" s="25" t="s">
        <v>1122</v>
      </c>
      <c r="E308" s="38">
        <v>21</v>
      </c>
      <c r="F308" s="13"/>
      <c r="G308" s="50">
        <f t="shared" si="36"/>
        <v>0</v>
      </c>
      <c r="H308" s="103"/>
      <c r="I308" s="103"/>
      <c r="J308" s="104"/>
      <c r="K308" s="103"/>
      <c r="L308" s="103"/>
      <c r="M308" s="103">
        <f t="shared" si="37"/>
        <v>21</v>
      </c>
      <c r="N308" s="103"/>
      <c r="O308" s="103" t="s">
        <v>946</v>
      </c>
      <c r="P308" s="104">
        <f t="shared" si="38"/>
        <v>0</v>
      </c>
    </row>
    <row r="309" spans="1:16" s="8" customFormat="1" ht="15.75" x14ac:dyDescent="0.25">
      <c r="A309" s="113" t="s">
        <v>911</v>
      </c>
      <c r="B309" s="102"/>
      <c r="C309" s="25" t="s">
        <v>330</v>
      </c>
      <c r="D309" s="25" t="s">
        <v>1122</v>
      </c>
      <c r="E309" s="38">
        <f>2+18</f>
        <v>20</v>
      </c>
      <c r="F309" s="13"/>
      <c r="G309" s="50">
        <f t="shared" si="36"/>
        <v>0</v>
      </c>
      <c r="H309" s="103"/>
      <c r="I309" s="103"/>
      <c r="J309" s="104"/>
      <c r="K309" s="103"/>
      <c r="L309" s="103"/>
      <c r="M309" s="103">
        <f t="shared" si="37"/>
        <v>20</v>
      </c>
      <c r="N309" s="103"/>
      <c r="O309" s="103" t="s">
        <v>946</v>
      </c>
      <c r="P309" s="104">
        <f t="shared" si="38"/>
        <v>0</v>
      </c>
    </row>
    <row r="310" spans="1:16" s="8" customFormat="1" ht="15.75" x14ac:dyDescent="0.25">
      <c r="A310" s="113" t="s">
        <v>912</v>
      </c>
      <c r="B310" s="102">
        <v>44193</v>
      </c>
      <c r="C310" s="25" t="s">
        <v>836</v>
      </c>
      <c r="D310" s="25" t="s">
        <v>1122</v>
      </c>
      <c r="E310" s="38">
        <v>19</v>
      </c>
      <c r="F310" s="13">
        <v>30</v>
      </c>
      <c r="G310" s="50">
        <f t="shared" si="36"/>
        <v>570</v>
      </c>
      <c r="H310" s="103"/>
      <c r="I310" s="103"/>
      <c r="J310" s="104"/>
      <c r="K310" s="103"/>
      <c r="L310" s="103"/>
      <c r="M310" s="103">
        <f t="shared" si="37"/>
        <v>19</v>
      </c>
      <c r="N310" s="103"/>
      <c r="O310" s="103" t="s">
        <v>946</v>
      </c>
      <c r="P310" s="104">
        <f t="shared" si="38"/>
        <v>570</v>
      </c>
    </row>
    <row r="311" spans="1:16" s="8" customFormat="1" ht="15.75" x14ac:dyDescent="0.25">
      <c r="A311" s="113" t="s">
        <v>530</v>
      </c>
      <c r="B311" s="102">
        <v>44193</v>
      </c>
      <c r="C311" s="25" t="s">
        <v>810</v>
      </c>
      <c r="D311" s="25" t="s">
        <v>1122</v>
      </c>
      <c r="E311" s="38">
        <v>6</v>
      </c>
      <c r="F311" s="13">
        <v>299.72000000000003</v>
      </c>
      <c r="G311" s="50">
        <f>+E311*F311</f>
        <v>1798.3200000000002</v>
      </c>
      <c r="H311" s="103"/>
      <c r="I311" s="103"/>
      <c r="J311" s="104"/>
      <c r="K311" s="103"/>
      <c r="L311" s="103"/>
      <c r="M311" s="103">
        <f t="shared" si="37"/>
        <v>6</v>
      </c>
      <c r="N311" s="103"/>
      <c r="O311" s="103" t="s">
        <v>946</v>
      </c>
      <c r="P311" s="104">
        <f t="shared" si="38"/>
        <v>1798.3200000000002</v>
      </c>
    </row>
    <row r="312" spans="1:16" s="8" customFormat="1" ht="15.75" x14ac:dyDescent="0.25">
      <c r="A312" s="113" t="s">
        <v>916</v>
      </c>
      <c r="B312" s="102"/>
      <c r="C312" s="25" t="s">
        <v>836</v>
      </c>
      <c r="D312" s="25" t="s">
        <v>1122</v>
      </c>
      <c r="E312" s="38">
        <v>19</v>
      </c>
      <c r="F312" s="13"/>
      <c r="G312" s="50"/>
      <c r="H312" s="103"/>
      <c r="I312" s="103"/>
      <c r="J312" s="104"/>
      <c r="K312" s="103"/>
      <c r="L312" s="103"/>
      <c r="M312" s="103">
        <f t="shared" si="37"/>
        <v>19</v>
      </c>
      <c r="N312" s="103"/>
      <c r="O312" s="103" t="s">
        <v>946</v>
      </c>
      <c r="P312" s="104">
        <f t="shared" si="38"/>
        <v>0</v>
      </c>
    </row>
    <row r="313" spans="1:16" s="92" customFormat="1" x14ac:dyDescent="0.3">
      <c r="A313" s="113" t="s">
        <v>917</v>
      </c>
      <c r="B313" s="102"/>
      <c r="C313" s="25" t="s">
        <v>918</v>
      </c>
      <c r="D313" s="25" t="s">
        <v>1122</v>
      </c>
      <c r="E313" s="38">
        <v>5</v>
      </c>
      <c r="F313" s="13"/>
      <c r="G313" s="50"/>
      <c r="H313" s="103"/>
      <c r="I313" s="103"/>
      <c r="J313" s="104"/>
      <c r="K313" s="103"/>
      <c r="L313" s="103"/>
      <c r="M313" s="103">
        <f t="shared" si="37"/>
        <v>5</v>
      </c>
      <c r="N313" s="103"/>
      <c r="O313" s="103" t="s">
        <v>945</v>
      </c>
      <c r="P313" s="104">
        <f t="shared" si="38"/>
        <v>0</v>
      </c>
    </row>
    <row r="314" spans="1:16" s="92" customFormat="1" x14ac:dyDescent="0.3">
      <c r="A314" s="113" t="s">
        <v>921</v>
      </c>
      <c r="B314" s="102"/>
      <c r="C314" s="25" t="s">
        <v>919</v>
      </c>
      <c r="D314" s="25" t="s">
        <v>1122</v>
      </c>
      <c r="E314" s="38">
        <f>12+10+11</f>
        <v>33</v>
      </c>
      <c r="F314" s="13">
        <v>150</v>
      </c>
      <c r="G314" s="50"/>
      <c r="H314" s="103"/>
      <c r="I314" s="103"/>
      <c r="J314" s="104"/>
      <c r="K314" s="103"/>
      <c r="L314" s="103"/>
      <c r="M314" s="103">
        <f t="shared" si="37"/>
        <v>33</v>
      </c>
      <c r="N314" s="103"/>
      <c r="O314" s="103" t="s">
        <v>945</v>
      </c>
      <c r="P314" s="104">
        <f t="shared" si="38"/>
        <v>4950</v>
      </c>
    </row>
    <row r="315" spans="1:16" s="92" customFormat="1" x14ac:dyDescent="0.3">
      <c r="A315" s="113" t="s">
        <v>922</v>
      </c>
      <c r="B315" s="102"/>
      <c r="C315" s="25" t="s">
        <v>926</v>
      </c>
      <c r="D315" s="25" t="s">
        <v>1122</v>
      </c>
      <c r="E315" s="38">
        <v>1</v>
      </c>
      <c r="F315" s="13"/>
      <c r="G315" s="50"/>
      <c r="H315" s="103"/>
      <c r="I315" s="103"/>
      <c r="J315" s="104"/>
      <c r="K315" s="103"/>
      <c r="L315" s="103"/>
      <c r="M315" s="103">
        <f t="shared" si="37"/>
        <v>1</v>
      </c>
      <c r="N315" s="103"/>
      <c r="O315" s="103" t="s">
        <v>945</v>
      </c>
      <c r="P315" s="104">
        <f t="shared" si="38"/>
        <v>0</v>
      </c>
    </row>
    <row r="316" spans="1:16" s="92" customFormat="1" x14ac:dyDescent="0.3">
      <c r="A316" s="113" t="s">
        <v>923</v>
      </c>
      <c r="B316" s="102"/>
      <c r="C316" s="25" t="s">
        <v>930</v>
      </c>
      <c r="D316" s="25" t="s">
        <v>1122</v>
      </c>
      <c r="E316" s="38"/>
      <c r="F316" s="13"/>
      <c r="G316" s="50"/>
      <c r="H316" s="103"/>
      <c r="I316" s="103"/>
      <c r="J316" s="104"/>
      <c r="K316" s="103"/>
      <c r="L316" s="103">
        <f>2+2+2+2+2</f>
        <v>10</v>
      </c>
      <c r="M316" s="103">
        <f t="shared" si="37"/>
        <v>-10</v>
      </c>
      <c r="N316" s="103"/>
      <c r="O316" s="103" t="s">
        <v>945</v>
      </c>
      <c r="P316" s="104">
        <f t="shared" si="38"/>
        <v>0</v>
      </c>
    </row>
    <row r="317" spans="1:16" s="8" customFormat="1" ht="15.75" x14ac:dyDescent="0.25">
      <c r="A317" s="113" t="s">
        <v>932</v>
      </c>
      <c r="B317" s="102"/>
      <c r="C317" s="25" t="s">
        <v>931</v>
      </c>
      <c r="D317" s="25" t="s">
        <v>1122</v>
      </c>
      <c r="E317" s="38"/>
      <c r="F317" s="13"/>
      <c r="G317" s="50"/>
      <c r="H317" s="103"/>
      <c r="I317" s="103"/>
      <c r="J317" s="104"/>
      <c r="K317" s="103"/>
      <c r="L317" s="103">
        <f>1+1</f>
        <v>2</v>
      </c>
      <c r="M317" s="103">
        <f t="shared" si="37"/>
        <v>-2</v>
      </c>
      <c r="N317" s="103"/>
      <c r="O317" s="103" t="s">
        <v>947</v>
      </c>
      <c r="P317" s="104">
        <f t="shared" si="38"/>
        <v>0</v>
      </c>
    </row>
    <row r="318" spans="1:16" s="8" customFormat="1" ht="15.75" x14ac:dyDescent="0.25">
      <c r="A318" s="113" t="s">
        <v>933</v>
      </c>
      <c r="B318" s="102"/>
      <c r="C318" s="68" t="s">
        <v>934</v>
      </c>
      <c r="D318" s="25" t="s">
        <v>1122</v>
      </c>
      <c r="E318" s="38"/>
      <c r="F318" s="13"/>
      <c r="G318" s="50"/>
      <c r="H318" s="103"/>
      <c r="I318" s="103"/>
      <c r="J318" s="104"/>
      <c r="K318" s="103"/>
      <c r="L318" s="103">
        <f>1+1+15+1</f>
        <v>18</v>
      </c>
      <c r="M318" s="103">
        <f t="shared" si="37"/>
        <v>-18</v>
      </c>
      <c r="N318" s="103"/>
      <c r="O318" s="103" t="s">
        <v>946</v>
      </c>
      <c r="P318" s="104">
        <f t="shared" si="38"/>
        <v>0</v>
      </c>
    </row>
    <row r="319" spans="1:16" s="8" customFormat="1" ht="15.75" x14ac:dyDescent="0.25">
      <c r="A319" s="113" t="s">
        <v>936</v>
      </c>
      <c r="B319" s="102">
        <v>44193</v>
      </c>
      <c r="C319" s="25" t="s">
        <v>613</v>
      </c>
      <c r="D319" s="25" t="s">
        <v>1122</v>
      </c>
      <c r="E319" s="38">
        <v>25</v>
      </c>
      <c r="F319" s="13">
        <v>5.78</v>
      </c>
      <c r="G319" s="50">
        <f>+E319*F319</f>
        <v>144.5</v>
      </c>
      <c r="H319" s="103"/>
      <c r="I319" s="103"/>
      <c r="J319" s="104"/>
      <c r="K319" s="103"/>
      <c r="L319" s="103">
        <v>1</v>
      </c>
      <c r="M319" s="103">
        <f t="shared" si="37"/>
        <v>24</v>
      </c>
      <c r="N319" s="103"/>
      <c r="O319" s="103" t="s">
        <v>946</v>
      </c>
      <c r="P319" s="104">
        <f t="shared" si="38"/>
        <v>138.72</v>
      </c>
    </row>
    <row r="320" spans="1:16" s="8" customFormat="1" ht="15.75" x14ac:dyDescent="0.25">
      <c r="A320" s="113" t="s">
        <v>937</v>
      </c>
      <c r="B320" s="102"/>
      <c r="C320" s="25" t="s">
        <v>935</v>
      </c>
      <c r="D320" s="25" t="s">
        <v>1122</v>
      </c>
      <c r="E320" s="38"/>
      <c r="F320" s="13"/>
      <c r="G320" s="50"/>
      <c r="H320" s="103"/>
      <c r="I320" s="103"/>
      <c r="J320" s="104"/>
      <c r="K320" s="103"/>
      <c r="L320" s="103">
        <v>2</v>
      </c>
      <c r="M320" s="103">
        <f t="shared" si="37"/>
        <v>-2</v>
      </c>
      <c r="N320" s="103"/>
      <c r="O320" s="103" t="s">
        <v>946</v>
      </c>
      <c r="P320" s="104">
        <f t="shared" si="38"/>
        <v>0</v>
      </c>
    </row>
    <row r="321" spans="1:16" s="8" customFormat="1" ht="15.75" x14ac:dyDescent="0.25">
      <c r="A321" s="113" t="s">
        <v>938</v>
      </c>
      <c r="B321" s="102"/>
      <c r="C321" s="25" t="s">
        <v>939</v>
      </c>
      <c r="D321" s="25" t="s">
        <v>1122</v>
      </c>
      <c r="E321" s="38"/>
      <c r="F321" s="13"/>
      <c r="G321" s="50"/>
      <c r="H321" s="103"/>
      <c r="I321" s="103"/>
      <c r="J321" s="104"/>
      <c r="K321" s="103"/>
      <c r="L321" s="103">
        <v>1</v>
      </c>
      <c r="M321" s="103">
        <f t="shared" si="37"/>
        <v>-1</v>
      </c>
      <c r="N321" s="103"/>
      <c r="O321" s="103" t="s">
        <v>946</v>
      </c>
      <c r="P321" s="104">
        <f t="shared" si="38"/>
        <v>0</v>
      </c>
    </row>
    <row r="322" spans="1:16" s="8" customFormat="1" ht="15.75" x14ac:dyDescent="0.25">
      <c r="A322" s="113" t="s">
        <v>941</v>
      </c>
      <c r="B322" s="102"/>
      <c r="C322" s="25" t="s">
        <v>940</v>
      </c>
      <c r="D322" s="25" t="s">
        <v>1122</v>
      </c>
      <c r="E322" s="38"/>
      <c r="F322" s="13"/>
      <c r="G322" s="50"/>
      <c r="H322" s="103"/>
      <c r="I322" s="103"/>
      <c r="J322" s="104"/>
      <c r="K322" s="103"/>
      <c r="L322" s="103">
        <v>1</v>
      </c>
      <c r="M322" s="103">
        <f t="shared" si="37"/>
        <v>-1</v>
      </c>
      <c r="N322" s="103"/>
      <c r="O322" s="103" t="s">
        <v>946</v>
      </c>
      <c r="P322" s="104">
        <f t="shared" si="38"/>
        <v>0</v>
      </c>
    </row>
    <row r="323" spans="1:16" s="8" customFormat="1" ht="15.75" x14ac:dyDescent="0.25">
      <c r="A323" s="113" t="s">
        <v>948</v>
      </c>
      <c r="B323" s="102"/>
      <c r="C323" s="25" t="s">
        <v>942</v>
      </c>
      <c r="D323" s="25" t="s">
        <v>1122</v>
      </c>
      <c r="E323" s="38"/>
      <c r="F323" s="13"/>
      <c r="G323" s="50"/>
      <c r="H323" s="107">
        <v>44778</v>
      </c>
      <c r="I323" s="103">
        <f>120*12</f>
        <v>1440</v>
      </c>
      <c r="J323" s="104">
        <f>111864/I323</f>
        <v>77.683333333333337</v>
      </c>
      <c r="K323" s="104">
        <f>+J323*I323</f>
        <v>111864</v>
      </c>
      <c r="L323" s="103">
        <v>473</v>
      </c>
      <c r="M323" s="103">
        <f t="shared" si="37"/>
        <v>967</v>
      </c>
      <c r="N323" s="103"/>
      <c r="O323" s="103" t="s">
        <v>946</v>
      </c>
      <c r="P323" s="104">
        <f>+M323*J323</f>
        <v>75119.78333333334</v>
      </c>
    </row>
    <row r="324" spans="1:16" s="8" customFormat="1" ht="15.75" x14ac:dyDescent="0.25">
      <c r="A324" s="113" t="s">
        <v>953</v>
      </c>
      <c r="B324" s="102"/>
      <c r="C324" s="25" t="s">
        <v>949</v>
      </c>
      <c r="D324" s="25" t="s">
        <v>1122</v>
      </c>
      <c r="E324" s="38"/>
      <c r="F324" s="13"/>
      <c r="G324" s="50"/>
      <c r="H324" s="103"/>
      <c r="I324" s="103"/>
      <c r="J324" s="104"/>
      <c r="K324" s="103"/>
      <c r="L324" s="103">
        <v>1</v>
      </c>
      <c r="M324" s="103">
        <f t="shared" si="37"/>
        <v>-1</v>
      </c>
      <c r="N324" s="103"/>
      <c r="O324" s="103" t="s">
        <v>946</v>
      </c>
      <c r="P324" s="104">
        <f>+M324*J324</f>
        <v>0</v>
      </c>
    </row>
    <row r="325" spans="1:16" s="92" customFormat="1" x14ac:dyDescent="0.3">
      <c r="A325" s="113" t="s">
        <v>954</v>
      </c>
      <c r="B325" s="102"/>
      <c r="C325" s="25" t="s">
        <v>952</v>
      </c>
      <c r="D325" s="25" t="s">
        <v>1122</v>
      </c>
      <c r="E325" s="38"/>
      <c r="F325" s="13"/>
      <c r="G325" s="50"/>
      <c r="H325" s="103"/>
      <c r="I325" s="103"/>
      <c r="J325" s="104"/>
      <c r="K325" s="103"/>
      <c r="L325" s="103">
        <f>1+1+2</f>
        <v>4</v>
      </c>
      <c r="M325" s="103">
        <f t="shared" si="37"/>
        <v>-4</v>
      </c>
      <c r="N325" s="103"/>
      <c r="O325" s="103" t="s">
        <v>945</v>
      </c>
      <c r="P325" s="104">
        <f t="shared" ref="P325:P330" si="39">+M325*J325</f>
        <v>0</v>
      </c>
    </row>
    <row r="326" spans="1:16" s="92" customFormat="1" x14ac:dyDescent="0.3">
      <c r="A326" s="113" t="s">
        <v>957</v>
      </c>
      <c r="B326" s="102"/>
      <c r="C326" s="25" t="s">
        <v>958</v>
      </c>
      <c r="D326" s="25" t="s">
        <v>1122</v>
      </c>
      <c r="E326" s="38"/>
      <c r="F326" s="13"/>
      <c r="G326" s="50"/>
      <c r="H326" s="103"/>
      <c r="I326" s="103"/>
      <c r="J326" s="104"/>
      <c r="K326" s="103"/>
      <c r="L326" s="103">
        <f>1+1+2+2+1+1</f>
        <v>8</v>
      </c>
      <c r="M326" s="103">
        <f t="shared" si="37"/>
        <v>-8</v>
      </c>
      <c r="N326" s="103"/>
      <c r="O326" s="103" t="s">
        <v>945</v>
      </c>
      <c r="P326" s="104">
        <f t="shared" si="39"/>
        <v>0</v>
      </c>
    </row>
    <row r="327" spans="1:16" s="105" customFormat="1" ht="15.75" x14ac:dyDescent="0.25">
      <c r="A327" s="113" t="s">
        <v>972</v>
      </c>
      <c r="B327" s="102"/>
      <c r="C327" s="25" t="s">
        <v>959</v>
      </c>
      <c r="D327" s="25" t="s">
        <v>1122</v>
      </c>
      <c r="E327" s="38"/>
      <c r="F327" s="13"/>
      <c r="G327" s="50"/>
      <c r="H327" s="107">
        <v>44852</v>
      </c>
      <c r="I327" s="103">
        <v>20</v>
      </c>
      <c r="J327" s="104">
        <v>19.329999999999998</v>
      </c>
      <c r="K327" s="108">
        <f>+I327*J327</f>
        <v>386.59999999999997</v>
      </c>
      <c r="L327" s="103">
        <f>1+1+2+2</f>
        <v>6</v>
      </c>
      <c r="M327" s="103">
        <f t="shared" si="37"/>
        <v>14</v>
      </c>
      <c r="N327" s="103" t="s">
        <v>1037</v>
      </c>
      <c r="O327" s="103" t="s">
        <v>947</v>
      </c>
      <c r="P327" s="104">
        <f t="shared" si="39"/>
        <v>270.62</v>
      </c>
    </row>
    <row r="328" spans="1:16" s="105" customFormat="1" ht="15.75" x14ac:dyDescent="0.25">
      <c r="A328" s="113" t="s">
        <v>973</v>
      </c>
      <c r="B328" s="102"/>
      <c r="C328" s="25" t="s">
        <v>1036</v>
      </c>
      <c r="D328" s="25" t="s">
        <v>1122</v>
      </c>
      <c r="E328" s="38"/>
      <c r="F328" s="13"/>
      <c r="G328" s="50"/>
      <c r="H328" s="107">
        <v>44852</v>
      </c>
      <c r="I328" s="103">
        <v>10</v>
      </c>
      <c r="J328" s="104">
        <v>145.80000000000001</v>
      </c>
      <c r="K328" s="108">
        <f>+I328*J328</f>
        <v>1458</v>
      </c>
      <c r="L328" s="103">
        <f>1+1+2+1</f>
        <v>5</v>
      </c>
      <c r="M328" s="103">
        <f t="shared" si="37"/>
        <v>5</v>
      </c>
      <c r="N328" s="103" t="s">
        <v>1037</v>
      </c>
      <c r="O328" s="103" t="s">
        <v>947</v>
      </c>
      <c r="P328" s="104">
        <f t="shared" si="39"/>
        <v>729</v>
      </c>
    </row>
    <row r="329" spans="1:16" s="105" customFormat="1" ht="15.75" x14ac:dyDescent="0.25">
      <c r="A329" s="113" t="s">
        <v>974</v>
      </c>
      <c r="B329" s="102"/>
      <c r="C329" s="25" t="s">
        <v>1040</v>
      </c>
      <c r="D329" s="25" t="s">
        <v>1122</v>
      </c>
      <c r="E329" s="38"/>
      <c r="F329" s="13"/>
      <c r="G329" s="50"/>
      <c r="H329" s="107">
        <v>44852</v>
      </c>
      <c r="I329" s="103">
        <v>30</v>
      </c>
      <c r="J329" s="104">
        <v>97.59</v>
      </c>
      <c r="K329" s="108">
        <f>+I329*J329</f>
        <v>2927.7000000000003</v>
      </c>
      <c r="L329" s="103">
        <f>1+1+2+4</f>
        <v>8</v>
      </c>
      <c r="M329" s="103">
        <f t="shared" si="37"/>
        <v>22</v>
      </c>
      <c r="N329" s="103" t="s">
        <v>1037</v>
      </c>
      <c r="O329" s="103" t="s">
        <v>947</v>
      </c>
      <c r="P329" s="104">
        <f t="shared" si="39"/>
        <v>2146.98</v>
      </c>
    </row>
    <row r="330" spans="1:16" s="92" customFormat="1" x14ac:dyDescent="0.3">
      <c r="A330" s="113" t="s">
        <v>975</v>
      </c>
      <c r="B330" s="102"/>
      <c r="C330" s="25" t="s">
        <v>960</v>
      </c>
      <c r="D330" s="25" t="s">
        <v>1122</v>
      </c>
      <c r="E330" s="38"/>
      <c r="F330" s="13"/>
      <c r="G330" s="50"/>
      <c r="H330" s="103"/>
      <c r="I330" s="103"/>
      <c r="J330" s="104"/>
      <c r="K330" s="103"/>
      <c r="L330" s="103">
        <v>2</v>
      </c>
      <c r="M330" s="103">
        <f t="shared" si="37"/>
        <v>-2</v>
      </c>
      <c r="N330" s="103"/>
      <c r="O330" s="103" t="s">
        <v>946</v>
      </c>
      <c r="P330" s="104">
        <f t="shared" si="39"/>
        <v>0</v>
      </c>
    </row>
    <row r="331" spans="1:16" s="92" customFormat="1" ht="32.25" x14ac:dyDescent="0.3">
      <c r="A331" s="113" t="s">
        <v>976</v>
      </c>
      <c r="B331" s="102"/>
      <c r="C331" s="25" t="s">
        <v>961</v>
      </c>
      <c r="D331" s="25" t="s">
        <v>1122</v>
      </c>
      <c r="E331" s="38"/>
      <c r="F331" s="13"/>
      <c r="G331" s="50"/>
      <c r="H331" s="107">
        <v>44851</v>
      </c>
      <c r="I331" s="103">
        <v>25</v>
      </c>
      <c r="J331" s="104">
        <v>672.78</v>
      </c>
      <c r="K331" s="108">
        <f>+I331*J331</f>
        <v>16819.5</v>
      </c>
      <c r="L331" s="103">
        <f>1+1</f>
        <v>2</v>
      </c>
      <c r="M331" s="103">
        <f t="shared" si="37"/>
        <v>23</v>
      </c>
      <c r="N331" s="121" t="s">
        <v>1006</v>
      </c>
      <c r="O331" s="103" t="s">
        <v>946</v>
      </c>
      <c r="P331" s="104">
        <f>+M331*J331</f>
        <v>15473.939999999999</v>
      </c>
    </row>
    <row r="332" spans="1:16" s="92" customFormat="1" x14ac:dyDescent="0.3">
      <c r="A332" s="113" t="s">
        <v>977</v>
      </c>
      <c r="B332" s="102"/>
      <c r="C332" s="25" t="s">
        <v>962</v>
      </c>
      <c r="D332" s="25" t="s">
        <v>1122</v>
      </c>
      <c r="E332" s="38"/>
      <c r="F332" s="13"/>
      <c r="G332" s="50"/>
      <c r="H332" s="107">
        <v>44852</v>
      </c>
      <c r="I332" s="103">
        <v>12</v>
      </c>
      <c r="J332" s="104">
        <f>1452+261.36</f>
        <v>1713.3600000000001</v>
      </c>
      <c r="K332" s="108">
        <f>+I332*J332</f>
        <v>20560.32</v>
      </c>
      <c r="L332" s="103">
        <v>1</v>
      </c>
      <c r="M332" s="103">
        <f t="shared" si="37"/>
        <v>11</v>
      </c>
      <c r="N332" s="103"/>
      <c r="O332" s="103" t="s">
        <v>946</v>
      </c>
      <c r="P332" s="104">
        <f t="shared" ref="P332:P404" si="40">+M332*J332</f>
        <v>18846.960000000003</v>
      </c>
    </row>
    <row r="333" spans="1:16" s="92" customFormat="1" x14ac:dyDescent="0.3">
      <c r="A333" s="113" t="s">
        <v>978</v>
      </c>
      <c r="B333" s="102"/>
      <c r="C333" s="25" t="s">
        <v>963</v>
      </c>
      <c r="D333" s="25" t="s">
        <v>1122</v>
      </c>
      <c r="E333" s="38"/>
      <c r="F333" s="13"/>
      <c r="G333" s="50"/>
      <c r="H333" s="107">
        <v>44852</v>
      </c>
      <c r="I333" s="103">
        <v>15</v>
      </c>
      <c r="J333" s="104">
        <f>4210+757.8</f>
        <v>4967.8</v>
      </c>
      <c r="K333" s="108">
        <f>+I333*J333</f>
        <v>74517</v>
      </c>
      <c r="L333" s="103"/>
      <c r="M333" s="103">
        <f t="shared" si="37"/>
        <v>15</v>
      </c>
      <c r="N333" s="103"/>
      <c r="O333" s="103" t="s">
        <v>946</v>
      </c>
      <c r="P333" s="104">
        <f t="shared" si="40"/>
        <v>74517</v>
      </c>
    </row>
    <row r="334" spans="1:16" s="92" customFormat="1" x14ac:dyDescent="0.3">
      <c r="A334" s="113" t="s">
        <v>979</v>
      </c>
      <c r="B334" s="102"/>
      <c r="C334" s="25" t="s">
        <v>964</v>
      </c>
      <c r="D334" s="25" t="s">
        <v>1122</v>
      </c>
      <c r="E334" s="38"/>
      <c r="F334" s="13"/>
      <c r="G334" s="50"/>
      <c r="H334" s="107">
        <v>44852</v>
      </c>
      <c r="I334" s="103">
        <v>16</v>
      </c>
      <c r="J334" s="104">
        <f>3200+576</f>
        <v>3776</v>
      </c>
      <c r="K334" s="108">
        <f>+I334*J334</f>
        <v>60416</v>
      </c>
      <c r="L334" s="103"/>
      <c r="M334" s="103">
        <f t="shared" si="37"/>
        <v>16</v>
      </c>
      <c r="N334" s="103"/>
      <c r="O334" s="103" t="s">
        <v>946</v>
      </c>
      <c r="P334" s="104">
        <f t="shared" si="40"/>
        <v>60416</v>
      </c>
    </row>
    <row r="335" spans="1:16" s="92" customFormat="1" x14ac:dyDescent="0.3">
      <c r="A335" s="113" t="s">
        <v>980</v>
      </c>
      <c r="B335" s="102"/>
      <c r="C335" s="25" t="s">
        <v>965</v>
      </c>
      <c r="D335" s="25" t="s">
        <v>1122</v>
      </c>
      <c r="E335" s="38"/>
      <c r="F335" s="13"/>
      <c r="G335" s="50"/>
      <c r="H335" s="107">
        <v>44852</v>
      </c>
      <c r="I335" s="103">
        <v>5</v>
      </c>
      <c r="J335" s="104">
        <f>1911+343.98</f>
        <v>2254.98</v>
      </c>
      <c r="K335" s="108">
        <f t="shared" ref="K335:K345" si="41">+I335*J335</f>
        <v>11274.9</v>
      </c>
      <c r="L335" s="103"/>
      <c r="M335" s="103">
        <f t="shared" si="37"/>
        <v>5</v>
      </c>
      <c r="N335" s="103"/>
      <c r="O335" s="103" t="s">
        <v>946</v>
      </c>
      <c r="P335" s="104">
        <f t="shared" si="40"/>
        <v>11274.9</v>
      </c>
    </row>
    <row r="336" spans="1:16" s="92" customFormat="1" x14ac:dyDescent="0.3">
      <c r="A336" s="113" t="s">
        <v>981</v>
      </c>
      <c r="B336" s="102"/>
      <c r="C336" s="25" t="s">
        <v>966</v>
      </c>
      <c r="D336" s="25" t="s">
        <v>1122</v>
      </c>
      <c r="E336" s="38"/>
      <c r="F336" s="13"/>
      <c r="G336" s="50"/>
      <c r="H336" s="107">
        <v>44852</v>
      </c>
      <c r="I336" s="103">
        <v>20</v>
      </c>
      <c r="J336" s="104">
        <f>3200+576</f>
        <v>3776</v>
      </c>
      <c r="K336" s="108">
        <f t="shared" si="41"/>
        <v>75520</v>
      </c>
      <c r="L336" s="103">
        <v>1</v>
      </c>
      <c r="M336" s="103">
        <f t="shared" si="37"/>
        <v>19</v>
      </c>
      <c r="N336" s="103"/>
      <c r="O336" s="103" t="s">
        <v>946</v>
      </c>
      <c r="P336" s="104">
        <f t="shared" si="40"/>
        <v>71744</v>
      </c>
    </row>
    <row r="337" spans="1:16" s="92" customFormat="1" x14ac:dyDescent="0.3">
      <c r="A337" s="113" t="s">
        <v>982</v>
      </c>
      <c r="B337" s="102"/>
      <c r="C337" s="25" t="s">
        <v>967</v>
      </c>
      <c r="D337" s="25" t="s">
        <v>1122</v>
      </c>
      <c r="E337" s="38"/>
      <c r="F337" s="13"/>
      <c r="G337" s="50"/>
      <c r="H337" s="107">
        <v>44852</v>
      </c>
      <c r="I337" s="103">
        <v>10</v>
      </c>
      <c r="J337" s="104">
        <f>4800+864</f>
        <v>5664</v>
      </c>
      <c r="K337" s="108">
        <f t="shared" si="41"/>
        <v>56640</v>
      </c>
      <c r="L337" s="103"/>
      <c r="M337" s="103">
        <f t="shared" si="37"/>
        <v>10</v>
      </c>
      <c r="N337" s="103"/>
      <c r="O337" s="103" t="s">
        <v>946</v>
      </c>
      <c r="P337" s="104">
        <f t="shared" si="40"/>
        <v>56640</v>
      </c>
    </row>
    <row r="338" spans="1:16" s="92" customFormat="1" x14ac:dyDescent="0.3">
      <c r="A338" s="113" t="s">
        <v>983</v>
      </c>
      <c r="B338" s="102"/>
      <c r="C338" s="25" t="s">
        <v>968</v>
      </c>
      <c r="D338" s="25" t="s">
        <v>1122</v>
      </c>
      <c r="E338" s="38"/>
      <c r="F338" s="13"/>
      <c r="G338" s="50"/>
      <c r="H338" s="107">
        <v>44852</v>
      </c>
      <c r="I338" s="103">
        <v>35</v>
      </c>
      <c r="J338" s="104">
        <f>2050+369</f>
        <v>2419</v>
      </c>
      <c r="K338" s="108">
        <f t="shared" si="41"/>
        <v>84665</v>
      </c>
      <c r="L338" s="103">
        <v>1</v>
      </c>
      <c r="M338" s="103">
        <f t="shared" si="37"/>
        <v>34</v>
      </c>
      <c r="N338" s="103"/>
      <c r="O338" s="103" t="s">
        <v>946</v>
      </c>
      <c r="P338" s="104">
        <f t="shared" si="40"/>
        <v>82246</v>
      </c>
    </row>
    <row r="339" spans="1:16" s="92" customFormat="1" x14ac:dyDescent="0.3">
      <c r="A339" s="113" t="s">
        <v>984</v>
      </c>
      <c r="B339" s="102"/>
      <c r="C339" s="25" t="s">
        <v>969</v>
      </c>
      <c r="D339" s="25" t="s">
        <v>1122</v>
      </c>
      <c r="E339" s="38"/>
      <c r="F339" s="13"/>
      <c r="G339" s="50"/>
      <c r="H339" s="107">
        <v>44852</v>
      </c>
      <c r="I339" s="103">
        <v>5</v>
      </c>
      <c r="J339" s="104">
        <f>3737+672.66</f>
        <v>4409.66</v>
      </c>
      <c r="K339" s="108">
        <f t="shared" si="41"/>
        <v>22048.3</v>
      </c>
      <c r="L339" s="103"/>
      <c r="M339" s="103">
        <f t="shared" si="37"/>
        <v>5</v>
      </c>
      <c r="N339" s="103"/>
      <c r="O339" s="103" t="s">
        <v>946</v>
      </c>
      <c r="P339" s="104">
        <f t="shared" si="40"/>
        <v>22048.3</v>
      </c>
    </row>
    <row r="340" spans="1:16" s="92" customFormat="1" x14ac:dyDescent="0.3">
      <c r="A340" s="113" t="s">
        <v>985</v>
      </c>
      <c r="B340" s="102"/>
      <c r="C340" s="25" t="s">
        <v>994</v>
      </c>
      <c r="D340" s="25" t="s">
        <v>1122</v>
      </c>
      <c r="E340" s="38"/>
      <c r="F340" s="13"/>
      <c r="G340" s="50"/>
      <c r="H340" s="107">
        <v>44862</v>
      </c>
      <c r="I340" s="103">
        <v>40</v>
      </c>
      <c r="J340" s="104">
        <f>8750+1575</f>
        <v>10325</v>
      </c>
      <c r="K340" s="108">
        <f t="shared" si="41"/>
        <v>413000</v>
      </c>
      <c r="L340" s="103">
        <v>17</v>
      </c>
      <c r="M340" s="103">
        <f t="shared" si="37"/>
        <v>23</v>
      </c>
      <c r="N340" s="103"/>
      <c r="O340" s="103" t="s">
        <v>946</v>
      </c>
      <c r="P340" s="104">
        <f t="shared" si="40"/>
        <v>237475</v>
      </c>
    </row>
    <row r="341" spans="1:16" s="92" customFormat="1" x14ac:dyDescent="0.3">
      <c r="A341" s="113" t="s">
        <v>986</v>
      </c>
      <c r="B341" s="102"/>
      <c r="C341" s="25" t="s">
        <v>995</v>
      </c>
      <c r="D341" s="25" t="s">
        <v>1122</v>
      </c>
      <c r="E341" s="38"/>
      <c r="F341" s="13"/>
      <c r="G341" s="50"/>
      <c r="H341" s="107">
        <v>44862</v>
      </c>
      <c r="I341" s="103">
        <v>4</v>
      </c>
      <c r="J341" s="104">
        <f>1311+235.98</f>
        <v>1546.98</v>
      </c>
      <c r="K341" s="108">
        <f t="shared" si="41"/>
        <v>6187.92</v>
      </c>
      <c r="L341" s="103"/>
      <c r="M341" s="103">
        <f t="shared" si="37"/>
        <v>4</v>
      </c>
      <c r="N341" s="103"/>
      <c r="O341" s="103" t="s">
        <v>946</v>
      </c>
      <c r="P341" s="104">
        <f t="shared" si="40"/>
        <v>6187.92</v>
      </c>
    </row>
    <row r="342" spans="1:16" s="92" customFormat="1" x14ac:dyDescent="0.3">
      <c r="A342" s="113" t="s">
        <v>987</v>
      </c>
      <c r="B342" s="102"/>
      <c r="C342" s="25" t="s">
        <v>295</v>
      </c>
      <c r="D342" s="25" t="s">
        <v>1122</v>
      </c>
      <c r="E342" s="38"/>
      <c r="F342" s="13"/>
      <c r="G342" s="50"/>
      <c r="H342" s="103"/>
      <c r="I342" s="103"/>
      <c r="J342" s="104"/>
      <c r="K342" s="108">
        <f t="shared" si="41"/>
        <v>0</v>
      </c>
      <c r="L342" s="103">
        <v>1</v>
      </c>
      <c r="M342" s="103">
        <f t="shared" si="37"/>
        <v>-1</v>
      </c>
      <c r="N342" s="103"/>
      <c r="O342" s="103" t="s">
        <v>946</v>
      </c>
      <c r="P342" s="104">
        <f t="shared" si="40"/>
        <v>0</v>
      </c>
    </row>
    <row r="343" spans="1:16" s="92" customFormat="1" x14ac:dyDescent="0.3">
      <c r="A343" s="113" t="s">
        <v>988</v>
      </c>
      <c r="B343" s="102"/>
      <c r="C343" s="25" t="s">
        <v>970</v>
      </c>
      <c r="D343" s="25" t="s">
        <v>1122</v>
      </c>
      <c r="E343" s="38"/>
      <c r="F343" s="13"/>
      <c r="G343" s="50"/>
      <c r="H343" s="103"/>
      <c r="I343" s="103"/>
      <c r="J343" s="104"/>
      <c r="K343" s="108">
        <f t="shared" si="41"/>
        <v>0</v>
      </c>
      <c r="L343" s="103">
        <f>2+2</f>
        <v>4</v>
      </c>
      <c r="M343" s="103">
        <f t="shared" si="37"/>
        <v>-4</v>
      </c>
      <c r="N343" s="103"/>
      <c r="O343" s="103" t="s">
        <v>946</v>
      </c>
      <c r="P343" s="104">
        <f t="shared" si="40"/>
        <v>0</v>
      </c>
    </row>
    <row r="344" spans="1:16" s="92" customFormat="1" x14ac:dyDescent="0.3">
      <c r="A344" s="113" t="s">
        <v>989</v>
      </c>
      <c r="B344" s="102"/>
      <c r="C344" s="25" t="s">
        <v>971</v>
      </c>
      <c r="D344" s="25" t="s">
        <v>1122</v>
      </c>
      <c r="E344" s="38"/>
      <c r="F344" s="13"/>
      <c r="G344" s="50"/>
      <c r="H344" s="107">
        <v>44903</v>
      </c>
      <c r="I344" s="103">
        <f>2*12</f>
        <v>24</v>
      </c>
      <c r="J344" s="104">
        <v>118.15</v>
      </c>
      <c r="K344" s="108">
        <f t="shared" si="41"/>
        <v>2835.6000000000004</v>
      </c>
      <c r="L344" s="103">
        <f>3+3</f>
        <v>6</v>
      </c>
      <c r="M344" s="103">
        <f t="shared" si="37"/>
        <v>18</v>
      </c>
      <c r="N344" s="103"/>
      <c r="O344" s="103" t="s">
        <v>946</v>
      </c>
      <c r="P344" s="104">
        <f t="shared" si="40"/>
        <v>2126.7000000000003</v>
      </c>
    </row>
    <row r="345" spans="1:16" s="92" customFormat="1" ht="32.25" x14ac:dyDescent="0.3">
      <c r="A345" s="113" t="s">
        <v>990</v>
      </c>
      <c r="B345" s="102"/>
      <c r="C345" s="123" t="s">
        <v>996</v>
      </c>
      <c r="D345" s="25" t="s">
        <v>1122</v>
      </c>
      <c r="E345" s="38"/>
      <c r="F345" s="13"/>
      <c r="G345" s="50"/>
      <c r="H345" s="107">
        <v>44851</v>
      </c>
      <c r="I345" s="103">
        <v>30</v>
      </c>
      <c r="J345" s="104">
        <v>240.72</v>
      </c>
      <c r="K345" s="108">
        <f t="shared" si="41"/>
        <v>7221.6</v>
      </c>
      <c r="L345" s="103"/>
      <c r="M345" s="103">
        <f t="shared" si="37"/>
        <v>30</v>
      </c>
      <c r="N345" s="121" t="s">
        <v>1006</v>
      </c>
      <c r="O345" s="103" t="s">
        <v>946</v>
      </c>
      <c r="P345" s="104">
        <f>+M345*J345</f>
        <v>7221.6</v>
      </c>
    </row>
    <row r="346" spans="1:16" s="92" customFormat="1" ht="32.25" x14ac:dyDescent="0.3">
      <c r="A346" s="113" t="s">
        <v>991</v>
      </c>
      <c r="B346" s="102"/>
      <c r="C346" s="25" t="s">
        <v>997</v>
      </c>
      <c r="D346" s="25" t="s">
        <v>1122</v>
      </c>
      <c r="E346" s="38"/>
      <c r="F346" s="13"/>
      <c r="G346" s="50"/>
      <c r="H346" s="107">
        <v>44851</v>
      </c>
      <c r="I346" s="103">
        <v>10</v>
      </c>
      <c r="J346" s="104">
        <v>40.119999999999997</v>
      </c>
      <c r="K346" s="108">
        <f>+I346*J346</f>
        <v>401.2</v>
      </c>
      <c r="L346" s="103"/>
      <c r="M346" s="103">
        <f t="shared" si="37"/>
        <v>10</v>
      </c>
      <c r="N346" s="121" t="s">
        <v>1006</v>
      </c>
      <c r="O346" s="103" t="s">
        <v>946</v>
      </c>
      <c r="P346" s="104">
        <f t="shared" si="40"/>
        <v>401.2</v>
      </c>
    </row>
    <row r="347" spans="1:16" s="92" customFormat="1" ht="32.25" x14ac:dyDescent="0.3">
      <c r="A347" s="113" t="s">
        <v>992</v>
      </c>
      <c r="B347" s="102"/>
      <c r="C347" s="25" t="s">
        <v>998</v>
      </c>
      <c r="D347" s="25" t="s">
        <v>1122</v>
      </c>
      <c r="E347" s="38"/>
      <c r="F347" s="13"/>
      <c r="G347" s="50"/>
      <c r="H347" s="107">
        <v>44851</v>
      </c>
      <c r="I347" s="103">
        <v>25</v>
      </c>
      <c r="J347" s="104">
        <v>141.6</v>
      </c>
      <c r="K347" s="108">
        <f t="shared" ref="K347:K365" si="42">+I347*J347</f>
        <v>3540</v>
      </c>
      <c r="L347" s="103"/>
      <c r="M347" s="103">
        <f t="shared" si="37"/>
        <v>25</v>
      </c>
      <c r="N347" s="121" t="s">
        <v>1006</v>
      </c>
      <c r="O347" s="103" t="s">
        <v>946</v>
      </c>
      <c r="P347" s="104">
        <f t="shared" si="40"/>
        <v>3540</v>
      </c>
    </row>
    <row r="348" spans="1:16" s="92" customFormat="1" ht="32.25" x14ac:dyDescent="0.3">
      <c r="A348" s="113" t="s">
        <v>993</v>
      </c>
      <c r="B348" s="102"/>
      <c r="C348" s="25" t="s">
        <v>999</v>
      </c>
      <c r="D348" s="25" t="s">
        <v>1122</v>
      </c>
      <c r="E348" s="38"/>
      <c r="F348" s="13"/>
      <c r="G348" s="50"/>
      <c r="H348" s="107">
        <v>44851</v>
      </c>
      <c r="I348" s="103">
        <v>4</v>
      </c>
      <c r="J348" s="104">
        <v>1443.73</v>
      </c>
      <c r="K348" s="104">
        <f t="shared" si="42"/>
        <v>5774.92</v>
      </c>
      <c r="L348" s="103"/>
      <c r="M348" s="103">
        <f t="shared" si="37"/>
        <v>4</v>
      </c>
      <c r="N348" s="121" t="s">
        <v>1006</v>
      </c>
      <c r="O348" s="103" t="s">
        <v>946</v>
      </c>
      <c r="P348" s="104">
        <f t="shared" si="40"/>
        <v>5774.92</v>
      </c>
    </row>
    <row r="349" spans="1:16" s="92" customFormat="1" ht="32.25" x14ac:dyDescent="0.3">
      <c r="A349" s="113" t="s">
        <v>1015</v>
      </c>
      <c r="B349" s="102"/>
      <c r="C349" s="25" t="s">
        <v>1000</v>
      </c>
      <c r="D349" s="25" t="s">
        <v>1122</v>
      </c>
      <c r="E349" s="38"/>
      <c r="F349" s="13"/>
      <c r="G349" s="50"/>
      <c r="H349" s="107">
        <v>44851</v>
      </c>
      <c r="I349" s="103">
        <v>10</v>
      </c>
      <c r="J349" s="104">
        <v>1177.05</v>
      </c>
      <c r="K349" s="104">
        <f t="shared" si="42"/>
        <v>11770.5</v>
      </c>
      <c r="L349" s="103"/>
      <c r="M349" s="103">
        <f t="shared" si="37"/>
        <v>10</v>
      </c>
      <c r="N349" s="121" t="s">
        <v>1006</v>
      </c>
      <c r="O349" s="103" t="s">
        <v>946</v>
      </c>
      <c r="P349" s="104">
        <f t="shared" si="40"/>
        <v>11770.5</v>
      </c>
    </row>
    <row r="350" spans="1:16" s="92" customFormat="1" ht="32.25" x14ac:dyDescent="0.3">
      <c r="A350" s="113" t="s">
        <v>1016</v>
      </c>
      <c r="B350" s="102"/>
      <c r="C350" s="25" t="s">
        <v>1001</v>
      </c>
      <c r="D350" s="25" t="s">
        <v>1122</v>
      </c>
      <c r="E350" s="38"/>
      <c r="F350" s="13"/>
      <c r="G350" s="50"/>
      <c r="H350" s="107">
        <v>44851</v>
      </c>
      <c r="I350" s="103">
        <v>4</v>
      </c>
      <c r="J350" s="104">
        <v>1330.45</v>
      </c>
      <c r="K350" s="104">
        <f t="shared" si="42"/>
        <v>5321.8</v>
      </c>
      <c r="L350" s="103"/>
      <c r="M350" s="103">
        <f t="shared" si="37"/>
        <v>4</v>
      </c>
      <c r="N350" s="121" t="s">
        <v>1006</v>
      </c>
      <c r="O350" s="103" t="s">
        <v>946</v>
      </c>
      <c r="P350" s="104">
        <f t="shared" si="40"/>
        <v>5321.8</v>
      </c>
    </row>
    <row r="351" spans="1:16" s="92" customFormat="1" ht="32.25" x14ac:dyDescent="0.3">
      <c r="A351" s="113" t="s">
        <v>1017</v>
      </c>
      <c r="B351" s="102"/>
      <c r="C351" s="25" t="s">
        <v>1002</v>
      </c>
      <c r="D351" s="25" t="s">
        <v>1122</v>
      </c>
      <c r="E351" s="38"/>
      <c r="F351" s="13"/>
      <c r="G351" s="50"/>
      <c r="H351" s="107">
        <v>44851</v>
      </c>
      <c r="I351" s="103">
        <v>4</v>
      </c>
      <c r="J351" s="104">
        <v>676.14</v>
      </c>
      <c r="K351" s="104">
        <f t="shared" si="42"/>
        <v>2704.56</v>
      </c>
      <c r="L351" s="103"/>
      <c r="M351" s="103">
        <f t="shared" si="37"/>
        <v>4</v>
      </c>
      <c r="N351" s="121" t="s">
        <v>1006</v>
      </c>
      <c r="O351" s="103" t="s">
        <v>946</v>
      </c>
      <c r="P351" s="104">
        <f t="shared" si="40"/>
        <v>2704.56</v>
      </c>
    </row>
    <row r="352" spans="1:16" s="92" customFormat="1" ht="32.25" x14ac:dyDescent="0.3">
      <c r="A352" s="113" t="s">
        <v>1018</v>
      </c>
      <c r="B352" s="102"/>
      <c r="C352" s="25" t="s">
        <v>1003</v>
      </c>
      <c r="D352" s="25" t="s">
        <v>1122</v>
      </c>
      <c r="E352" s="38"/>
      <c r="F352" s="13"/>
      <c r="G352" s="50"/>
      <c r="H352" s="107">
        <v>44851</v>
      </c>
      <c r="I352" s="103">
        <v>4</v>
      </c>
      <c r="J352" s="104">
        <v>693.84</v>
      </c>
      <c r="K352" s="104">
        <f t="shared" si="42"/>
        <v>2775.36</v>
      </c>
      <c r="L352" s="103"/>
      <c r="M352" s="103">
        <f t="shared" si="37"/>
        <v>4</v>
      </c>
      <c r="N352" s="121" t="s">
        <v>1006</v>
      </c>
      <c r="O352" s="103" t="s">
        <v>946</v>
      </c>
      <c r="P352" s="104">
        <f t="shared" si="40"/>
        <v>2775.36</v>
      </c>
    </row>
    <row r="353" spans="1:16" customFormat="1" ht="31.5" x14ac:dyDescent="0.25">
      <c r="A353" s="113" t="s">
        <v>1019</v>
      </c>
      <c r="B353" s="102"/>
      <c r="C353" s="25" t="s">
        <v>1004</v>
      </c>
      <c r="D353" s="25" t="s">
        <v>1122</v>
      </c>
      <c r="E353" s="38"/>
      <c r="F353" s="13"/>
      <c r="G353" s="50"/>
      <c r="H353" s="107">
        <v>44851</v>
      </c>
      <c r="I353" s="103">
        <v>4</v>
      </c>
      <c r="J353" s="104">
        <v>1632.53</v>
      </c>
      <c r="K353" s="104">
        <f t="shared" si="42"/>
        <v>6530.12</v>
      </c>
      <c r="L353" s="117"/>
      <c r="M353" s="103">
        <f t="shared" si="37"/>
        <v>4</v>
      </c>
      <c r="N353" s="121" t="s">
        <v>1006</v>
      </c>
      <c r="O353" s="117" t="s">
        <v>946</v>
      </c>
      <c r="P353" s="104">
        <f t="shared" si="40"/>
        <v>6530.12</v>
      </c>
    </row>
    <row r="354" spans="1:16" s="2" customFormat="1" ht="31.5" x14ac:dyDescent="0.25">
      <c r="A354" s="113" t="s">
        <v>1020</v>
      </c>
      <c r="B354" s="102"/>
      <c r="C354" s="25" t="s">
        <v>1005</v>
      </c>
      <c r="D354" s="25" t="s">
        <v>1122</v>
      </c>
      <c r="E354" s="38"/>
      <c r="F354" s="13"/>
      <c r="G354" s="50"/>
      <c r="H354" s="107">
        <v>44851</v>
      </c>
      <c r="I354" s="103">
        <v>1</v>
      </c>
      <c r="J354" s="104">
        <v>3268.6</v>
      </c>
      <c r="K354" s="104">
        <f t="shared" si="42"/>
        <v>3268.6</v>
      </c>
      <c r="L354" s="117"/>
      <c r="M354" s="103">
        <f t="shared" si="37"/>
        <v>1</v>
      </c>
      <c r="N354" s="121" t="s">
        <v>1006</v>
      </c>
      <c r="O354" s="117" t="s">
        <v>946</v>
      </c>
      <c r="P354" s="104">
        <f t="shared" si="40"/>
        <v>3268.6</v>
      </c>
    </row>
    <row r="355" spans="1:16" ht="32.25" x14ac:dyDescent="0.3">
      <c r="A355" s="113" t="s">
        <v>1021</v>
      </c>
      <c r="B355" s="102"/>
      <c r="C355" s="25" t="s">
        <v>1007</v>
      </c>
      <c r="D355" s="25" t="s">
        <v>1122</v>
      </c>
      <c r="E355" s="38"/>
      <c r="F355" s="13"/>
      <c r="G355" s="50"/>
      <c r="H355" s="107">
        <v>44851</v>
      </c>
      <c r="I355" s="103">
        <v>15</v>
      </c>
      <c r="J355" s="104">
        <v>3908.16</v>
      </c>
      <c r="K355" s="104">
        <f t="shared" si="42"/>
        <v>58622.399999999994</v>
      </c>
      <c r="L355" s="117"/>
      <c r="M355" s="103">
        <f t="shared" si="37"/>
        <v>15</v>
      </c>
      <c r="N355" s="121" t="s">
        <v>1006</v>
      </c>
      <c r="O355" s="117" t="s">
        <v>946</v>
      </c>
      <c r="P355" s="118">
        <f t="shared" si="40"/>
        <v>58622.399999999994</v>
      </c>
    </row>
    <row r="356" spans="1:16" ht="23.25" customHeight="1" x14ac:dyDescent="0.3">
      <c r="A356" s="113" t="s">
        <v>1022</v>
      </c>
      <c r="B356" s="102"/>
      <c r="C356" s="25" t="s">
        <v>1008</v>
      </c>
      <c r="D356" s="25" t="s">
        <v>1122</v>
      </c>
      <c r="E356" s="38"/>
      <c r="F356" s="13"/>
      <c r="G356" s="50"/>
      <c r="H356" s="107">
        <v>44851</v>
      </c>
      <c r="I356" s="103">
        <v>20</v>
      </c>
      <c r="J356" s="104">
        <v>1711</v>
      </c>
      <c r="K356" s="104">
        <f t="shared" si="42"/>
        <v>34220</v>
      </c>
      <c r="L356" s="117">
        <v>1</v>
      </c>
      <c r="M356" s="103">
        <f t="shared" si="37"/>
        <v>19</v>
      </c>
      <c r="N356" s="121" t="s">
        <v>1006</v>
      </c>
      <c r="O356" s="117" t="s">
        <v>946</v>
      </c>
      <c r="P356" s="118">
        <f t="shared" si="40"/>
        <v>32509</v>
      </c>
    </row>
    <row r="357" spans="1:16" ht="32.25" x14ac:dyDescent="0.3">
      <c r="A357" s="113" t="s">
        <v>1023</v>
      </c>
      <c r="B357" s="102"/>
      <c r="C357" s="25" t="s">
        <v>1009</v>
      </c>
      <c r="D357" s="25" t="s">
        <v>1122</v>
      </c>
      <c r="E357" s="38"/>
      <c r="F357" s="13"/>
      <c r="G357" s="50"/>
      <c r="H357" s="107">
        <v>44851</v>
      </c>
      <c r="I357" s="103">
        <v>5</v>
      </c>
      <c r="J357" s="104">
        <v>1165.8399999999999</v>
      </c>
      <c r="K357" s="104">
        <f t="shared" si="42"/>
        <v>5829.2</v>
      </c>
      <c r="L357" s="117"/>
      <c r="M357" s="103">
        <f t="shared" si="37"/>
        <v>5</v>
      </c>
      <c r="N357" s="121" t="s">
        <v>1006</v>
      </c>
      <c r="O357" s="117" t="s">
        <v>946</v>
      </c>
      <c r="P357" s="118">
        <f t="shared" si="40"/>
        <v>5829.2</v>
      </c>
    </row>
    <row r="358" spans="1:16" ht="23.25" customHeight="1" x14ac:dyDescent="0.3">
      <c r="A358" s="113" t="s">
        <v>1024</v>
      </c>
      <c r="B358" s="102"/>
      <c r="C358" s="25" t="s">
        <v>1010</v>
      </c>
      <c r="D358" s="25" t="s">
        <v>1122</v>
      </c>
      <c r="E358" s="38"/>
      <c r="F358" s="13"/>
      <c r="G358" s="50"/>
      <c r="H358" s="107">
        <v>44851</v>
      </c>
      <c r="I358" s="103">
        <v>5</v>
      </c>
      <c r="J358" s="104">
        <v>4399.04</v>
      </c>
      <c r="K358" s="104">
        <f t="shared" si="42"/>
        <v>21995.200000000001</v>
      </c>
      <c r="L358" s="117"/>
      <c r="M358" s="103">
        <f t="shared" si="37"/>
        <v>5</v>
      </c>
      <c r="N358" s="121" t="s">
        <v>1006</v>
      </c>
      <c r="O358" s="117" t="s">
        <v>946</v>
      </c>
      <c r="P358" s="118">
        <f t="shared" si="40"/>
        <v>21995.200000000001</v>
      </c>
    </row>
    <row r="359" spans="1:16" ht="32.25" x14ac:dyDescent="0.3">
      <c r="A359" s="113" t="s">
        <v>1025</v>
      </c>
      <c r="B359" s="102"/>
      <c r="C359" s="25" t="s">
        <v>1011</v>
      </c>
      <c r="D359" s="25" t="s">
        <v>1122</v>
      </c>
      <c r="E359" s="38"/>
      <c r="F359" s="13"/>
      <c r="G359" s="50"/>
      <c r="H359" s="107">
        <v>44851</v>
      </c>
      <c r="I359" s="117">
        <v>5</v>
      </c>
      <c r="J359" s="118">
        <v>4399.04</v>
      </c>
      <c r="K359" s="118">
        <f t="shared" si="42"/>
        <v>21995.200000000001</v>
      </c>
      <c r="L359" s="117"/>
      <c r="M359" s="103">
        <f t="shared" si="37"/>
        <v>5</v>
      </c>
      <c r="N359" s="121" t="s">
        <v>1006</v>
      </c>
      <c r="O359" s="117" t="s">
        <v>946</v>
      </c>
      <c r="P359" s="118">
        <f t="shared" si="40"/>
        <v>21995.200000000001</v>
      </c>
    </row>
    <row r="360" spans="1:16" ht="32.25" x14ac:dyDescent="0.3">
      <c r="A360" s="113" t="s">
        <v>1026</v>
      </c>
      <c r="B360" s="102"/>
      <c r="C360" s="25" t="s">
        <v>1012</v>
      </c>
      <c r="D360" s="25" t="s">
        <v>1122</v>
      </c>
      <c r="E360" s="38"/>
      <c r="F360" s="13"/>
      <c r="G360" s="50"/>
      <c r="H360" s="107">
        <v>44851</v>
      </c>
      <c r="I360" s="117">
        <v>5</v>
      </c>
      <c r="J360" s="118">
        <v>4399.04</v>
      </c>
      <c r="K360" s="118">
        <f t="shared" si="42"/>
        <v>21995.200000000001</v>
      </c>
      <c r="L360" s="117"/>
      <c r="M360" s="103">
        <f t="shared" si="37"/>
        <v>5</v>
      </c>
      <c r="N360" s="121" t="s">
        <v>1006</v>
      </c>
      <c r="O360" s="117" t="s">
        <v>946</v>
      </c>
      <c r="P360" s="118">
        <f t="shared" si="40"/>
        <v>21995.200000000001</v>
      </c>
    </row>
    <row r="361" spans="1:16" ht="32.25" x14ac:dyDescent="0.3">
      <c r="A361" s="113" t="s">
        <v>1027</v>
      </c>
      <c r="B361" s="102"/>
      <c r="C361" s="25" t="s">
        <v>1013</v>
      </c>
      <c r="D361" s="25" t="s">
        <v>1122</v>
      </c>
      <c r="E361" s="38"/>
      <c r="F361" s="13"/>
      <c r="G361" s="50"/>
      <c r="H361" s="107">
        <v>44851</v>
      </c>
      <c r="I361" s="117">
        <v>12</v>
      </c>
      <c r="J361" s="118">
        <v>1869.12</v>
      </c>
      <c r="K361" s="118">
        <f t="shared" si="42"/>
        <v>22429.439999999999</v>
      </c>
      <c r="L361" s="117"/>
      <c r="M361" s="103">
        <f t="shared" si="37"/>
        <v>12</v>
      </c>
      <c r="N361" s="121" t="s">
        <v>1006</v>
      </c>
      <c r="O361" s="117" t="s">
        <v>946</v>
      </c>
      <c r="P361" s="118">
        <f t="shared" si="40"/>
        <v>22429.439999999999</v>
      </c>
    </row>
    <row r="362" spans="1:16" ht="32.25" x14ac:dyDescent="0.3">
      <c r="A362" s="113" t="s">
        <v>1028</v>
      </c>
      <c r="B362" s="102"/>
      <c r="C362" s="25" t="s">
        <v>1014</v>
      </c>
      <c r="D362" s="25" t="s">
        <v>1122</v>
      </c>
      <c r="E362" s="38"/>
      <c r="F362" s="13"/>
      <c r="G362" s="50"/>
      <c r="H362" s="107">
        <v>44851</v>
      </c>
      <c r="I362" s="117">
        <v>30</v>
      </c>
      <c r="J362" s="118">
        <v>41.3</v>
      </c>
      <c r="K362" s="118">
        <f t="shared" si="42"/>
        <v>1239</v>
      </c>
      <c r="L362" s="117"/>
      <c r="M362" s="103">
        <f t="shared" si="37"/>
        <v>30</v>
      </c>
      <c r="N362" s="121" t="s">
        <v>1006</v>
      </c>
      <c r="O362" s="117" t="s">
        <v>946</v>
      </c>
      <c r="P362" s="118">
        <f t="shared" si="40"/>
        <v>1239</v>
      </c>
    </row>
    <row r="363" spans="1:16" s="105" customFormat="1" ht="15.75" x14ac:dyDescent="0.25">
      <c r="A363" s="113" t="s">
        <v>1029</v>
      </c>
      <c r="B363" s="102"/>
      <c r="C363" s="25" t="s">
        <v>1038</v>
      </c>
      <c r="D363" s="25" t="s">
        <v>1122</v>
      </c>
      <c r="E363" s="38"/>
      <c r="F363" s="13"/>
      <c r="G363" s="50"/>
      <c r="H363" s="107">
        <v>44852</v>
      </c>
      <c r="I363" s="103">
        <v>10</v>
      </c>
      <c r="J363" s="104">
        <v>18.77</v>
      </c>
      <c r="K363" s="104">
        <f t="shared" si="42"/>
        <v>187.7</v>
      </c>
      <c r="L363" s="103"/>
      <c r="M363" s="103">
        <f t="shared" si="37"/>
        <v>10</v>
      </c>
      <c r="N363" s="121" t="s">
        <v>1037</v>
      </c>
      <c r="O363" s="103" t="s">
        <v>947</v>
      </c>
      <c r="P363" s="104">
        <f t="shared" si="40"/>
        <v>187.7</v>
      </c>
    </row>
    <row r="364" spans="1:16" s="105" customFormat="1" ht="15.75" x14ac:dyDescent="0.25">
      <c r="A364" s="113" t="s">
        <v>1030</v>
      </c>
      <c r="B364" s="102"/>
      <c r="C364" s="25" t="s">
        <v>1041</v>
      </c>
      <c r="D364" s="25" t="s">
        <v>1122</v>
      </c>
      <c r="E364" s="38"/>
      <c r="F364" s="13"/>
      <c r="G364" s="50"/>
      <c r="H364" s="107">
        <v>44852</v>
      </c>
      <c r="I364" s="103">
        <v>40</v>
      </c>
      <c r="J364" s="104">
        <v>44.55</v>
      </c>
      <c r="K364" s="104">
        <f t="shared" si="42"/>
        <v>1782</v>
      </c>
      <c r="L364" s="103">
        <v>4</v>
      </c>
      <c r="M364" s="103">
        <f t="shared" si="37"/>
        <v>36</v>
      </c>
      <c r="N364" s="121" t="s">
        <v>1037</v>
      </c>
      <c r="O364" s="103" t="s">
        <v>947</v>
      </c>
      <c r="P364" s="104">
        <f t="shared" si="40"/>
        <v>1603.8</v>
      </c>
    </row>
    <row r="365" spans="1:16" s="105" customFormat="1" ht="15.75" x14ac:dyDescent="0.25">
      <c r="A365" s="113" t="s">
        <v>1031</v>
      </c>
      <c r="B365" s="102"/>
      <c r="C365" s="25" t="s">
        <v>1042</v>
      </c>
      <c r="D365" s="25" t="s">
        <v>1122</v>
      </c>
      <c r="E365" s="38"/>
      <c r="F365" s="13"/>
      <c r="G365" s="50"/>
      <c r="H365" s="107">
        <v>44851</v>
      </c>
      <c r="I365" s="103">
        <v>2</v>
      </c>
      <c r="J365" s="104">
        <v>650</v>
      </c>
      <c r="K365" s="104">
        <f t="shared" si="42"/>
        <v>1300</v>
      </c>
      <c r="L365" s="103"/>
      <c r="M365" s="103">
        <f t="shared" si="37"/>
        <v>2</v>
      </c>
      <c r="N365" s="121" t="s">
        <v>1037</v>
      </c>
      <c r="O365" s="103" t="s">
        <v>947</v>
      </c>
      <c r="P365" s="104">
        <f t="shared" si="40"/>
        <v>1300</v>
      </c>
    </row>
    <row r="366" spans="1:16" s="105" customFormat="1" ht="15.75" x14ac:dyDescent="0.25">
      <c r="A366" s="113" t="s">
        <v>1032</v>
      </c>
      <c r="B366" s="102"/>
      <c r="C366" s="25" t="s">
        <v>1043</v>
      </c>
      <c r="D366" s="25" t="s">
        <v>1122</v>
      </c>
      <c r="E366" s="38"/>
      <c r="F366" s="13"/>
      <c r="G366" s="50"/>
      <c r="H366" s="107">
        <v>44852</v>
      </c>
      <c r="I366" s="103">
        <f>10*12</f>
        <v>120</v>
      </c>
      <c r="J366" s="104">
        <v>27</v>
      </c>
      <c r="K366" s="104">
        <f>+J366*I366</f>
        <v>3240</v>
      </c>
      <c r="L366" s="103"/>
      <c r="M366" s="103">
        <f t="shared" si="37"/>
        <v>120</v>
      </c>
      <c r="N366" s="121" t="s">
        <v>1037</v>
      </c>
      <c r="O366" s="103" t="s">
        <v>947</v>
      </c>
      <c r="P366" s="104">
        <f t="shared" si="40"/>
        <v>3240</v>
      </c>
    </row>
    <row r="367" spans="1:16" s="105" customFormat="1" ht="15.75" x14ac:dyDescent="0.25">
      <c r="A367" s="113" t="s">
        <v>1033</v>
      </c>
      <c r="B367" s="102"/>
      <c r="C367" s="25" t="s">
        <v>1044</v>
      </c>
      <c r="D367" s="25" t="s">
        <v>1122</v>
      </c>
      <c r="E367" s="38"/>
      <c r="F367" s="13"/>
      <c r="G367" s="50"/>
      <c r="H367" s="107">
        <v>44852</v>
      </c>
      <c r="I367" s="103">
        <v>120</v>
      </c>
      <c r="J367" s="104">
        <v>45.89</v>
      </c>
      <c r="K367" s="104">
        <f>+J367*I367</f>
        <v>5506.8</v>
      </c>
      <c r="L367" s="103"/>
      <c r="M367" s="103">
        <f t="shared" si="37"/>
        <v>120</v>
      </c>
      <c r="N367" s="121" t="s">
        <v>1037</v>
      </c>
      <c r="O367" s="103" t="s">
        <v>947</v>
      </c>
      <c r="P367" s="104">
        <f t="shared" si="40"/>
        <v>5506.8</v>
      </c>
    </row>
    <row r="368" spans="1:16" s="105" customFormat="1" ht="15.75" x14ac:dyDescent="0.25">
      <c r="A368" s="113" t="s">
        <v>1034</v>
      </c>
      <c r="B368" s="102"/>
      <c r="C368" s="25" t="s">
        <v>1045</v>
      </c>
      <c r="D368" s="25" t="s">
        <v>1122</v>
      </c>
      <c r="E368" s="38"/>
      <c r="F368" s="13"/>
      <c r="G368" s="50"/>
      <c r="H368" s="107">
        <v>44852</v>
      </c>
      <c r="I368" s="103">
        <v>120</v>
      </c>
      <c r="J368" s="104">
        <v>51.33</v>
      </c>
      <c r="K368" s="104">
        <f t="shared" ref="K368:K383" si="43">+J368*I368</f>
        <v>6159.5999999999995</v>
      </c>
      <c r="L368" s="103"/>
      <c r="M368" s="103">
        <f t="shared" ref="M368:M404" si="44">+E368+I368-L368</f>
        <v>120</v>
      </c>
      <c r="N368" s="121" t="s">
        <v>1037</v>
      </c>
      <c r="O368" s="103" t="s">
        <v>947</v>
      </c>
      <c r="P368" s="104">
        <f t="shared" si="40"/>
        <v>6159.5999999999995</v>
      </c>
    </row>
    <row r="369" spans="1:16" s="105" customFormat="1" ht="15.75" x14ac:dyDescent="0.25">
      <c r="A369" s="113" t="s">
        <v>1057</v>
      </c>
      <c r="B369" s="102"/>
      <c r="C369" s="25" t="s">
        <v>1046</v>
      </c>
      <c r="D369" s="25" t="s">
        <v>1122</v>
      </c>
      <c r="E369" s="38"/>
      <c r="F369" s="13"/>
      <c r="G369" s="50"/>
      <c r="H369" s="107">
        <v>44852</v>
      </c>
      <c r="I369" s="103">
        <v>120</v>
      </c>
      <c r="J369" s="104">
        <v>127.65</v>
      </c>
      <c r="K369" s="104">
        <f t="shared" si="43"/>
        <v>15318</v>
      </c>
      <c r="L369" s="103"/>
      <c r="M369" s="103">
        <f t="shared" si="44"/>
        <v>120</v>
      </c>
      <c r="N369" s="121" t="s">
        <v>1037</v>
      </c>
      <c r="O369" s="103" t="s">
        <v>947</v>
      </c>
      <c r="P369" s="104">
        <f t="shared" si="40"/>
        <v>15318</v>
      </c>
    </row>
    <row r="370" spans="1:16" s="105" customFormat="1" ht="15.75" x14ac:dyDescent="0.25">
      <c r="A370" s="113" t="s">
        <v>1058</v>
      </c>
      <c r="B370" s="102"/>
      <c r="C370" s="25" t="s">
        <v>1047</v>
      </c>
      <c r="D370" s="25" t="s">
        <v>1122</v>
      </c>
      <c r="E370" s="38"/>
      <c r="F370" s="13"/>
      <c r="G370" s="50"/>
      <c r="H370" s="107">
        <v>44852</v>
      </c>
      <c r="I370" s="103">
        <v>5</v>
      </c>
      <c r="J370" s="104">
        <v>5442.16</v>
      </c>
      <c r="K370" s="104">
        <f t="shared" si="43"/>
        <v>27210.799999999999</v>
      </c>
      <c r="L370" s="103"/>
      <c r="M370" s="103">
        <f t="shared" si="44"/>
        <v>5</v>
      </c>
      <c r="N370" s="121" t="s">
        <v>1037</v>
      </c>
      <c r="O370" s="103" t="s">
        <v>947</v>
      </c>
      <c r="P370" s="104">
        <f t="shared" si="40"/>
        <v>27210.799999999999</v>
      </c>
    </row>
    <row r="371" spans="1:16" s="105" customFormat="1" ht="15.75" x14ac:dyDescent="0.25">
      <c r="A371" s="113" t="s">
        <v>1059</v>
      </c>
      <c r="B371" s="102"/>
      <c r="C371" s="25" t="s">
        <v>1048</v>
      </c>
      <c r="D371" s="25" t="s">
        <v>1122</v>
      </c>
      <c r="E371" s="38"/>
      <c r="F371" s="13"/>
      <c r="G371" s="50"/>
      <c r="H371" s="107">
        <v>44852</v>
      </c>
      <c r="I371" s="103">
        <v>1</v>
      </c>
      <c r="J371" s="104">
        <v>5330</v>
      </c>
      <c r="K371" s="104">
        <f t="shared" si="43"/>
        <v>5330</v>
      </c>
      <c r="L371" s="103">
        <v>1</v>
      </c>
      <c r="M371" s="103">
        <f t="shared" si="44"/>
        <v>0</v>
      </c>
      <c r="N371" s="121" t="s">
        <v>1037</v>
      </c>
      <c r="O371" s="103" t="s">
        <v>947</v>
      </c>
      <c r="P371" s="104">
        <f t="shared" si="40"/>
        <v>0</v>
      </c>
    </row>
    <row r="372" spans="1:16" s="105" customFormat="1" ht="15.75" x14ac:dyDescent="0.25">
      <c r="A372" s="113" t="s">
        <v>1060</v>
      </c>
      <c r="B372" s="102"/>
      <c r="C372" s="25" t="s">
        <v>1049</v>
      </c>
      <c r="D372" s="25" t="s">
        <v>1122</v>
      </c>
      <c r="E372" s="38"/>
      <c r="F372" s="13"/>
      <c r="G372" s="50"/>
      <c r="H372" s="107">
        <v>44852</v>
      </c>
      <c r="I372" s="103">
        <v>5</v>
      </c>
      <c r="J372" s="104">
        <v>678.24</v>
      </c>
      <c r="K372" s="104">
        <f t="shared" si="43"/>
        <v>3391.2</v>
      </c>
      <c r="L372" s="103"/>
      <c r="M372" s="103">
        <f t="shared" si="44"/>
        <v>5</v>
      </c>
      <c r="N372" s="121" t="s">
        <v>1037</v>
      </c>
      <c r="O372" s="103" t="s">
        <v>947</v>
      </c>
      <c r="P372" s="104">
        <f t="shared" si="40"/>
        <v>3391.2</v>
      </c>
    </row>
    <row r="373" spans="1:16" s="105" customFormat="1" ht="15.75" x14ac:dyDescent="0.25">
      <c r="A373" s="113" t="s">
        <v>1061</v>
      </c>
      <c r="B373" s="102"/>
      <c r="C373" s="25" t="s">
        <v>1050</v>
      </c>
      <c r="D373" s="25" t="s">
        <v>1122</v>
      </c>
      <c r="E373" s="38"/>
      <c r="F373" s="13"/>
      <c r="G373" s="50"/>
      <c r="H373" s="107">
        <v>44852</v>
      </c>
      <c r="I373" s="103">
        <v>5</v>
      </c>
      <c r="J373" s="104">
        <v>678.24</v>
      </c>
      <c r="K373" s="104">
        <f t="shared" si="43"/>
        <v>3391.2</v>
      </c>
      <c r="L373" s="103"/>
      <c r="M373" s="103">
        <f t="shared" si="44"/>
        <v>5</v>
      </c>
      <c r="N373" s="121" t="s">
        <v>1037</v>
      </c>
      <c r="O373" s="103" t="s">
        <v>947</v>
      </c>
      <c r="P373" s="104">
        <f t="shared" si="40"/>
        <v>3391.2</v>
      </c>
    </row>
    <row r="374" spans="1:16" s="105" customFormat="1" ht="15.75" x14ac:dyDescent="0.25">
      <c r="A374" s="113" t="s">
        <v>1062</v>
      </c>
      <c r="B374" s="102"/>
      <c r="C374" s="25" t="s">
        <v>1051</v>
      </c>
      <c r="D374" s="25" t="s">
        <v>1122</v>
      </c>
      <c r="E374" s="38"/>
      <c r="F374" s="13"/>
      <c r="G374" s="50"/>
      <c r="H374" s="107">
        <v>44852</v>
      </c>
      <c r="I374" s="103">
        <v>3</v>
      </c>
      <c r="J374" s="104">
        <v>511</v>
      </c>
      <c r="K374" s="104">
        <f t="shared" si="43"/>
        <v>1533</v>
      </c>
      <c r="L374" s="103">
        <v>1</v>
      </c>
      <c r="M374" s="103">
        <f t="shared" si="44"/>
        <v>2</v>
      </c>
      <c r="N374" s="121" t="s">
        <v>1037</v>
      </c>
      <c r="O374" s="103" t="s">
        <v>947</v>
      </c>
      <c r="P374" s="104">
        <f t="shared" si="40"/>
        <v>1022</v>
      </c>
    </row>
    <row r="375" spans="1:16" s="105" customFormat="1" ht="15.75" x14ac:dyDescent="0.25">
      <c r="A375" s="113" t="s">
        <v>1063</v>
      </c>
      <c r="B375" s="102"/>
      <c r="C375" s="25" t="s">
        <v>1052</v>
      </c>
      <c r="D375" s="25" t="s">
        <v>1122</v>
      </c>
      <c r="E375" s="38"/>
      <c r="F375" s="13"/>
      <c r="G375" s="50"/>
      <c r="H375" s="107">
        <v>44852</v>
      </c>
      <c r="I375" s="103">
        <v>3</v>
      </c>
      <c r="J375" s="104">
        <v>511</v>
      </c>
      <c r="K375" s="104">
        <f t="shared" si="43"/>
        <v>1533</v>
      </c>
      <c r="L375" s="103"/>
      <c r="M375" s="103">
        <f t="shared" si="44"/>
        <v>3</v>
      </c>
      <c r="N375" s="121" t="s">
        <v>1037</v>
      </c>
      <c r="O375" s="103" t="s">
        <v>947</v>
      </c>
      <c r="P375" s="104">
        <f t="shared" si="40"/>
        <v>1533</v>
      </c>
    </row>
    <row r="376" spans="1:16" s="105" customFormat="1" ht="15.75" x14ac:dyDescent="0.25">
      <c r="A376" s="113" t="s">
        <v>1064</v>
      </c>
      <c r="B376" s="102"/>
      <c r="C376" s="25" t="s">
        <v>1053</v>
      </c>
      <c r="D376" s="25" t="s">
        <v>1122</v>
      </c>
      <c r="E376" s="38"/>
      <c r="F376" s="13"/>
      <c r="G376" s="50"/>
      <c r="H376" s="107">
        <v>44852</v>
      </c>
      <c r="I376" s="103">
        <v>3</v>
      </c>
      <c r="J376" s="104">
        <v>511</v>
      </c>
      <c r="K376" s="104">
        <f t="shared" si="43"/>
        <v>1533</v>
      </c>
      <c r="L376" s="103"/>
      <c r="M376" s="103">
        <f t="shared" si="44"/>
        <v>3</v>
      </c>
      <c r="N376" s="121" t="s">
        <v>1037</v>
      </c>
      <c r="O376" s="103" t="s">
        <v>947</v>
      </c>
      <c r="P376" s="104">
        <f t="shared" si="40"/>
        <v>1533</v>
      </c>
    </row>
    <row r="377" spans="1:16" s="105" customFormat="1" ht="15.75" x14ac:dyDescent="0.25">
      <c r="A377" s="113" t="s">
        <v>1065</v>
      </c>
      <c r="B377" s="102"/>
      <c r="C377" s="25" t="s">
        <v>1054</v>
      </c>
      <c r="D377" s="25" t="s">
        <v>1122</v>
      </c>
      <c r="E377" s="38"/>
      <c r="F377" s="13"/>
      <c r="G377" s="50"/>
      <c r="H377" s="107">
        <v>44852</v>
      </c>
      <c r="I377" s="103">
        <v>3</v>
      </c>
      <c r="J377" s="104">
        <v>511</v>
      </c>
      <c r="K377" s="104">
        <f t="shared" si="43"/>
        <v>1533</v>
      </c>
      <c r="L377" s="103"/>
      <c r="M377" s="103">
        <f t="shared" si="44"/>
        <v>3</v>
      </c>
      <c r="N377" s="121" t="s">
        <v>1037</v>
      </c>
      <c r="O377" s="103" t="s">
        <v>947</v>
      </c>
      <c r="P377" s="104">
        <f t="shared" si="40"/>
        <v>1533</v>
      </c>
    </row>
    <row r="378" spans="1:16" s="105" customFormat="1" ht="15.75" x14ac:dyDescent="0.25">
      <c r="A378" s="113" t="s">
        <v>1066</v>
      </c>
      <c r="B378" s="102"/>
      <c r="C378" s="25" t="s">
        <v>1055</v>
      </c>
      <c r="D378" s="25" t="s">
        <v>1122</v>
      </c>
      <c r="E378" s="38"/>
      <c r="F378" s="13"/>
      <c r="G378" s="50"/>
      <c r="H378" s="107">
        <v>44852</v>
      </c>
      <c r="I378" s="103">
        <v>20</v>
      </c>
      <c r="J378" s="104">
        <v>3.32</v>
      </c>
      <c r="K378" s="104">
        <f t="shared" si="43"/>
        <v>66.399999999999991</v>
      </c>
      <c r="L378" s="103"/>
      <c r="M378" s="103">
        <f t="shared" si="44"/>
        <v>20</v>
      </c>
      <c r="N378" s="121" t="s">
        <v>1037</v>
      </c>
      <c r="O378" s="103" t="s">
        <v>947</v>
      </c>
      <c r="P378" s="104">
        <f t="shared" si="40"/>
        <v>66.399999999999991</v>
      </c>
    </row>
    <row r="379" spans="1:16" s="105" customFormat="1" ht="15.75" x14ac:dyDescent="0.25">
      <c r="A379" s="113" t="s">
        <v>1067</v>
      </c>
      <c r="B379" s="102"/>
      <c r="C379" s="25" t="s">
        <v>1056</v>
      </c>
      <c r="D379" s="25" t="s">
        <v>1122</v>
      </c>
      <c r="E379" s="38"/>
      <c r="F379" s="13"/>
      <c r="G379" s="50"/>
      <c r="H379" s="107">
        <v>44852</v>
      </c>
      <c r="I379" s="103">
        <v>5</v>
      </c>
      <c r="J379" s="104">
        <v>64.900000000000006</v>
      </c>
      <c r="K379" s="104">
        <f t="shared" si="43"/>
        <v>324.5</v>
      </c>
      <c r="L379" s="103"/>
      <c r="M379" s="103">
        <f t="shared" si="44"/>
        <v>5</v>
      </c>
      <c r="N379" s="121" t="s">
        <v>1037</v>
      </c>
      <c r="O379" s="103" t="s">
        <v>947</v>
      </c>
      <c r="P379" s="104">
        <f t="shared" si="40"/>
        <v>324.5</v>
      </c>
    </row>
    <row r="380" spans="1:16" s="105" customFormat="1" ht="15.75" x14ac:dyDescent="0.25">
      <c r="A380" s="113" t="s">
        <v>1067</v>
      </c>
      <c r="B380" s="102"/>
      <c r="C380" s="25" t="s">
        <v>1056</v>
      </c>
      <c r="D380" s="25" t="s">
        <v>1122</v>
      </c>
      <c r="E380" s="38"/>
      <c r="F380" s="13"/>
      <c r="G380" s="50"/>
      <c r="H380" s="107">
        <v>44852</v>
      </c>
      <c r="I380" s="103">
        <v>5</v>
      </c>
      <c r="J380" s="104">
        <v>64.900000000000006</v>
      </c>
      <c r="K380" s="104">
        <f t="shared" si="43"/>
        <v>324.5</v>
      </c>
      <c r="L380" s="103"/>
      <c r="M380" s="103">
        <f t="shared" si="44"/>
        <v>5</v>
      </c>
      <c r="N380" s="121" t="s">
        <v>1037</v>
      </c>
      <c r="O380" s="103" t="s">
        <v>947</v>
      </c>
      <c r="P380" s="104">
        <f t="shared" si="40"/>
        <v>324.5</v>
      </c>
    </row>
    <row r="381" spans="1:16" s="105" customFormat="1" ht="15.75" x14ac:dyDescent="0.25">
      <c r="A381" s="113" t="s">
        <v>1068</v>
      </c>
      <c r="B381" s="102"/>
      <c r="C381" s="25" t="s">
        <v>1077</v>
      </c>
      <c r="D381" s="25" t="s">
        <v>1122</v>
      </c>
      <c r="E381" s="38"/>
      <c r="F381" s="13"/>
      <c r="G381" s="50"/>
      <c r="H381" s="107">
        <v>44865</v>
      </c>
      <c r="I381" s="103">
        <v>5</v>
      </c>
      <c r="J381" s="104">
        <v>8720.2000000000007</v>
      </c>
      <c r="K381" s="104">
        <f t="shared" si="43"/>
        <v>43601</v>
      </c>
      <c r="L381" s="103"/>
      <c r="M381" s="103">
        <f t="shared" si="44"/>
        <v>5</v>
      </c>
      <c r="N381" s="121" t="s">
        <v>1078</v>
      </c>
      <c r="O381" s="103" t="s">
        <v>947</v>
      </c>
      <c r="P381" s="104">
        <f t="shared" si="40"/>
        <v>43601</v>
      </c>
    </row>
    <row r="382" spans="1:16" s="105" customFormat="1" ht="15.75" x14ac:dyDescent="0.25">
      <c r="A382" s="113" t="s">
        <v>1073</v>
      </c>
      <c r="B382" s="102"/>
      <c r="C382" s="25" t="s">
        <v>1079</v>
      </c>
      <c r="D382" s="25" t="s">
        <v>1122</v>
      </c>
      <c r="E382" s="38"/>
      <c r="F382" s="13"/>
      <c r="G382" s="50"/>
      <c r="H382" s="107">
        <v>44865</v>
      </c>
      <c r="I382" s="103">
        <v>5</v>
      </c>
      <c r="J382" s="104">
        <v>7729</v>
      </c>
      <c r="K382" s="104">
        <f t="shared" si="43"/>
        <v>38645</v>
      </c>
      <c r="L382" s="103"/>
      <c r="M382" s="103">
        <f t="shared" si="44"/>
        <v>5</v>
      </c>
      <c r="N382" s="121" t="s">
        <v>1078</v>
      </c>
      <c r="O382" s="103" t="s">
        <v>947</v>
      </c>
      <c r="P382" s="104">
        <f t="shared" si="40"/>
        <v>38645</v>
      </c>
    </row>
    <row r="383" spans="1:16" s="105" customFormat="1" ht="15.75" x14ac:dyDescent="0.25">
      <c r="A383" s="113" t="s">
        <v>1074</v>
      </c>
      <c r="B383" s="102"/>
      <c r="C383" s="25" t="s">
        <v>1080</v>
      </c>
      <c r="D383" s="25" t="s">
        <v>1122</v>
      </c>
      <c r="E383" s="38"/>
      <c r="F383" s="13"/>
      <c r="G383" s="50"/>
      <c r="H383" s="107">
        <v>44865</v>
      </c>
      <c r="I383" s="103">
        <v>10</v>
      </c>
      <c r="J383" s="104">
        <v>4897</v>
      </c>
      <c r="K383" s="104">
        <f t="shared" si="43"/>
        <v>48970</v>
      </c>
      <c r="L383" s="103"/>
      <c r="M383" s="103">
        <f t="shared" si="44"/>
        <v>10</v>
      </c>
      <c r="N383" s="121" t="s">
        <v>1078</v>
      </c>
      <c r="O383" s="103" t="s">
        <v>947</v>
      </c>
      <c r="P383" s="104">
        <f t="shared" si="40"/>
        <v>48970</v>
      </c>
    </row>
    <row r="384" spans="1:16" s="105" customFormat="1" ht="15.75" x14ac:dyDescent="0.25">
      <c r="A384" s="113" t="s">
        <v>1075</v>
      </c>
      <c r="B384" s="102"/>
      <c r="C384" s="25" t="s">
        <v>1072</v>
      </c>
      <c r="D384" s="25" t="s">
        <v>1122</v>
      </c>
      <c r="E384" s="38"/>
      <c r="F384" s="13"/>
      <c r="G384" s="50"/>
      <c r="H384" s="107">
        <v>44879</v>
      </c>
      <c r="I384" s="103">
        <v>10</v>
      </c>
      <c r="J384" s="104">
        <v>3717</v>
      </c>
      <c r="K384" s="104">
        <f>+J384*I384</f>
        <v>37170</v>
      </c>
      <c r="L384" s="103"/>
      <c r="M384" s="103">
        <f t="shared" si="44"/>
        <v>10</v>
      </c>
      <c r="N384" s="121"/>
      <c r="O384" s="103" t="s">
        <v>946</v>
      </c>
      <c r="P384" s="104">
        <f t="shared" si="40"/>
        <v>37170</v>
      </c>
    </row>
    <row r="385" spans="1:16" s="105" customFormat="1" ht="15.75" x14ac:dyDescent="0.25">
      <c r="A385" s="113" t="s">
        <v>1076</v>
      </c>
      <c r="B385" s="102"/>
      <c r="C385" s="25" t="s">
        <v>1070</v>
      </c>
      <c r="D385" s="25" t="s">
        <v>1122</v>
      </c>
      <c r="E385" s="38"/>
      <c r="F385" s="13"/>
      <c r="G385" s="50"/>
      <c r="H385" s="107"/>
      <c r="I385" s="103"/>
      <c r="J385" s="104"/>
      <c r="K385" s="104"/>
      <c r="L385" s="103">
        <v>1</v>
      </c>
      <c r="M385" s="103">
        <f t="shared" si="44"/>
        <v>-1</v>
      </c>
      <c r="N385" s="121"/>
      <c r="O385" s="103" t="s">
        <v>947</v>
      </c>
      <c r="P385" s="104">
        <f t="shared" si="40"/>
        <v>0</v>
      </c>
    </row>
    <row r="386" spans="1:16" s="105" customFormat="1" ht="15.75" x14ac:dyDescent="0.25">
      <c r="A386" s="113" t="s">
        <v>1081</v>
      </c>
      <c r="B386" s="102"/>
      <c r="C386" s="25" t="s">
        <v>1071</v>
      </c>
      <c r="D386" s="25" t="s">
        <v>1122</v>
      </c>
      <c r="E386" s="38"/>
      <c r="F386" s="13"/>
      <c r="G386" s="50"/>
      <c r="H386" s="107"/>
      <c r="I386" s="103"/>
      <c r="J386" s="104"/>
      <c r="K386" s="104"/>
      <c r="L386" s="103">
        <v>1</v>
      </c>
      <c r="M386" s="103">
        <f t="shared" si="44"/>
        <v>-1</v>
      </c>
      <c r="N386" s="121"/>
      <c r="O386" s="103" t="s">
        <v>947</v>
      </c>
      <c r="P386" s="104">
        <f t="shared" si="40"/>
        <v>0</v>
      </c>
    </row>
    <row r="387" spans="1:16" s="105" customFormat="1" ht="15.75" x14ac:dyDescent="0.25">
      <c r="A387" s="113" t="s">
        <v>1082</v>
      </c>
      <c r="B387" s="102"/>
      <c r="C387" s="25" t="s">
        <v>1069</v>
      </c>
      <c r="D387" s="25" t="s">
        <v>1122</v>
      </c>
      <c r="E387" s="38"/>
      <c r="F387" s="13"/>
      <c r="G387" s="50"/>
      <c r="H387" s="107"/>
      <c r="I387" s="103"/>
      <c r="J387" s="104"/>
      <c r="K387" s="104"/>
      <c r="L387" s="103">
        <v>1</v>
      </c>
      <c r="M387" s="103">
        <f t="shared" si="44"/>
        <v>-1</v>
      </c>
      <c r="N387" s="121"/>
      <c r="O387" s="103" t="s">
        <v>946</v>
      </c>
      <c r="P387" s="104">
        <f t="shared" si="40"/>
        <v>0</v>
      </c>
    </row>
    <row r="388" spans="1:16" s="105" customFormat="1" ht="31.5" x14ac:dyDescent="0.25">
      <c r="A388" s="113" t="s">
        <v>1083</v>
      </c>
      <c r="B388" s="102"/>
      <c r="C388" s="25" t="s">
        <v>1084</v>
      </c>
      <c r="D388" s="25" t="s">
        <v>1122</v>
      </c>
      <c r="E388" s="38"/>
      <c r="F388" s="13"/>
      <c r="G388" s="50"/>
      <c r="H388" s="107">
        <v>44903</v>
      </c>
      <c r="I388" s="103">
        <f>25*12</f>
        <v>300</v>
      </c>
      <c r="J388" s="104">
        <v>81.13</v>
      </c>
      <c r="K388" s="104">
        <f>+J388*I388</f>
        <v>24339</v>
      </c>
      <c r="L388" s="103">
        <f>8+2+24+36</f>
        <v>70</v>
      </c>
      <c r="M388" s="103">
        <f t="shared" si="44"/>
        <v>230</v>
      </c>
      <c r="N388" s="121" t="s">
        <v>1006</v>
      </c>
      <c r="O388" s="103" t="s">
        <v>945</v>
      </c>
      <c r="P388" s="104">
        <f>+M388*J388</f>
        <v>18659.899999999998</v>
      </c>
    </row>
    <row r="389" spans="1:16" s="105" customFormat="1" ht="31.5" x14ac:dyDescent="0.25">
      <c r="A389" s="113" t="s">
        <v>1099</v>
      </c>
      <c r="B389" s="102"/>
      <c r="C389" s="25" t="s">
        <v>1085</v>
      </c>
      <c r="D389" s="25" t="s">
        <v>1122</v>
      </c>
      <c r="E389" s="38"/>
      <c r="F389" s="13"/>
      <c r="G389" s="50"/>
      <c r="H389" s="107">
        <v>44903</v>
      </c>
      <c r="I389" s="103">
        <f>40*6</f>
        <v>240</v>
      </c>
      <c r="J389" s="104">
        <v>81.13</v>
      </c>
      <c r="K389" s="104">
        <f t="shared" ref="K389:K402" si="45">+J389*I389</f>
        <v>19471.199999999997</v>
      </c>
      <c r="L389" s="103">
        <f>4+4+8</f>
        <v>16</v>
      </c>
      <c r="M389" s="103">
        <f t="shared" si="44"/>
        <v>224</v>
      </c>
      <c r="N389" s="121" t="s">
        <v>1006</v>
      </c>
      <c r="O389" s="103" t="s">
        <v>945</v>
      </c>
      <c r="P389" s="104">
        <f t="shared" ref="P389:P402" si="46">+M389*J389</f>
        <v>18173.12</v>
      </c>
    </row>
    <row r="390" spans="1:16" s="105" customFormat="1" ht="31.5" x14ac:dyDescent="0.25">
      <c r="A390" s="113" t="s">
        <v>1100</v>
      </c>
      <c r="B390" s="102"/>
      <c r="C390" s="25" t="s">
        <v>1086</v>
      </c>
      <c r="D390" s="25" t="s">
        <v>1122</v>
      </c>
      <c r="E390" s="38"/>
      <c r="F390" s="13"/>
      <c r="G390" s="50"/>
      <c r="H390" s="107">
        <v>44903</v>
      </c>
      <c r="I390" s="103">
        <f>20*4</f>
        <v>80</v>
      </c>
      <c r="J390" s="104">
        <v>408.28</v>
      </c>
      <c r="K390" s="104">
        <f t="shared" si="45"/>
        <v>32662.399999999998</v>
      </c>
      <c r="L390" s="103">
        <f>4+2</f>
        <v>6</v>
      </c>
      <c r="M390" s="103">
        <f t="shared" si="44"/>
        <v>74</v>
      </c>
      <c r="N390" s="121" t="s">
        <v>1006</v>
      </c>
      <c r="O390" s="103" t="s">
        <v>945</v>
      </c>
      <c r="P390" s="104">
        <f t="shared" si="46"/>
        <v>30212.719999999998</v>
      </c>
    </row>
    <row r="391" spans="1:16" s="105" customFormat="1" ht="31.5" x14ac:dyDescent="0.25">
      <c r="A391" s="113" t="s">
        <v>1101</v>
      </c>
      <c r="B391" s="102"/>
      <c r="C391" s="25" t="s">
        <v>1087</v>
      </c>
      <c r="D391" s="25" t="s">
        <v>1122</v>
      </c>
      <c r="E391" s="38"/>
      <c r="F391" s="13"/>
      <c r="G391" s="50"/>
      <c r="H391" s="107">
        <v>44903</v>
      </c>
      <c r="I391" s="103">
        <f>20*4</f>
        <v>80</v>
      </c>
      <c r="J391" s="104">
        <v>116.53</v>
      </c>
      <c r="K391" s="104">
        <f t="shared" si="45"/>
        <v>9322.4</v>
      </c>
      <c r="L391" s="103">
        <v>9</v>
      </c>
      <c r="M391" s="103">
        <f t="shared" si="44"/>
        <v>71</v>
      </c>
      <c r="N391" s="121" t="s">
        <v>1006</v>
      </c>
      <c r="O391" s="103" t="s">
        <v>945</v>
      </c>
      <c r="P391" s="104">
        <f t="shared" si="46"/>
        <v>8273.6299999999992</v>
      </c>
    </row>
    <row r="392" spans="1:16" s="105" customFormat="1" ht="31.5" x14ac:dyDescent="0.25">
      <c r="A392" s="113" t="s">
        <v>1102</v>
      </c>
      <c r="B392" s="102"/>
      <c r="C392" s="25" t="s">
        <v>1088</v>
      </c>
      <c r="D392" s="25" t="s">
        <v>1122</v>
      </c>
      <c r="E392" s="38"/>
      <c r="F392" s="13"/>
      <c r="G392" s="50"/>
      <c r="H392" s="107">
        <v>44903</v>
      </c>
      <c r="I392" s="103">
        <f>2*12</f>
        <v>24</v>
      </c>
      <c r="J392" s="104">
        <v>101.33</v>
      </c>
      <c r="K392" s="104">
        <f t="shared" si="45"/>
        <v>2431.92</v>
      </c>
      <c r="L392" s="103"/>
      <c r="M392" s="103">
        <f t="shared" si="44"/>
        <v>24</v>
      </c>
      <c r="N392" s="121" t="s">
        <v>1006</v>
      </c>
      <c r="O392" s="103" t="s">
        <v>945</v>
      </c>
      <c r="P392" s="104">
        <f t="shared" si="46"/>
        <v>2431.92</v>
      </c>
    </row>
    <row r="393" spans="1:16" s="105" customFormat="1" ht="31.5" x14ac:dyDescent="0.25">
      <c r="A393" s="113" t="s">
        <v>1103</v>
      </c>
      <c r="B393" s="102"/>
      <c r="C393" s="25" t="s">
        <v>1089</v>
      </c>
      <c r="D393" s="25" t="s">
        <v>1122</v>
      </c>
      <c r="E393" s="38"/>
      <c r="F393" s="13"/>
      <c r="G393" s="50"/>
      <c r="H393" s="107">
        <v>44903</v>
      </c>
      <c r="I393" s="103">
        <f>2*12</f>
        <v>24</v>
      </c>
      <c r="J393" s="104">
        <v>101.33</v>
      </c>
      <c r="K393" s="104">
        <f t="shared" si="45"/>
        <v>2431.92</v>
      </c>
      <c r="L393" s="103"/>
      <c r="M393" s="103">
        <f t="shared" si="44"/>
        <v>24</v>
      </c>
      <c r="N393" s="121" t="s">
        <v>1006</v>
      </c>
      <c r="O393" s="103" t="s">
        <v>945</v>
      </c>
      <c r="P393" s="104">
        <f t="shared" si="46"/>
        <v>2431.92</v>
      </c>
    </row>
    <row r="394" spans="1:16" s="105" customFormat="1" ht="31.5" x14ac:dyDescent="0.25">
      <c r="A394" s="113" t="s">
        <v>1104</v>
      </c>
      <c r="B394" s="102"/>
      <c r="C394" s="25" t="s">
        <v>1090</v>
      </c>
      <c r="D394" s="25" t="s">
        <v>1122</v>
      </c>
      <c r="E394" s="38"/>
      <c r="F394" s="13"/>
      <c r="G394" s="50"/>
      <c r="H394" s="107">
        <v>44903</v>
      </c>
      <c r="I394" s="103">
        <v>24</v>
      </c>
      <c r="J394" s="104">
        <v>79.010000000000005</v>
      </c>
      <c r="K394" s="104">
        <f t="shared" si="45"/>
        <v>1896.2400000000002</v>
      </c>
      <c r="L394" s="103"/>
      <c r="M394" s="103">
        <f t="shared" si="44"/>
        <v>24</v>
      </c>
      <c r="N394" s="121" t="s">
        <v>1006</v>
      </c>
      <c r="O394" s="103" t="s">
        <v>945</v>
      </c>
      <c r="P394" s="104">
        <f>+M394*J394</f>
        <v>1896.2400000000002</v>
      </c>
    </row>
    <row r="395" spans="1:16" s="105" customFormat="1" ht="31.5" x14ac:dyDescent="0.25">
      <c r="A395" s="113" t="s">
        <v>1105</v>
      </c>
      <c r="B395" s="102"/>
      <c r="C395" s="25" t="s">
        <v>1091</v>
      </c>
      <c r="D395" s="25" t="s">
        <v>1122</v>
      </c>
      <c r="E395" s="38"/>
      <c r="F395" s="13"/>
      <c r="G395" s="50"/>
      <c r="H395" s="107">
        <v>44903</v>
      </c>
      <c r="I395" s="103">
        <v>24</v>
      </c>
      <c r="J395" s="104">
        <v>67.7</v>
      </c>
      <c r="K395" s="104">
        <f t="shared" si="45"/>
        <v>1624.8000000000002</v>
      </c>
      <c r="L395" s="103"/>
      <c r="M395" s="103">
        <f t="shared" si="44"/>
        <v>24</v>
      </c>
      <c r="N395" s="121" t="s">
        <v>1006</v>
      </c>
      <c r="O395" s="103" t="s">
        <v>945</v>
      </c>
      <c r="P395" s="104">
        <f t="shared" si="46"/>
        <v>1624.8000000000002</v>
      </c>
    </row>
    <row r="396" spans="1:16" s="105" customFormat="1" ht="31.5" x14ac:dyDescent="0.25">
      <c r="A396" s="113" t="s">
        <v>1106</v>
      </c>
      <c r="B396" s="102"/>
      <c r="C396" s="25" t="s">
        <v>1092</v>
      </c>
      <c r="D396" s="25" t="s">
        <v>1122</v>
      </c>
      <c r="E396" s="38"/>
      <c r="F396" s="13"/>
      <c r="G396" s="50"/>
      <c r="H396" s="107">
        <v>44903</v>
      </c>
      <c r="I396" s="103">
        <v>24</v>
      </c>
      <c r="J396" s="104">
        <v>195.83</v>
      </c>
      <c r="K396" s="104">
        <f t="shared" si="45"/>
        <v>4699.92</v>
      </c>
      <c r="L396" s="103"/>
      <c r="M396" s="103">
        <f t="shared" si="44"/>
        <v>24</v>
      </c>
      <c r="N396" s="121" t="s">
        <v>1006</v>
      </c>
      <c r="O396" s="103" t="s">
        <v>945</v>
      </c>
      <c r="P396" s="104">
        <f t="shared" si="46"/>
        <v>4699.92</v>
      </c>
    </row>
    <row r="397" spans="1:16" s="105" customFormat="1" ht="31.5" x14ac:dyDescent="0.25">
      <c r="A397" s="113" t="s">
        <v>1107</v>
      </c>
      <c r="B397" s="102"/>
      <c r="C397" s="25" t="s">
        <v>1093</v>
      </c>
      <c r="D397" s="25" t="s">
        <v>1122</v>
      </c>
      <c r="E397" s="38"/>
      <c r="F397" s="13"/>
      <c r="G397" s="50"/>
      <c r="H397" s="107">
        <v>44903</v>
      </c>
      <c r="I397" s="103">
        <v>24</v>
      </c>
      <c r="J397" s="104">
        <v>126.8</v>
      </c>
      <c r="K397" s="104">
        <f t="shared" si="45"/>
        <v>3043.2</v>
      </c>
      <c r="L397" s="103"/>
      <c r="M397" s="103">
        <f t="shared" si="44"/>
        <v>24</v>
      </c>
      <c r="N397" s="121" t="s">
        <v>1006</v>
      </c>
      <c r="O397" s="103" t="s">
        <v>945</v>
      </c>
      <c r="P397" s="104">
        <f t="shared" si="46"/>
        <v>3043.2</v>
      </c>
    </row>
    <row r="398" spans="1:16" s="105" customFormat="1" ht="31.5" x14ac:dyDescent="0.25">
      <c r="A398" s="113" t="s">
        <v>1108</v>
      </c>
      <c r="B398" s="102"/>
      <c r="C398" s="25" t="s">
        <v>1094</v>
      </c>
      <c r="D398" s="25" t="s">
        <v>1122</v>
      </c>
      <c r="E398" s="38"/>
      <c r="F398" s="13"/>
      <c r="G398" s="50"/>
      <c r="H398" s="107">
        <v>44903</v>
      </c>
      <c r="I398" s="103">
        <v>24</v>
      </c>
      <c r="J398" s="104">
        <v>129.85</v>
      </c>
      <c r="K398" s="104">
        <f t="shared" si="45"/>
        <v>3116.3999999999996</v>
      </c>
      <c r="L398" s="103"/>
      <c r="M398" s="103">
        <f t="shared" si="44"/>
        <v>24</v>
      </c>
      <c r="N398" s="121" t="s">
        <v>1006</v>
      </c>
      <c r="O398" s="103" t="s">
        <v>945</v>
      </c>
      <c r="P398" s="104">
        <f t="shared" si="46"/>
        <v>3116.3999999999996</v>
      </c>
    </row>
    <row r="399" spans="1:16" s="105" customFormat="1" ht="31.5" x14ac:dyDescent="0.25">
      <c r="A399" s="113" t="s">
        <v>1109</v>
      </c>
      <c r="B399" s="102"/>
      <c r="C399" s="25" t="s">
        <v>1095</v>
      </c>
      <c r="D399" s="25" t="s">
        <v>1122</v>
      </c>
      <c r="E399" s="38"/>
      <c r="F399" s="13"/>
      <c r="G399" s="50"/>
      <c r="H399" s="107">
        <v>44903</v>
      </c>
      <c r="I399" s="103">
        <v>4</v>
      </c>
      <c r="J399" s="104">
        <v>1606.5</v>
      </c>
      <c r="K399" s="104">
        <f t="shared" si="45"/>
        <v>6426</v>
      </c>
      <c r="L399" s="103"/>
      <c r="M399" s="103">
        <f t="shared" si="44"/>
        <v>4</v>
      </c>
      <c r="N399" s="121" t="s">
        <v>1006</v>
      </c>
      <c r="O399" s="103" t="s">
        <v>945</v>
      </c>
      <c r="P399" s="104">
        <f>+M399*J399</f>
        <v>6426</v>
      </c>
    </row>
    <row r="400" spans="1:16" s="105" customFormat="1" ht="31.5" x14ac:dyDescent="0.25">
      <c r="A400" s="113" t="s">
        <v>1110</v>
      </c>
      <c r="B400" s="102"/>
      <c r="C400" s="25" t="s">
        <v>1096</v>
      </c>
      <c r="D400" s="25" t="s">
        <v>1122</v>
      </c>
      <c r="E400" s="38"/>
      <c r="F400" s="13"/>
      <c r="G400" s="50"/>
      <c r="H400" s="107">
        <v>44903</v>
      </c>
      <c r="I400" s="103">
        <v>24</v>
      </c>
      <c r="J400" s="104">
        <v>134.13</v>
      </c>
      <c r="K400" s="104">
        <f t="shared" si="45"/>
        <v>3219.12</v>
      </c>
      <c r="L400" s="103"/>
      <c r="M400" s="103">
        <f t="shared" si="44"/>
        <v>24</v>
      </c>
      <c r="N400" s="121" t="s">
        <v>1006</v>
      </c>
      <c r="O400" s="103" t="s">
        <v>945</v>
      </c>
      <c r="P400" s="104">
        <f t="shared" si="46"/>
        <v>3219.12</v>
      </c>
    </row>
    <row r="401" spans="1:16" s="105" customFormat="1" ht="31.5" x14ac:dyDescent="0.25">
      <c r="A401" s="113" t="s">
        <v>1111</v>
      </c>
      <c r="B401" s="102"/>
      <c r="C401" s="25" t="s">
        <v>1097</v>
      </c>
      <c r="D401" s="25" t="s">
        <v>1122</v>
      </c>
      <c r="E401" s="38"/>
      <c r="F401" s="13"/>
      <c r="G401" s="50"/>
      <c r="H401" s="107">
        <v>44903</v>
      </c>
      <c r="I401" s="103">
        <v>24</v>
      </c>
      <c r="J401" s="104">
        <v>147.35</v>
      </c>
      <c r="K401" s="104">
        <f t="shared" si="45"/>
        <v>3536.3999999999996</v>
      </c>
      <c r="L401" s="103"/>
      <c r="M401" s="103">
        <f t="shared" si="44"/>
        <v>24</v>
      </c>
      <c r="N401" s="121" t="s">
        <v>1006</v>
      </c>
      <c r="O401" s="103" t="s">
        <v>945</v>
      </c>
      <c r="P401" s="104">
        <f t="shared" si="46"/>
        <v>3536.3999999999996</v>
      </c>
    </row>
    <row r="402" spans="1:16" s="105" customFormat="1" ht="31.5" x14ac:dyDescent="0.25">
      <c r="A402" s="113" t="s">
        <v>1112</v>
      </c>
      <c r="B402" s="102"/>
      <c r="C402" s="25" t="s">
        <v>1098</v>
      </c>
      <c r="D402" s="25" t="s">
        <v>1122</v>
      </c>
      <c r="E402" s="38"/>
      <c r="F402" s="13"/>
      <c r="G402" s="50"/>
      <c r="H402" s="107">
        <v>44903</v>
      </c>
      <c r="I402" s="103">
        <v>2</v>
      </c>
      <c r="J402" s="104">
        <v>1100.5</v>
      </c>
      <c r="K402" s="104">
        <f t="shared" si="45"/>
        <v>2201</v>
      </c>
      <c r="L402" s="103"/>
      <c r="M402" s="103">
        <f t="shared" si="44"/>
        <v>2</v>
      </c>
      <c r="N402" s="121" t="s">
        <v>1006</v>
      </c>
      <c r="O402" s="103" t="s">
        <v>945</v>
      </c>
      <c r="P402" s="104">
        <f t="shared" si="46"/>
        <v>2201</v>
      </c>
    </row>
    <row r="403" spans="1:16" s="105" customFormat="1" ht="15.75" x14ac:dyDescent="0.25">
      <c r="A403" s="113"/>
      <c r="B403" s="102"/>
      <c r="C403" s="25" t="s">
        <v>1114</v>
      </c>
      <c r="D403" s="25" t="s">
        <v>1122</v>
      </c>
      <c r="E403" s="38"/>
      <c r="F403" s="13"/>
      <c r="G403" s="50"/>
      <c r="H403" s="107"/>
      <c r="I403" s="103"/>
      <c r="J403" s="104"/>
      <c r="K403" s="104"/>
      <c r="L403" s="103">
        <v>22</v>
      </c>
      <c r="M403" s="103">
        <f t="shared" si="44"/>
        <v>-22</v>
      </c>
      <c r="N403" s="121"/>
      <c r="O403" s="103"/>
      <c r="P403" s="104"/>
    </row>
    <row r="404" spans="1:16" s="105" customFormat="1" ht="15.75" x14ac:dyDescent="0.25">
      <c r="A404" s="113"/>
      <c r="B404" s="102"/>
      <c r="C404" s="25"/>
      <c r="D404" s="25"/>
      <c r="E404" s="38"/>
      <c r="F404" s="13"/>
      <c r="G404" s="50"/>
      <c r="H404" s="107"/>
      <c r="I404" s="103"/>
      <c r="J404" s="104"/>
      <c r="K404" s="104"/>
      <c r="L404" s="103"/>
      <c r="M404" s="103">
        <f t="shared" si="44"/>
        <v>0</v>
      </c>
      <c r="N404" s="121"/>
      <c r="O404" s="103"/>
      <c r="P404" s="104">
        <f t="shared" si="40"/>
        <v>0</v>
      </c>
    </row>
    <row r="405" spans="1:16" x14ac:dyDescent="0.3">
      <c r="A405" s="69" t="s">
        <v>98</v>
      </c>
      <c r="B405" s="241"/>
      <c r="C405" s="242"/>
      <c r="D405" s="242"/>
      <c r="E405" s="242"/>
      <c r="F405" s="243"/>
      <c r="G405" s="70">
        <f>SUM(G8:G378)</f>
        <v>1580249.4203600003</v>
      </c>
      <c r="H405" s="70"/>
      <c r="I405" s="70"/>
      <c r="J405" s="70">
        <f>SUM(J8:J378)</f>
        <v>98535.988666666672</v>
      </c>
      <c r="K405" s="70">
        <f>SUM(K8:K378)</f>
        <v>1514186.35</v>
      </c>
      <c r="L405" s="70"/>
      <c r="M405" s="70"/>
      <c r="N405" s="70">
        <f>SUM(N8:N378)</f>
        <v>0</v>
      </c>
      <c r="O405" s="70">
        <f>SUM(O8:O378)</f>
        <v>0</v>
      </c>
      <c r="P405" s="70">
        <f>SUM(P8:P404)</f>
        <v>3343804.4368800004</v>
      </c>
    </row>
    <row r="406" spans="1:16" x14ac:dyDescent="0.3">
      <c r="A406" s="2"/>
      <c r="B406" s="2"/>
      <c r="C406" s="43"/>
      <c r="D406" s="12"/>
      <c r="E406" s="2"/>
      <c r="F406" s="2"/>
      <c r="G406" s="2"/>
      <c r="H406" s="2"/>
      <c r="I406" s="2"/>
      <c r="J406" s="65"/>
      <c r="K406" s="2"/>
      <c r="L406" s="2"/>
      <c r="M406" s="2"/>
      <c r="N406" s="2"/>
      <c r="O406" s="2"/>
      <c r="P406" s="2"/>
    </row>
    <row r="407" spans="1:16" x14ac:dyDescent="0.3">
      <c r="C407" s="96"/>
      <c r="D407" s="96"/>
      <c r="G407" s="63"/>
      <c r="P407" s="50"/>
    </row>
    <row r="408" spans="1:16" x14ac:dyDescent="0.3">
      <c r="A408" s="85" t="s">
        <v>7</v>
      </c>
      <c r="C408" s="96"/>
      <c r="D408" s="96"/>
    </row>
    <row r="409" spans="1:16" x14ac:dyDescent="0.3">
      <c r="C409" s="96"/>
      <c r="D409" s="96"/>
    </row>
    <row r="410" spans="1:16" x14ac:dyDescent="0.3">
      <c r="B410" s="85" t="s">
        <v>531</v>
      </c>
      <c r="C410" s="96"/>
      <c r="D410" s="96"/>
    </row>
    <row r="411" spans="1:16" x14ac:dyDescent="0.3">
      <c r="C411" s="96"/>
      <c r="D411" s="96"/>
    </row>
    <row r="412" spans="1:16" x14ac:dyDescent="0.3">
      <c r="A412" s="97" t="s">
        <v>5</v>
      </c>
      <c r="C412" s="96"/>
      <c r="D412" s="96"/>
    </row>
    <row r="413" spans="1:16" x14ac:dyDescent="0.3">
      <c r="C413" s="96"/>
      <c r="D413" s="96"/>
    </row>
    <row r="414" spans="1:16" x14ac:dyDescent="0.3">
      <c r="A414" s="97"/>
      <c r="C414" s="96"/>
      <c r="D414" s="96"/>
    </row>
    <row r="415" spans="1:16" x14ac:dyDescent="0.3">
      <c r="A415" s="98" t="s">
        <v>924</v>
      </c>
      <c r="C415" s="96"/>
      <c r="D415" s="96"/>
    </row>
    <row r="416" spans="1:16" x14ac:dyDescent="0.3">
      <c r="A416" s="85" t="s">
        <v>925</v>
      </c>
      <c r="C416" s="96"/>
      <c r="D416" s="96"/>
    </row>
    <row r="417" spans="3:4" x14ac:dyDescent="0.3">
      <c r="C417" s="96" t="s">
        <v>506</v>
      </c>
      <c r="D417" s="96"/>
    </row>
    <row r="418" spans="3:4" x14ac:dyDescent="0.3">
      <c r="C418" s="96"/>
      <c r="D418" s="96"/>
    </row>
    <row r="419" spans="3:4" x14ac:dyDescent="0.3">
      <c r="C419" s="96"/>
      <c r="D419" s="96"/>
    </row>
    <row r="420" spans="3:4" x14ac:dyDescent="0.3">
      <c r="C420" s="96"/>
      <c r="D420" s="96"/>
    </row>
    <row r="421" spans="3:4" x14ac:dyDescent="0.3">
      <c r="C421" s="96"/>
      <c r="D421" s="96"/>
    </row>
    <row r="422" spans="3:4" x14ac:dyDescent="0.3">
      <c r="C422" s="96"/>
      <c r="D422" s="96"/>
    </row>
    <row r="423" spans="3:4" x14ac:dyDescent="0.3">
      <c r="C423" s="96"/>
      <c r="D423" s="96"/>
    </row>
    <row r="424" spans="3:4" x14ac:dyDescent="0.3">
      <c r="C424" s="96"/>
      <c r="D424" s="96"/>
    </row>
  </sheetData>
  <mergeCells count="4">
    <mergeCell ref="A3:G3"/>
    <mergeCell ref="A4:G4"/>
    <mergeCell ref="A5:G5"/>
    <mergeCell ref="B405:F40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71"/>
  <sheetViews>
    <sheetView zoomScale="98" zoomScaleNormal="98" workbookViewId="0">
      <pane ySplit="7" topLeftCell="A70" activePane="bottomLeft" state="frozen"/>
      <selection pane="bottomLeft" activeCell="L73" sqref="L73"/>
    </sheetView>
  </sheetViews>
  <sheetFormatPr baseColWidth="10" defaultColWidth="11.42578125" defaultRowHeight="18.75" x14ac:dyDescent="0.3"/>
  <cols>
    <col min="1" max="1" width="16" style="85" customWidth="1"/>
    <col min="2" max="2" width="16.42578125" style="85" customWidth="1"/>
    <col min="3" max="3" width="51.28515625" style="85" customWidth="1"/>
    <col min="4" max="4" width="12.42578125" style="85" customWidth="1"/>
    <col min="5" max="5" width="14.140625" customWidth="1"/>
    <col min="6" max="6" width="17.140625" style="138" customWidth="1"/>
    <col min="7" max="7" width="22.42578125" customWidth="1"/>
    <col min="8" max="8" width="18.5703125" customWidth="1"/>
    <col min="9" max="9" width="11.140625" style="138" customWidth="1"/>
    <col min="10" max="10" width="16.85546875" style="63" customWidth="1"/>
    <col min="11" max="11" width="15.5703125" customWidth="1"/>
    <col min="12" max="12" width="13.140625" customWidth="1"/>
    <col min="13" max="13" width="12.7109375" style="139" bestFit="1" customWidth="1"/>
    <col min="14" max="14" width="13.42578125" customWidth="1"/>
    <col min="15" max="15" width="17.7109375" style="85" bestFit="1" customWidth="1"/>
    <col min="16" max="16" width="14.42578125" style="139" bestFit="1" customWidth="1"/>
    <col min="17" max="16384" width="11.42578125" style="85"/>
  </cols>
  <sheetData>
    <row r="3" spans="1:16" ht="26.25" x14ac:dyDescent="0.4">
      <c r="A3" s="244" t="s">
        <v>0</v>
      </c>
      <c r="B3" s="244"/>
      <c r="C3" s="244"/>
      <c r="D3" s="244"/>
      <c r="E3" s="234"/>
      <c r="F3" s="234"/>
      <c r="G3" s="234"/>
    </row>
    <row r="4" spans="1:16" x14ac:dyDescent="0.3">
      <c r="A4" s="245" t="s">
        <v>1</v>
      </c>
      <c r="B4" s="246"/>
      <c r="C4" s="246"/>
      <c r="D4" s="246"/>
      <c r="E4" s="236"/>
      <c r="F4" s="236"/>
      <c r="G4" s="236"/>
    </row>
    <row r="5" spans="1:16" x14ac:dyDescent="0.3">
      <c r="A5" s="237" t="s">
        <v>1123</v>
      </c>
      <c r="B5" s="237"/>
      <c r="C5" s="237"/>
      <c r="D5" s="237"/>
      <c r="E5" s="237"/>
      <c r="F5" s="237"/>
      <c r="G5" s="237"/>
    </row>
    <row r="7" spans="1:16" ht="56.25" x14ac:dyDescent="0.3">
      <c r="A7" s="86" t="s">
        <v>118</v>
      </c>
      <c r="B7" s="86" t="s">
        <v>9</v>
      </c>
      <c r="C7" s="87" t="s">
        <v>2</v>
      </c>
      <c r="D7" s="87" t="s">
        <v>1120</v>
      </c>
      <c r="E7" s="83" t="s">
        <v>3</v>
      </c>
      <c r="F7" s="131" t="s">
        <v>117</v>
      </c>
      <c r="G7" s="83" t="s">
        <v>4</v>
      </c>
      <c r="H7" s="82" t="s">
        <v>9</v>
      </c>
      <c r="I7" s="131" t="s">
        <v>915</v>
      </c>
      <c r="J7" s="84" t="s">
        <v>117</v>
      </c>
      <c r="K7" s="83" t="s">
        <v>4</v>
      </c>
      <c r="L7" s="83" t="s">
        <v>929</v>
      </c>
      <c r="M7" s="140" t="s">
        <v>914</v>
      </c>
      <c r="N7" s="83" t="s">
        <v>927</v>
      </c>
      <c r="O7" s="87" t="s">
        <v>944</v>
      </c>
      <c r="P7" s="131" t="s">
        <v>4</v>
      </c>
    </row>
    <row r="8" spans="1:16" s="92" customFormat="1" x14ac:dyDescent="0.3">
      <c r="A8" s="113" t="s">
        <v>11</v>
      </c>
      <c r="B8" s="102">
        <v>44652</v>
      </c>
      <c r="C8" s="25" t="s">
        <v>857</v>
      </c>
      <c r="D8" s="25" t="s">
        <v>1121</v>
      </c>
      <c r="E8" s="14">
        <f>18*30</f>
        <v>540</v>
      </c>
      <c r="F8" s="132">
        <v>850</v>
      </c>
      <c r="G8" s="50">
        <f>+F8*18</f>
        <v>15300</v>
      </c>
      <c r="H8" s="103"/>
      <c r="I8" s="141"/>
      <c r="J8" s="104"/>
      <c r="K8" s="103"/>
      <c r="L8" s="103">
        <f>35+3</f>
        <v>38</v>
      </c>
      <c r="M8" s="141">
        <f>+E8+I8-L8</f>
        <v>502</v>
      </c>
      <c r="N8" s="103"/>
      <c r="O8" s="103" t="s">
        <v>945</v>
      </c>
      <c r="P8" s="137">
        <f>+F8*M8</f>
        <v>426700</v>
      </c>
    </row>
    <row r="9" spans="1:16" s="8" customFormat="1" ht="15.75" x14ac:dyDescent="0.25">
      <c r="A9" s="113" t="s">
        <v>120</v>
      </c>
      <c r="B9" s="102">
        <v>44193</v>
      </c>
      <c r="C9" s="25" t="s">
        <v>533</v>
      </c>
      <c r="D9" s="25" t="s">
        <v>1122</v>
      </c>
      <c r="E9" s="14">
        <v>43</v>
      </c>
      <c r="F9" s="132">
        <v>215</v>
      </c>
      <c r="G9" s="50">
        <f>E9*F9</f>
        <v>9245</v>
      </c>
      <c r="H9" s="103"/>
      <c r="I9" s="141"/>
      <c r="J9" s="104"/>
      <c r="K9" s="103"/>
      <c r="L9" s="103">
        <f>1+1+1</f>
        <v>3</v>
      </c>
      <c r="M9" s="141">
        <f t="shared" ref="M9:M72" si="0">+E9+I9-L9</f>
        <v>40</v>
      </c>
      <c r="N9" s="103"/>
      <c r="O9" s="103" t="s">
        <v>946</v>
      </c>
      <c r="P9" s="137">
        <f t="shared" ref="P9:P23" si="1">+F9*M9</f>
        <v>8600</v>
      </c>
    </row>
    <row r="10" spans="1:16" s="8" customFormat="1" ht="14.25" customHeight="1" x14ac:dyDescent="0.25">
      <c r="A10" s="113" t="s">
        <v>12</v>
      </c>
      <c r="B10" s="102">
        <v>45020</v>
      </c>
      <c r="C10" s="25" t="s">
        <v>534</v>
      </c>
      <c r="D10" s="25" t="s">
        <v>1122</v>
      </c>
      <c r="E10" s="14">
        <v>12</v>
      </c>
      <c r="F10" s="132">
        <v>3540</v>
      </c>
      <c r="G10" s="50">
        <f>E10*F10</f>
        <v>42480</v>
      </c>
      <c r="H10" s="103"/>
      <c r="I10" s="141"/>
      <c r="J10" s="104"/>
      <c r="K10" s="103"/>
      <c r="L10" s="103"/>
      <c r="M10" s="141">
        <f t="shared" si="0"/>
        <v>12</v>
      </c>
      <c r="N10" s="103"/>
      <c r="O10" s="103" t="s">
        <v>946</v>
      </c>
      <c r="P10" s="137">
        <f t="shared" si="1"/>
        <v>42480</v>
      </c>
    </row>
    <row r="11" spans="1:16" s="8" customFormat="1" ht="15.75" x14ac:dyDescent="0.25">
      <c r="A11" s="113" t="s">
        <v>121</v>
      </c>
      <c r="B11" s="102">
        <v>44193</v>
      </c>
      <c r="C11" s="25" t="s">
        <v>535</v>
      </c>
      <c r="D11" s="25" t="s">
        <v>1122</v>
      </c>
      <c r="E11" s="30">
        <v>0</v>
      </c>
      <c r="F11" s="132">
        <v>127.12</v>
      </c>
      <c r="G11" s="50">
        <f t="shared" ref="G11:G25" si="2">E11*F11</f>
        <v>0</v>
      </c>
      <c r="H11" s="103"/>
      <c r="I11" s="141"/>
      <c r="J11" s="104"/>
      <c r="K11" s="103"/>
      <c r="L11" s="103"/>
      <c r="M11" s="141">
        <f t="shared" si="0"/>
        <v>0</v>
      </c>
      <c r="N11" s="103"/>
      <c r="O11" s="103" t="s">
        <v>946</v>
      </c>
      <c r="P11" s="137">
        <f t="shared" si="1"/>
        <v>0</v>
      </c>
    </row>
    <row r="12" spans="1:16" s="8" customFormat="1" ht="15.75" x14ac:dyDescent="0.25">
      <c r="A12" s="113" t="s">
        <v>122</v>
      </c>
      <c r="B12" s="102">
        <v>44193</v>
      </c>
      <c r="C12" s="25" t="s">
        <v>838</v>
      </c>
      <c r="D12" s="25" t="s">
        <v>1122</v>
      </c>
      <c r="E12" s="38">
        <v>1</v>
      </c>
      <c r="F12" s="132">
        <v>30</v>
      </c>
      <c r="G12" s="50">
        <f t="shared" si="2"/>
        <v>30</v>
      </c>
      <c r="H12" s="103"/>
      <c r="I12" s="141"/>
      <c r="J12" s="104"/>
      <c r="K12" s="103"/>
      <c r="L12" s="103"/>
      <c r="M12" s="141">
        <f t="shared" si="0"/>
        <v>1</v>
      </c>
      <c r="N12" s="103"/>
      <c r="O12" s="103" t="s">
        <v>946</v>
      </c>
      <c r="P12" s="137">
        <f t="shared" si="1"/>
        <v>30</v>
      </c>
    </row>
    <row r="13" spans="1:16" s="8" customFormat="1" ht="15.75" x14ac:dyDescent="0.25">
      <c r="A13" s="113" t="s">
        <v>123</v>
      </c>
      <c r="B13" s="102">
        <v>44193</v>
      </c>
      <c r="C13" s="25" t="s">
        <v>840</v>
      </c>
      <c r="D13" s="25" t="s">
        <v>1122</v>
      </c>
      <c r="E13" s="14">
        <v>10</v>
      </c>
      <c r="F13" s="132">
        <v>11</v>
      </c>
      <c r="G13" s="50">
        <f t="shared" si="2"/>
        <v>110</v>
      </c>
      <c r="H13" s="103"/>
      <c r="I13" s="141"/>
      <c r="J13" s="104"/>
      <c r="K13" s="103"/>
      <c r="L13" s="103"/>
      <c r="M13" s="141">
        <f t="shared" si="0"/>
        <v>10</v>
      </c>
      <c r="N13" s="103"/>
      <c r="O13" s="103" t="s">
        <v>946</v>
      </c>
      <c r="P13" s="137">
        <f t="shared" si="1"/>
        <v>110</v>
      </c>
    </row>
    <row r="14" spans="1:16" s="8" customFormat="1" ht="15.75" x14ac:dyDescent="0.25">
      <c r="A14" s="113" t="s">
        <v>13</v>
      </c>
      <c r="B14" s="102">
        <v>44193</v>
      </c>
      <c r="C14" s="25" t="s">
        <v>536</v>
      </c>
      <c r="D14" s="25" t="s">
        <v>1122</v>
      </c>
      <c r="E14" s="14">
        <f>49+60+2</f>
        <v>111</v>
      </c>
      <c r="F14" s="132">
        <v>15.84</v>
      </c>
      <c r="G14" s="50">
        <f t="shared" si="2"/>
        <v>1758.24</v>
      </c>
      <c r="H14" s="103"/>
      <c r="I14" s="141"/>
      <c r="J14" s="104"/>
      <c r="K14" s="103"/>
      <c r="L14" s="103"/>
      <c r="M14" s="141">
        <f t="shared" si="0"/>
        <v>111</v>
      </c>
      <c r="N14" s="103"/>
      <c r="O14" s="103" t="s">
        <v>946</v>
      </c>
      <c r="P14" s="137">
        <f t="shared" si="1"/>
        <v>1758.24</v>
      </c>
    </row>
    <row r="15" spans="1:16" s="8" customFormat="1" ht="15.75" x14ac:dyDescent="0.25">
      <c r="A15" s="113" t="s">
        <v>14</v>
      </c>
      <c r="B15" s="102">
        <v>44193</v>
      </c>
      <c r="C15" s="25" t="s">
        <v>537</v>
      </c>
      <c r="D15" s="25" t="s">
        <v>1122</v>
      </c>
      <c r="E15" s="14">
        <v>52</v>
      </c>
      <c r="F15" s="132">
        <v>22.41</v>
      </c>
      <c r="G15" s="50">
        <f t="shared" si="2"/>
        <v>1165.32</v>
      </c>
      <c r="H15" s="103"/>
      <c r="I15" s="141"/>
      <c r="J15" s="104"/>
      <c r="K15" s="103"/>
      <c r="L15" s="103"/>
      <c r="M15" s="141">
        <f t="shared" si="0"/>
        <v>52</v>
      </c>
      <c r="N15" s="103"/>
      <c r="O15" s="103" t="s">
        <v>946</v>
      </c>
      <c r="P15" s="137">
        <f t="shared" si="1"/>
        <v>1165.32</v>
      </c>
    </row>
    <row r="16" spans="1:16" s="8" customFormat="1" ht="15.75" x14ac:dyDescent="0.25">
      <c r="A16" s="113" t="s">
        <v>15</v>
      </c>
      <c r="B16" s="102">
        <v>44193</v>
      </c>
      <c r="C16" s="25" t="s">
        <v>538</v>
      </c>
      <c r="D16" s="25" t="s">
        <v>1122</v>
      </c>
      <c r="E16" s="14">
        <v>42</v>
      </c>
      <c r="F16" s="132">
        <v>5.5</v>
      </c>
      <c r="G16" s="50">
        <f t="shared" si="2"/>
        <v>231</v>
      </c>
      <c r="H16" s="103"/>
      <c r="I16" s="141"/>
      <c r="J16" s="104"/>
      <c r="K16" s="103"/>
      <c r="L16" s="103"/>
      <c r="M16" s="141">
        <f t="shared" si="0"/>
        <v>42</v>
      </c>
      <c r="N16" s="103"/>
      <c r="O16" s="103" t="s">
        <v>946</v>
      </c>
      <c r="P16" s="137">
        <f t="shared" si="1"/>
        <v>231</v>
      </c>
    </row>
    <row r="17" spans="1:16" s="8" customFormat="1" ht="15.75" x14ac:dyDescent="0.25">
      <c r="A17" s="113" t="s">
        <v>124</v>
      </c>
      <c r="B17" s="102">
        <v>44193</v>
      </c>
      <c r="C17" s="25" t="s">
        <v>539</v>
      </c>
      <c r="D17" s="25" t="s">
        <v>1122</v>
      </c>
      <c r="E17" s="14">
        <v>32</v>
      </c>
      <c r="F17" s="132">
        <v>78.099999999999994</v>
      </c>
      <c r="G17" s="50">
        <f t="shared" si="2"/>
        <v>2499.1999999999998</v>
      </c>
      <c r="H17" s="103"/>
      <c r="I17" s="141"/>
      <c r="J17" s="104"/>
      <c r="K17" s="103"/>
      <c r="L17" s="103">
        <v>2</v>
      </c>
      <c r="M17" s="141">
        <f t="shared" si="0"/>
        <v>30</v>
      </c>
      <c r="N17" s="103"/>
      <c r="O17" s="103" t="s">
        <v>946</v>
      </c>
      <c r="P17" s="137">
        <f t="shared" si="1"/>
        <v>2343</v>
      </c>
    </row>
    <row r="18" spans="1:16" s="8" customFormat="1" ht="15.75" x14ac:dyDescent="0.25">
      <c r="A18" s="113" t="s">
        <v>16</v>
      </c>
      <c r="B18" s="102" t="s">
        <v>107</v>
      </c>
      <c r="C18" s="25" t="s">
        <v>540</v>
      </c>
      <c r="D18" s="25" t="s">
        <v>1122</v>
      </c>
      <c r="E18" s="14">
        <v>131</v>
      </c>
      <c r="F18" s="132">
        <v>5.17</v>
      </c>
      <c r="G18" s="50">
        <f t="shared" si="2"/>
        <v>677.27</v>
      </c>
      <c r="H18" s="103"/>
      <c r="I18" s="141"/>
      <c r="J18" s="104"/>
      <c r="K18" s="103"/>
      <c r="L18" s="103"/>
      <c r="M18" s="141">
        <f t="shared" si="0"/>
        <v>131</v>
      </c>
      <c r="N18" s="103"/>
      <c r="O18" s="103" t="s">
        <v>946</v>
      </c>
      <c r="P18" s="137">
        <f t="shared" si="1"/>
        <v>677.27</v>
      </c>
    </row>
    <row r="19" spans="1:16" s="8" customFormat="1" ht="15.75" x14ac:dyDescent="0.25">
      <c r="A19" s="113" t="s">
        <v>17</v>
      </c>
      <c r="B19" s="102" t="s">
        <v>107</v>
      </c>
      <c r="C19" s="25" t="s">
        <v>541</v>
      </c>
      <c r="D19" s="25" t="s">
        <v>1122</v>
      </c>
      <c r="E19" s="14">
        <v>10</v>
      </c>
      <c r="F19" s="133">
        <v>15</v>
      </c>
      <c r="G19" s="50">
        <f t="shared" si="2"/>
        <v>150</v>
      </c>
      <c r="H19" s="103"/>
      <c r="I19" s="141"/>
      <c r="J19" s="104"/>
      <c r="K19" s="103"/>
      <c r="L19" s="103"/>
      <c r="M19" s="141">
        <f t="shared" si="0"/>
        <v>10</v>
      </c>
      <c r="N19" s="103"/>
      <c r="O19" s="103" t="s">
        <v>946</v>
      </c>
      <c r="P19" s="137">
        <f t="shared" si="1"/>
        <v>150</v>
      </c>
    </row>
    <row r="20" spans="1:16" s="8" customFormat="1" ht="15.75" x14ac:dyDescent="0.25">
      <c r="A20" s="113" t="s">
        <v>18</v>
      </c>
      <c r="B20" s="102">
        <v>44193</v>
      </c>
      <c r="C20" s="25" t="s">
        <v>542</v>
      </c>
      <c r="D20" s="25" t="s">
        <v>1122</v>
      </c>
      <c r="E20" s="30">
        <f>4+7+1</f>
        <v>12</v>
      </c>
      <c r="F20" s="132">
        <v>15</v>
      </c>
      <c r="G20" s="50">
        <f t="shared" si="2"/>
        <v>180</v>
      </c>
      <c r="H20" s="103"/>
      <c r="I20" s="141"/>
      <c r="J20" s="104"/>
      <c r="K20" s="103"/>
      <c r="L20" s="103"/>
      <c r="M20" s="141">
        <f t="shared" si="0"/>
        <v>12</v>
      </c>
      <c r="N20" s="103"/>
      <c r="O20" s="103" t="s">
        <v>946</v>
      </c>
      <c r="P20" s="137">
        <f t="shared" si="1"/>
        <v>180</v>
      </c>
    </row>
    <row r="21" spans="1:16" s="8" customFormat="1" ht="15.75" x14ac:dyDescent="0.25">
      <c r="A21" s="113" t="s">
        <v>19</v>
      </c>
      <c r="B21" s="102">
        <v>44193</v>
      </c>
      <c r="C21" s="25" t="s">
        <v>543</v>
      </c>
      <c r="D21" s="25" t="s">
        <v>1122</v>
      </c>
      <c r="E21" s="30">
        <v>8</v>
      </c>
      <c r="F21" s="134">
        <v>15</v>
      </c>
      <c r="G21" s="50">
        <f t="shared" si="2"/>
        <v>120</v>
      </c>
      <c r="H21" s="103"/>
      <c r="I21" s="141"/>
      <c r="J21" s="104"/>
      <c r="K21" s="103"/>
      <c r="L21" s="103"/>
      <c r="M21" s="141">
        <f t="shared" si="0"/>
        <v>8</v>
      </c>
      <c r="N21" s="103"/>
      <c r="O21" s="103" t="s">
        <v>946</v>
      </c>
      <c r="P21" s="137">
        <f t="shared" si="1"/>
        <v>120</v>
      </c>
    </row>
    <row r="22" spans="1:16" s="8" customFormat="1" ht="15.75" x14ac:dyDescent="0.25">
      <c r="A22" s="113" t="s">
        <v>20</v>
      </c>
      <c r="B22" s="102">
        <v>44193</v>
      </c>
      <c r="C22" s="25" t="s">
        <v>835</v>
      </c>
      <c r="D22" s="25" t="s">
        <v>1122</v>
      </c>
      <c r="E22" s="30">
        <v>1</v>
      </c>
      <c r="F22" s="134">
        <v>15</v>
      </c>
      <c r="G22" s="50">
        <f t="shared" si="2"/>
        <v>15</v>
      </c>
      <c r="H22" s="103"/>
      <c r="I22" s="141"/>
      <c r="J22" s="104"/>
      <c r="K22" s="103"/>
      <c r="L22" s="103"/>
      <c r="M22" s="141">
        <f t="shared" si="0"/>
        <v>1</v>
      </c>
      <c r="N22" s="103"/>
      <c r="O22" s="103" t="s">
        <v>946</v>
      </c>
      <c r="P22" s="137">
        <f t="shared" si="1"/>
        <v>15</v>
      </c>
    </row>
    <row r="23" spans="1:16" s="8" customFormat="1" ht="15.75" x14ac:dyDescent="0.25">
      <c r="A23" s="113" t="s">
        <v>21</v>
      </c>
      <c r="B23" s="102" t="s">
        <v>107</v>
      </c>
      <c r="C23" s="25" t="s">
        <v>544</v>
      </c>
      <c r="D23" s="25" t="s">
        <v>1122</v>
      </c>
      <c r="E23" s="30">
        <v>32</v>
      </c>
      <c r="F23" s="133">
        <v>15</v>
      </c>
      <c r="G23" s="50">
        <f t="shared" si="2"/>
        <v>480</v>
      </c>
      <c r="H23" s="103"/>
      <c r="I23" s="141"/>
      <c r="J23" s="104"/>
      <c r="K23" s="103"/>
      <c r="L23" s="103"/>
      <c r="M23" s="141">
        <f t="shared" si="0"/>
        <v>32</v>
      </c>
      <c r="N23" s="103"/>
      <c r="O23" s="103" t="s">
        <v>946</v>
      </c>
      <c r="P23" s="137">
        <f t="shared" si="1"/>
        <v>480</v>
      </c>
    </row>
    <row r="24" spans="1:16" s="8" customFormat="1" ht="15.75" x14ac:dyDescent="0.25">
      <c r="A24" s="113" t="s">
        <v>23</v>
      </c>
      <c r="B24" s="102">
        <v>45020</v>
      </c>
      <c r="C24" s="25" t="s">
        <v>1167</v>
      </c>
      <c r="D24" s="25" t="s">
        <v>1122</v>
      </c>
      <c r="E24" s="30">
        <v>20</v>
      </c>
      <c r="F24" s="133">
        <v>804.76</v>
      </c>
      <c r="G24" s="50">
        <f t="shared" si="2"/>
        <v>16095.2</v>
      </c>
      <c r="H24" s="103"/>
      <c r="I24" s="141"/>
      <c r="J24" s="104"/>
      <c r="K24" s="103"/>
      <c r="L24" s="103">
        <f>1+3+3+3</f>
        <v>10</v>
      </c>
      <c r="M24" s="141">
        <f t="shared" si="0"/>
        <v>10</v>
      </c>
      <c r="N24" s="103"/>
      <c r="O24" s="103" t="s">
        <v>946</v>
      </c>
      <c r="P24" s="137">
        <f>+F24*M24</f>
        <v>8047.6</v>
      </c>
    </row>
    <row r="25" spans="1:16" s="8" customFormat="1" ht="15.75" x14ac:dyDescent="0.25">
      <c r="A25" s="113" t="s">
        <v>24</v>
      </c>
      <c r="B25" s="102">
        <v>44193</v>
      </c>
      <c r="C25" s="25" t="s">
        <v>809</v>
      </c>
      <c r="D25" s="25" t="s">
        <v>1122</v>
      </c>
      <c r="E25" s="30">
        <v>12</v>
      </c>
      <c r="F25" s="133"/>
      <c r="G25" s="50">
        <f t="shared" si="2"/>
        <v>0</v>
      </c>
      <c r="H25" s="103"/>
      <c r="I25" s="141"/>
      <c r="J25" s="104"/>
      <c r="K25" s="103"/>
      <c r="L25" s="103"/>
      <c r="M25" s="141">
        <f t="shared" si="0"/>
        <v>12</v>
      </c>
      <c r="N25" s="103"/>
      <c r="O25" s="103" t="s">
        <v>946</v>
      </c>
      <c r="P25" s="137">
        <f t="shared" ref="P25:P88" si="3">+F25*M25</f>
        <v>0</v>
      </c>
    </row>
    <row r="26" spans="1:16" s="92" customFormat="1" x14ac:dyDescent="0.3">
      <c r="A26" s="113" t="s">
        <v>110</v>
      </c>
      <c r="B26" s="102">
        <v>44193</v>
      </c>
      <c r="C26" s="9" t="s">
        <v>545</v>
      </c>
      <c r="D26" s="25" t="s">
        <v>1122</v>
      </c>
      <c r="E26" s="31">
        <v>10</v>
      </c>
      <c r="F26" s="132">
        <v>225</v>
      </c>
      <c r="G26" s="50">
        <f>E26*F26</f>
        <v>2250</v>
      </c>
      <c r="H26" s="103"/>
      <c r="I26" s="141"/>
      <c r="J26" s="104"/>
      <c r="K26" s="103"/>
      <c r="L26" s="103"/>
      <c r="M26" s="141">
        <f t="shared" si="0"/>
        <v>10</v>
      </c>
      <c r="N26" s="103"/>
      <c r="O26" s="103" t="s">
        <v>947</v>
      </c>
      <c r="P26" s="137">
        <f t="shared" si="3"/>
        <v>2250</v>
      </c>
    </row>
    <row r="27" spans="1:16" s="8" customFormat="1" ht="15.75" x14ac:dyDescent="0.25">
      <c r="A27" s="113" t="s">
        <v>125</v>
      </c>
      <c r="B27" s="102">
        <v>44193</v>
      </c>
      <c r="C27" s="25" t="s">
        <v>546</v>
      </c>
      <c r="D27" s="25" t="s">
        <v>1122</v>
      </c>
      <c r="E27" s="30">
        <v>0</v>
      </c>
      <c r="F27" s="132">
        <v>68</v>
      </c>
      <c r="G27" s="50">
        <f>E27*F27</f>
        <v>0</v>
      </c>
      <c r="H27" s="103"/>
      <c r="I27" s="141"/>
      <c r="J27" s="104"/>
      <c r="K27" s="103"/>
      <c r="L27" s="103"/>
      <c r="M27" s="141">
        <f t="shared" si="0"/>
        <v>0</v>
      </c>
      <c r="N27" s="103"/>
      <c r="O27" s="103" t="s">
        <v>946</v>
      </c>
      <c r="P27" s="137">
        <f t="shared" si="3"/>
        <v>0</v>
      </c>
    </row>
    <row r="28" spans="1:16" s="92" customFormat="1" x14ac:dyDescent="0.3">
      <c r="A28" s="113" t="s">
        <v>25</v>
      </c>
      <c r="B28" s="102">
        <v>44193</v>
      </c>
      <c r="C28" s="25" t="s">
        <v>547</v>
      </c>
      <c r="D28" s="25" t="s">
        <v>1122</v>
      </c>
      <c r="E28" s="30">
        <v>4</v>
      </c>
      <c r="F28" s="132">
        <v>470</v>
      </c>
      <c r="G28" s="50">
        <f>E28*F28</f>
        <v>1880</v>
      </c>
      <c r="H28" s="103"/>
      <c r="I28" s="141"/>
      <c r="J28" s="104"/>
      <c r="K28" s="103"/>
      <c r="L28" s="103"/>
      <c r="M28" s="141">
        <f t="shared" si="0"/>
        <v>4</v>
      </c>
      <c r="N28" s="103"/>
      <c r="O28" s="103" t="s">
        <v>945</v>
      </c>
      <c r="P28" s="137">
        <f t="shared" si="3"/>
        <v>1880</v>
      </c>
    </row>
    <row r="29" spans="1:16" s="8" customFormat="1" ht="15.75" x14ac:dyDescent="0.25">
      <c r="A29" s="113" t="s">
        <v>126</v>
      </c>
      <c r="B29" s="102" t="s">
        <v>107</v>
      </c>
      <c r="C29" s="26" t="s">
        <v>807</v>
      </c>
      <c r="D29" s="25" t="s">
        <v>1122</v>
      </c>
      <c r="E29" s="30">
        <v>70</v>
      </c>
      <c r="F29" s="132">
        <v>16.46</v>
      </c>
      <c r="G29" s="50">
        <f>+E29*F29</f>
        <v>1152.2</v>
      </c>
      <c r="H29" s="103"/>
      <c r="I29" s="141"/>
      <c r="J29" s="104"/>
      <c r="K29" s="103"/>
      <c r="L29" s="103"/>
      <c r="M29" s="141">
        <f t="shared" si="0"/>
        <v>70</v>
      </c>
      <c r="N29" s="103"/>
      <c r="O29" s="103" t="s">
        <v>946</v>
      </c>
      <c r="P29" s="137">
        <f t="shared" si="3"/>
        <v>1152.2</v>
      </c>
    </row>
    <row r="30" spans="1:16" s="8" customFormat="1" ht="15.75" x14ac:dyDescent="0.25">
      <c r="A30" s="113" t="s">
        <v>26</v>
      </c>
      <c r="B30" s="102" t="s">
        <v>107</v>
      </c>
      <c r="C30" s="26" t="s">
        <v>549</v>
      </c>
      <c r="D30" s="25" t="s">
        <v>1122</v>
      </c>
      <c r="E30" s="30">
        <v>0</v>
      </c>
      <c r="F30" s="133">
        <v>6.4</v>
      </c>
      <c r="G30" s="50">
        <f>E30*F30</f>
        <v>0</v>
      </c>
      <c r="H30" s="103"/>
      <c r="I30" s="141"/>
      <c r="J30" s="104"/>
      <c r="K30" s="103"/>
      <c r="L30" s="103"/>
      <c r="M30" s="141">
        <f t="shared" si="0"/>
        <v>0</v>
      </c>
      <c r="N30" s="103"/>
      <c r="O30" s="103" t="s">
        <v>946</v>
      </c>
      <c r="P30" s="137">
        <f t="shared" si="3"/>
        <v>0</v>
      </c>
    </row>
    <row r="31" spans="1:16" s="8" customFormat="1" ht="15.75" x14ac:dyDescent="0.25">
      <c r="A31" s="113" t="s">
        <v>27</v>
      </c>
      <c r="B31" s="102">
        <v>44193</v>
      </c>
      <c r="C31" s="26" t="s">
        <v>550</v>
      </c>
      <c r="D31" s="25" t="s">
        <v>1122</v>
      </c>
      <c r="E31" s="30">
        <v>0</v>
      </c>
      <c r="F31" s="132">
        <v>105.93</v>
      </c>
      <c r="G31" s="50">
        <f>E31*F31</f>
        <v>0</v>
      </c>
      <c r="H31" s="103"/>
      <c r="I31" s="141"/>
      <c r="J31" s="104"/>
      <c r="K31" s="103"/>
      <c r="L31" s="103"/>
      <c r="M31" s="141">
        <f t="shared" si="0"/>
        <v>0</v>
      </c>
      <c r="N31" s="103"/>
      <c r="O31" s="103" t="s">
        <v>946</v>
      </c>
      <c r="P31" s="137">
        <f t="shared" si="3"/>
        <v>0</v>
      </c>
    </row>
    <row r="32" spans="1:16" s="8" customFormat="1" ht="15.75" x14ac:dyDescent="0.25">
      <c r="A32" s="113" t="s">
        <v>28</v>
      </c>
      <c r="B32" s="102">
        <v>44193</v>
      </c>
      <c r="C32" s="25" t="s">
        <v>806</v>
      </c>
      <c r="D32" s="25" t="s">
        <v>1122</v>
      </c>
      <c r="E32" s="38">
        <v>2</v>
      </c>
      <c r="F32" s="132">
        <v>160</v>
      </c>
      <c r="G32" s="50">
        <f>E32*F32</f>
        <v>320</v>
      </c>
      <c r="H32" s="103"/>
      <c r="I32" s="141"/>
      <c r="J32" s="104"/>
      <c r="K32" s="103"/>
      <c r="L32" s="103">
        <v>1</v>
      </c>
      <c r="M32" s="141">
        <f t="shared" si="0"/>
        <v>1</v>
      </c>
      <c r="N32" s="103"/>
      <c r="O32" s="103" t="s">
        <v>946</v>
      </c>
      <c r="P32" s="137">
        <f t="shared" si="3"/>
        <v>160</v>
      </c>
    </row>
    <row r="33" spans="1:16" s="92" customFormat="1" x14ac:dyDescent="0.3">
      <c r="A33" s="113" t="s">
        <v>127</v>
      </c>
      <c r="B33" s="102">
        <v>44449</v>
      </c>
      <c r="C33" s="25" t="s">
        <v>551</v>
      </c>
      <c r="D33" s="25" t="s">
        <v>1122</v>
      </c>
      <c r="E33" s="30">
        <v>9</v>
      </c>
      <c r="F33" s="132">
        <v>600</v>
      </c>
      <c r="G33" s="50">
        <f t="shared" ref="G33:G61" si="4">E33*F33</f>
        <v>5400</v>
      </c>
      <c r="H33" s="103"/>
      <c r="I33" s="141"/>
      <c r="J33" s="104"/>
      <c r="K33" s="103"/>
      <c r="L33" s="103">
        <v>1</v>
      </c>
      <c r="M33" s="141">
        <f t="shared" si="0"/>
        <v>8</v>
      </c>
      <c r="N33" s="103"/>
      <c r="O33" s="103" t="s">
        <v>945</v>
      </c>
      <c r="P33" s="137">
        <f t="shared" si="3"/>
        <v>4800</v>
      </c>
    </row>
    <row r="34" spans="1:16" s="8" customFormat="1" ht="15.75" x14ac:dyDescent="0.25">
      <c r="A34" s="113" t="s">
        <v>29</v>
      </c>
      <c r="B34" s="102">
        <v>44193</v>
      </c>
      <c r="C34" s="9" t="s">
        <v>552</v>
      </c>
      <c r="D34" s="25" t="s">
        <v>1122</v>
      </c>
      <c r="E34" s="30">
        <f>20+23</f>
        <v>43</v>
      </c>
      <c r="F34" s="132">
        <v>200</v>
      </c>
      <c r="G34" s="50">
        <f t="shared" si="4"/>
        <v>8600</v>
      </c>
      <c r="H34" s="103"/>
      <c r="I34" s="141"/>
      <c r="J34" s="104"/>
      <c r="K34" s="103"/>
      <c r="L34" s="103"/>
      <c r="M34" s="141">
        <f t="shared" si="0"/>
        <v>43</v>
      </c>
      <c r="N34" s="103"/>
      <c r="O34" s="103" t="s">
        <v>947</v>
      </c>
      <c r="P34" s="137">
        <f t="shared" si="3"/>
        <v>8600</v>
      </c>
    </row>
    <row r="35" spans="1:16" s="8" customFormat="1" ht="15.75" x14ac:dyDescent="0.25">
      <c r="A35" s="113" t="s">
        <v>30</v>
      </c>
      <c r="B35" s="102">
        <v>44193</v>
      </c>
      <c r="C35" s="9" t="s">
        <v>553</v>
      </c>
      <c r="D35" s="25" t="s">
        <v>1122</v>
      </c>
      <c r="E35" s="30">
        <v>9</v>
      </c>
      <c r="F35" s="132">
        <v>200</v>
      </c>
      <c r="G35" s="50">
        <f t="shared" si="4"/>
        <v>1800</v>
      </c>
      <c r="H35" s="103"/>
      <c r="I35" s="141"/>
      <c r="J35" s="104"/>
      <c r="K35" s="103"/>
      <c r="L35" s="103"/>
      <c r="M35" s="141">
        <f t="shared" si="0"/>
        <v>9</v>
      </c>
      <c r="N35" s="103"/>
      <c r="O35" s="103" t="s">
        <v>947</v>
      </c>
      <c r="P35" s="137">
        <f t="shared" si="3"/>
        <v>1800</v>
      </c>
    </row>
    <row r="36" spans="1:16" s="92" customFormat="1" x14ac:dyDescent="0.3">
      <c r="A36" s="113" t="s">
        <v>99</v>
      </c>
      <c r="B36" s="102">
        <v>44193</v>
      </c>
      <c r="C36" s="25" t="s">
        <v>548</v>
      </c>
      <c r="D36" s="25" t="s">
        <v>1122</v>
      </c>
      <c r="E36" s="30">
        <v>36</v>
      </c>
      <c r="F36" s="132">
        <v>75</v>
      </c>
      <c r="G36" s="50">
        <f t="shared" si="4"/>
        <v>2700</v>
      </c>
      <c r="H36" s="103"/>
      <c r="I36" s="141"/>
      <c r="J36" s="104"/>
      <c r="K36" s="103"/>
      <c r="L36" s="103"/>
      <c r="M36" s="141">
        <f t="shared" si="0"/>
        <v>36</v>
      </c>
      <c r="N36" s="103"/>
      <c r="O36" s="103" t="s">
        <v>945</v>
      </c>
      <c r="P36" s="137">
        <f t="shared" si="3"/>
        <v>2700</v>
      </c>
    </row>
    <row r="37" spans="1:16" s="8" customFormat="1" ht="15.75" x14ac:dyDescent="0.25">
      <c r="A37" s="113" t="s">
        <v>31</v>
      </c>
      <c r="B37" s="102">
        <v>44193</v>
      </c>
      <c r="C37" s="25" t="s">
        <v>554</v>
      </c>
      <c r="D37" s="25" t="s">
        <v>1122</v>
      </c>
      <c r="E37" s="30">
        <v>0</v>
      </c>
      <c r="F37" s="132">
        <v>4.24</v>
      </c>
      <c r="G37" s="50">
        <f t="shared" si="4"/>
        <v>0</v>
      </c>
      <c r="H37" s="103"/>
      <c r="I37" s="141"/>
      <c r="J37" s="104"/>
      <c r="K37" s="103"/>
      <c r="L37" s="103"/>
      <c r="M37" s="141">
        <f t="shared" si="0"/>
        <v>0</v>
      </c>
      <c r="N37" s="103"/>
      <c r="O37" s="103" t="s">
        <v>946</v>
      </c>
      <c r="P37" s="137">
        <f>+F37*M37</f>
        <v>0</v>
      </c>
    </row>
    <row r="38" spans="1:16" s="8" customFormat="1" ht="15.75" x14ac:dyDescent="0.25">
      <c r="A38" s="113" t="s">
        <v>32</v>
      </c>
      <c r="B38" s="102">
        <v>44193</v>
      </c>
      <c r="C38" s="25" t="s">
        <v>555</v>
      </c>
      <c r="D38" s="25" t="s">
        <v>1122</v>
      </c>
      <c r="E38" s="30">
        <v>0</v>
      </c>
      <c r="F38" s="132">
        <v>3.39</v>
      </c>
      <c r="G38" s="50">
        <f t="shared" si="4"/>
        <v>0</v>
      </c>
      <c r="H38" s="103"/>
      <c r="I38" s="141"/>
      <c r="J38" s="104"/>
      <c r="K38" s="103"/>
      <c r="L38" s="103"/>
      <c r="M38" s="141">
        <f t="shared" si="0"/>
        <v>0</v>
      </c>
      <c r="N38" s="103"/>
      <c r="O38" s="103" t="s">
        <v>946</v>
      </c>
      <c r="P38" s="137">
        <f t="shared" si="3"/>
        <v>0</v>
      </c>
    </row>
    <row r="39" spans="1:16" s="8" customFormat="1" ht="15.75" x14ac:dyDescent="0.25">
      <c r="A39" s="113" t="s">
        <v>33</v>
      </c>
      <c r="B39" s="102">
        <v>44193</v>
      </c>
      <c r="C39" s="9" t="s">
        <v>556</v>
      </c>
      <c r="D39" s="25" t="s">
        <v>1122</v>
      </c>
      <c r="E39" s="30">
        <v>23</v>
      </c>
      <c r="F39" s="132">
        <v>1625</v>
      </c>
      <c r="G39" s="50">
        <f t="shared" si="4"/>
        <v>37375</v>
      </c>
      <c r="H39" s="103"/>
      <c r="I39" s="141"/>
      <c r="J39" s="104"/>
      <c r="K39" s="103"/>
      <c r="L39" s="103"/>
      <c r="M39" s="141">
        <f t="shared" si="0"/>
        <v>23</v>
      </c>
      <c r="N39" s="103"/>
      <c r="O39" s="103" t="s">
        <v>946</v>
      </c>
      <c r="P39" s="137">
        <f t="shared" si="3"/>
        <v>37375</v>
      </c>
    </row>
    <row r="40" spans="1:16" s="8" customFormat="1" ht="15.75" x14ac:dyDescent="0.25">
      <c r="A40" s="113" t="s">
        <v>34</v>
      </c>
      <c r="B40" s="102">
        <v>44193</v>
      </c>
      <c r="C40" s="9" t="s">
        <v>557</v>
      </c>
      <c r="D40" s="25" t="s">
        <v>1122</v>
      </c>
      <c r="E40" s="30">
        <v>0</v>
      </c>
      <c r="F40" s="132">
        <v>1625</v>
      </c>
      <c r="G40" s="50">
        <f t="shared" si="4"/>
        <v>0</v>
      </c>
      <c r="H40" s="103"/>
      <c r="I40" s="141"/>
      <c r="J40" s="104"/>
      <c r="K40" s="103"/>
      <c r="L40" s="103"/>
      <c r="M40" s="141">
        <f t="shared" si="0"/>
        <v>0</v>
      </c>
      <c r="N40" s="103"/>
      <c r="O40" s="103" t="s">
        <v>946</v>
      </c>
      <c r="P40" s="137">
        <f t="shared" si="3"/>
        <v>0</v>
      </c>
    </row>
    <row r="41" spans="1:16" s="105" customFormat="1" ht="15.75" x14ac:dyDescent="0.25">
      <c r="A41" s="113" t="s">
        <v>111</v>
      </c>
      <c r="B41" s="129">
        <v>44852</v>
      </c>
      <c r="C41" s="9" t="s">
        <v>558</v>
      </c>
      <c r="D41" s="25" t="s">
        <v>1122</v>
      </c>
      <c r="E41" s="30">
        <v>10</v>
      </c>
      <c r="F41" s="132">
        <v>26</v>
      </c>
      <c r="G41" s="50">
        <f t="shared" si="4"/>
        <v>260</v>
      </c>
      <c r="H41" s="107">
        <v>44852</v>
      </c>
      <c r="I41" s="141">
        <v>10</v>
      </c>
      <c r="J41" s="104">
        <v>26</v>
      </c>
      <c r="K41" s="108">
        <f>+I41*J41</f>
        <v>260</v>
      </c>
      <c r="L41" s="103">
        <v>1</v>
      </c>
      <c r="M41" s="141">
        <f t="shared" si="0"/>
        <v>19</v>
      </c>
      <c r="N41" s="103"/>
      <c r="O41" s="103" t="s">
        <v>947</v>
      </c>
      <c r="P41" s="137">
        <f>+F41*M41</f>
        <v>494</v>
      </c>
    </row>
    <row r="42" spans="1:16" s="8" customFormat="1" ht="15.75" x14ac:dyDescent="0.25">
      <c r="A42" s="113" t="s">
        <v>128</v>
      </c>
      <c r="B42" s="102">
        <v>44488</v>
      </c>
      <c r="C42" s="26" t="s">
        <v>560</v>
      </c>
      <c r="D42" s="25" t="s">
        <v>1122</v>
      </c>
      <c r="E42" s="55">
        <v>13</v>
      </c>
      <c r="F42" s="132">
        <v>40</v>
      </c>
      <c r="G42" s="50">
        <f t="shared" si="4"/>
        <v>520</v>
      </c>
      <c r="H42" s="103"/>
      <c r="I42" s="141"/>
      <c r="J42" s="104"/>
      <c r="K42" s="103"/>
      <c r="L42" s="103"/>
      <c r="M42" s="141">
        <f t="shared" si="0"/>
        <v>13</v>
      </c>
      <c r="N42" s="103"/>
      <c r="O42" s="103" t="s">
        <v>946</v>
      </c>
      <c r="P42" s="137">
        <f t="shared" si="3"/>
        <v>520</v>
      </c>
    </row>
    <row r="43" spans="1:16" s="8" customFormat="1" ht="15.75" x14ac:dyDescent="0.25">
      <c r="A43" s="113" t="s">
        <v>129</v>
      </c>
      <c r="B43" s="102">
        <v>44193</v>
      </c>
      <c r="C43" s="9" t="s">
        <v>772</v>
      </c>
      <c r="D43" s="25" t="s">
        <v>1122</v>
      </c>
      <c r="E43" s="30">
        <v>23</v>
      </c>
      <c r="F43" s="132">
        <v>2.4</v>
      </c>
      <c r="G43" s="50">
        <f t="shared" si="4"/>
        <v>55.199999999999996</v>
      </c>
      <c r="H43" s="103"/>
      <c r="I43" s="141"/>
      <c r="J43" s="104"/>
      <c r="K43" s="103"/>
      <c r="L43" s="103">
        <f>12+2</f>
        <v>14</v>
      </c>
      <c r="M43" s="141">
        <f t="shared" si="0"/>
        <v>9</v>
      </c>
      <c r="N43" s="103"/>
      <c r="O43" s="103" t="s">
        <v>947</v>
      </c>
      <c r="P43" s="137">
        <f t="shared" si="3"/>
        <v>21.599999999999998</v>
      </c>
    </row>
    <row r="44" spans="1:16" s="8" customFormat="1" ht="15.75" x14ac:dyDescent="0.25">
      <c r="A44" s="113" t="s">
        <v>130</v>
      </c>
      <c r="B44" s="102">
        <v>44193</v>
      </c>
      <c r="C44" s="26" t="s">
        <v>562</v>
      </c>
      <c r="D44" s="25" t="s">
        <v>1122</v>
      </c>
      <c r="E44" s="32">
        <v>0</v>
      </c>
      <c r="F44" s="132">
        <v>700</v>
      </c>
      <c r="G44" s="50">
        <f t="shared" si="4"/>
        <v>0</v>
      </c>
      <c r="H44" s="103"/>
      <c r="I44" s="141"/>
      <c r="J44" s="104"/>
      <c r="K44" s="103"/>
      <c r="L44" s="103"/>
      <c r="M44" s="141">
        <f t="shared" si="0"/>
        <v>0</v>
      </c>
      <c r="N44" s="103"/>
      <c r="O44" s="103" t="s">
        <v>946</v>
      </c>
      <c r="P44" s="137">
        <f t="shared" si="3"/>
        <v>0</v>
      </c>
    </row>
    <row r="45" spans="1:16" s="8" customFormat="1" ht="15.75" x14ac:dyDescent="0.25">
      <c r="A45" s="113" t="s">
        <v>35</v>
      </c>
      <c r="B45" s="102">
        <v>44193</v>
      </c>
      <c r="C45" s="9" t="s">
        <v>563</v>
      </c>
      <c r="D45" s="25" t="s">
        <v>1122</v>
      </c>
      <c r="E45" s="30">
        <v>1</v>
      </c>
      <c r="F45" s="132">
        <v>35</v>
      </c>
      <c r="G45" s="50">
        <f t="shared" si="4"/>
        <v>35</v>
      </c>
      <c r="H45" s="103"/>
      <c r="I45" s="141"/>
      <c r="J45" s="104"/>
      <c r="K45" s="103"/>
      <c r="L45" s="103"/>
      <c r="M45" s="141">
        <f t="shared" si="0"/>
        <v>1</v>
      </c>
      <c r="N45" s="103"/>
      <c r="O45" s="103" t="s">
        <v>947</v>
      </c>
      <c r="P45" s="137">
        <f t="shared" si="3"/>
        <v>35</v>
      </c>
    </row>
    <row r="46" spans="1:16" s="92" customFormat="1" x14ac:dyDescent="0.3">
      <c r="A46" s="113" t="s">
        <v>36</v>
      </c>
      <c r="B46" s="102">
        <v>44193</v>
      </c>
      <c r="C46" s="9" t="s">
        <v>564</v>
      </c>
      <c r="D46" s="25" t="s">
        <v>1122</v>
      </c>
      <c r="E46" s="30">
        <v>0</v>
      </c>
      <c r="F46" s="132">
        <v>2719</v>
      </c>
      <c r="G46" s="50">
        <f t="shared" si="4"/>
        <v>0</v>
      </c>
      <c r="H46" s="103"/>
      <c r="I46" s="141"/>
      <c r="J46" s="104"/>
      <c r="K46" s="103"/>
      <c r="L46" s="103"/>
      <c r="M46" s="141">
        <f t="shared" si="0"/>
        <v>0</v>
      </c>
      <c r="N46" s="103"/>
      <c r="O46" s="103" t="s">
        <v>945</v>
      </c>
      <c r="P46" s="137">
        <f t="shared" si="3"/>
        <v>0</v>
      </c>
    </row>
    <row r="47" spans="1:16" s="8" customFormat="1" ht="15.75" x14ac:dyDescent="0.25">
      <c r="A47" s="113" t="s">
        <v>37</v>
      </c>
      <c r="B47" s="102">
        <v>44193</v>
      </c>
      <c r="C47" s="26" t="s">
        <v>797</v>
      </c>
      <c r="D47" s="25" t="s">
        <v>1122</v>
      </c>
      <c r="E47" s="30">
        <v>2</v>
      </c>
      <c r="F47" s="132">
        <v>600</v>
      </c>
      <c r="G47" s="50">
        <f t="shared" si="4"/>
        <v>1200</v>
      </c>
      <c r="H47" s="103"/>
      <c r="I47" s="141"/>
      <c r="J47" s="104"/>
      <c r="K47" s="103"/>
      <c r="L47" s="103"/>
      <c r="M47" s="141">
        <f t="shared" si="0"/>
        <v>2</v>
      </c>
      <c r="N47" s="103"/>
      <c r="O47" s="103" t="s">
        <v>946</v>
      </c>
      <c r="P47" s="137">
        <f t="shared" si="3"/>
        <v>1200</v>
      </c>
    </row>
    <row r="48" spans="1:16" s="8" customFormat="1" ht="15.75" x14ac:dyDescent="0.25">
      <c r="A48" s="113" t="s">
        <v>38</v>
      </c>
      <c r="B48" s="102">
        <v>44678</v>
      </c>
      <c r="C48" s="26" t="s">
        <v>565</v>
      </c>
      <c r="D48" s="25" t="s">
        <v>1122</v>
      </c>
      <c r="E48" s="32">
        <v>5</v>
      </c>
      <c r="F48" s="132">
        <v>1400</v>
      </c>
      <c r="G48" s="50">
        <f t="shared" si="4"/>
        <v>7000</v>
      </c>
      <c r="H48" s="103"/>
      <c r="I48" s="141"/>
      <c r="J48" s="104"/>
      <c r="K48" s="103"/>
      <c r="L48" s="103"/>
      <c r="M48" s="141">
        <f t="shared" si="0"/>
        <v>5</v>
      </c>
      <c r="N48" s="103"/>
      <c r="O48" s="103" t="s">
        <v>946</v>
      </c>
      <c r="P48" s="137">
        <f t="shared" si="3"/>
        <v>7000</v>
      </c>
    </row>
    <row r="49" spans="1:16" s="8" customFormat="1" ht="15.75" x14ac:dyDescent="0.25">
      <c r="A49" s="113" t="s">
        <v>131</v>
      </c>
      <c r="B49" s="102">
        <v>44678</v>
      </c>
      <c r="C49" s="26" t="s">
        <v>567</v>
      </c>
      <c r="D49" s="25" t="s">
        <v>1122</v>
      </c>
      <c r="E49" s="32">
        <v>10</v>
      </c>
      <c r="F49" s="132">
        <v>500</v>
      </c>
      <c r="G49" s="50">
        <f t="shared" si="4"/>
        <v>5000</v>
      </c>
      <c r="H49" s="103"/>
      <c r="I49" s="141"/>
      <c r="J49" s="104"/>
      <c r="K49" s="103"/>
      <c r="L49" s="103"/>
      <c r="M49" s="141">
        <f t="shared" si="0"/>
        <v>10</v>
      </c>
      <c r="N49" s="103"/>
      <c r="O49" s="103" t="s">
        <v>946</v>
      </c>
      <c r="P49" s="137">
        <f t="shared" si="3"/>
        <v>5000</v>
      </c>
    </row>
    <row r="50" spans="1:16" s="8" customFormat="1" ht="15.75" x14ac:dyDescent="0.25">
      <c r="A50" s="113" t="s">
        <v>39</v>
      </c>
      <c r="B50" s="102">
        <v>44678</v>
      </c>
      <c r="C50" s="26" t="s">
        <v>568</v>
      </c>
      <c r="D50" s="25" t="s">
        <v>1122</v>
      </c>
      <c r="E50" s="32">
        <v>6</v>
      </c>
      <c r="F50" s="132">
        <v>5000</v>
      </c>
      <c r="G50" s="50">
        <f t="shared" si="4"/>
        <v>30000</v>
      </c>
      <c r="H50" s="103"/>
      <c r="I50" s="141"/>
      <c r="J50" s="104"/>
      <c r="K50" s="103"/>
      <c r="L50" s="103"/>
      <c r="M50" s="141">
        <f t="shared" si="0"/>
        <v>6</v>
      </c>
      <c r="N50" s="103"/>
      <c r="O50" s="103" t="s">
        <v>946</v>
      </c>
      <c r="P50" s="137">
        <f t="shared" si="3"/>
        <v>30000</v>
      </c>
    </row>
    <row r="51" spans="1:16" s="8" customFormat="1" ht="15.75" x14ac:dyDescent="0.25">
      <c r="A51" s="113" t="s">
        <v>40</v>
      </c>
      <c r="B51" s="102">
        <v>44193</v>
      </c>
      <c r="C51" s="26" t="s">
        <v>803</v>
      </c>
      <c r="D51" s="25" t="s">
        <v>1122</v>
      </c>
      <c r="E51" s="32">
        <v>6</v>
      </c>
      <c r="F51" s="132">
        <v>2600</v>
      </c>
      <c r="G51" s="50">
        <f t="shared" si="4"/>
        <v>15600</v>
      </c>
      <c r="H51" s="103"/>
      <c r="I51" s="141"/>
      <c r="J51" s="104"/>
      <c r="K51" s="103"/>
      <c r="L51" s="103"/>
      <c r="M51" s="141">
        <f t="shared" si="0"/>
        <v>6</v>
      </c>
      <c r="N51" s="103"/>
      <c r="O51" s="103" t="s">
        <v>946</v>
      </c>
      <c r="P51" s="137">
        <f t="shared" si="3"/>
        <v>15600</v>
      </c>
    </row>
    <row r="52" spans="1:16" s="92" customFormat="1" x14ac:dyDescent="0.3">
      <c r="A52" s="113" t="s">
        <v>132</v>
      </c>
      <c r="B52" s="102">
        <v>44193</v>
      </c>
      <c r="C52" s="25" t="s">
        <v>773</v>
      </c>
      <c r="D52" s="25" t="s">
        <v>1122</v>
      </c>
      <c r="E52" s="14">
        <v>2</v>
      </c>
      <c r="F52" s="132">
        <v>325</v>
      </c>
      <c r="G52" s="50">
        <f t="shared" si="4"/>
        <v>650</v>
      </c>
      <c r="H52" s="103"/>
      <c r="I52" s="141"/>
      <c r="J52" s="104"/>
      <c r="K52" s="103"/>
      <c r="L52" s="103">
        <v>2</v>
      </c>
      <c r="M52" s="141">
        <f t="shared" si="0"/>
        <v>0</v>
      </c>
      <c r="N52" s="103"/>
      <c r="O52" s="103" t="s">
        <v>945</v>
      </c>
      <c r="P52" s="137">
        <f t="shared" si="3"/>
        <v>0</v>
      </c>
    </row>
    <row r="53" spans="1:16" s="92" customFormat="1" x14ac:dyDescent="0.3">
      <c r="A53" s="113" t="s">
        <v>41</v>
      </c>
      <c r="B53" s="102">
        <v>44193</v>
      </c>
      <c r="C53" s="25" t="s">
        <v>570</v>
      </c>
      <c r="D53" s="25" t="s">
        <v>1122</v>
      </c>
      <c r="E53" s="14">
        <f>(43*3)+1</f>
        <v>130</v>
      </c>
      <c r="F53" s="132">
        <v>25</v>
      </c>
      <c r="G53" s="50">
        <f t="shared" si="4"/>
        <v>3250</v>
      </c>
      <c r="H53" s="103"/>
      <c r="I53" s="141"/>
      <c r="J53" s="104"/>
      <c r="K53" s="103"/>
      <c r="L53" s="103">
        <f>1+3+1+5</f>
        <v>10</v>
      </c>
      <c r="M53" s="141">
        <f t="shared" si="0"/>
        <v>120</v>
      </c>
      <c r="N53" s="103"/>
      <c r="O53" s="103" t="s">
        <v>945</v>
      </c>
      <c r="P53" s="137">
        <f t="shared" si="3"/>
        <v>3000</v>
      </c>
    </row>
    <row r="54" spans="1:16" s="92" customFormat="1" x14ac:dyDescent="0.3">
      <c r="A54" s="113" t="s">
        <v>133</v>
      </c>
      <c r="B54" s="107">
        <v>45019</v>
      </c>
      <c r="C54" s="25" t="s">
        <v>1190</v>
      </c>
      <c r="D54" s="25" t="s">
        <v>1122</v>
      </c>
      <c r="E54" s="14">
        <v>276</v>
      </c>
      <c r="F54" s="132">
        <v>122.19</v>
      </c>
      <c r="G54" s="50">
        <f t="shared" si="4"/>
        <v>33724.44</v>
      </c>
      <c r="H54" s="107">
        <v>45019</v>
      </c>
      <c r="I54" s="141">
        <v>300</v>
      </c>
      <c r="J54" s="104">
        <v>122.19</v>
      </c>
      <c r="K54" s="104">
        <f>+I54*J54</f>
        <v>36657</v>
      </c>
      <c r="L54" s="103"/>
      <c r="M54" s="141">
        <f t="shared" si="0"/>
        <v>576</v>
      </c>
      <c r="N54" s="103"/>
      <c r="O54" s="103" t="s">
        <v>945</v>
      </c>
      <c r="P54" s="137">
        <f t="shared" si="3"/>
        <v>70381.440000000002</v>
      </c>
    </row>
    <row r="55" spans="1:16" s="8" customFormat="1" ht="15.75" x14ac:dyDescent="0.25">
      <c r="A55" s="113" t="s">
        <v>134</v>
      </c>
      <c r="B55" s="107">
        <v>44851</v>
      </c>
      <c r="C55" s="26" t="s">
        <v>572</v>
      </c>
      <c r="D55" s="25" t="s">
        <v>1122</v>
      </c>
      <c r="E55" s="32"/>
      <c r="F55" s="133">
        <v>107.97</v>
      </c>
      <c r="G55" s="50">
        <f t="shared" si="4"/>
        <v>0</v>
      </c>
      <c r="H55" s="107">
        <v>44851</v>
      </c>
      <c r="I55" s="141">
        <v>30</v>
      </c>
      <c r="J55" s="104">
        <v>107.97</v>
      </c>
      <c r="K55" s="104">
        <f>+I55*J55</f>
        <v>3239.1</v>
      </c>
      <c r="L55" s="103">
        <f>2+1+1</f>
        <v>4</v>
      </c>
      <c r="M55" s="141">
        <f t="shared" si="0"/>
        <v>26</v>
      </c>
      <c r="N55" s="103"/>
      <c r="O55" s="103" t="s">
        <v>946</v>
      </c>
      <c r="P55" s="137">
        <f>+F55*M55</f>
        <v>2807.22</v>
      </c>
    </row>
    <row r="56" spans="1:16" s="8" customFormat="1" ht="15.75" x14ac:dyDescent="0.25">
      <c r="A56" s="113" t="s">
        <v>42</v>
      </c>
      <c r="B56" s="102">
        <v>44193</v>
      </c>
      <c r="C56" s="26" t="s">
        <v>573</v>
      </c>
      <c r="D56" s="25" t="s">
        <v>1122</v>
      </c>
      <c r="E56" s="32"/>
      <c r="F56" s="132">
        <v>169.49</v>
      </c>
      <c r="G56" s="50">
        <f t="shared" si="4"/>
        <v>0</v>
      </c>
      <c r="H56" s="103"/>
      <c r="I56" s="141"/>
      <c r="J56" s="104"/>
      <c r="K56" s="103">
        <f t="shared" ref="K56:K65" si="5">+I56*J56</f>
        <v>0</v>
      </c>
      <c r="L56" s="103"/>
      <c r="M56" s="141">
        <f t="shared" si="0"/>
        <v>0</v>
      </c>
      <c r="N56" s="103"/>
      <c r="O56" s="103" t="s">
        <v>946</v>
      </c>
      <c r="P56" s="137">
        <f t="shared" si="3"/>
        <v>0</v>
      </c>
    </row>
    <row r="57" spans="1:16" s="8" customFormat="1" ht="15.75" x14ac:dyDescent="0.25">
      <c r="A57" s="113" t="s">
        <v>109</v>
      </c>
      <c r="B57" s="102">
        <v>44193</v>
      </c>
      <c r="C57" s="25" t="s">
        <v>574</v>
      </c>
      <c r="D57" s="25" t="s">
        <v>1122</v>
      </c>
      <c r="E57" s="14"/>
      <c r="F57" s="132">
        <v>76.27</v>
      </c>
      <c r="G57" s="50">
        <f t="shared" si="4"/>
        <v>0</v>
      </c>
      <c r="H57" s="103"/>
      <c r="I57" s="141"/>
      <c r="J57" s="104"/>
      <c r="K57" s="103">
        <f t="shared" si="5"/>
        <v>0</v>
      </c>
      <c r="L57" s="103"/>
      <c r="M57" s="141">
        <f t="shared" si="0"/>
        <v>0</v>
      </c>
      <c r="N57" s="103"/>
      <c r="O57" s="103" t="s">
        <v>946</v>
      </c>
      <c r="P57" s="137">
        <f t="shared" si="3"/>
        <v>0</v>
      </c>
    </row>
    <row r="58" spans="1:16" s="8" customFormat="1" ht="15.75" x14ac:dyDescent="0.25">
      <c r="A58" s="113" t="s">
        <v>135</v>
      </c>
      <c r="B58" s="102">
        <v>44193</v>
      </c>
      <c r="C58" s="25" t="s">
        <v>575</v>
      </c>
      <c r="D58" s="25" t="s">
        <v>1122</v>
      </c>
      <c r="E58" s="14"/>
      <c r="F58" s="132">
        <v>93.22</v>
      </c>
      <c r="G58" s="50">
        <f t="shared" si="4"/>
        <v>0</v>
      </c>
      <c r="H58" s="103"/>
      <c r="I58" s="141"/>
      <c r="J58" s="104"/>
      <c r="K58" s="103">
        <f t="shared" si="5"/>
        <v>0</v>
      </c>
      <c r="L58" s="103"/>
      <c r="M58" s="141">
        <f t="shared" si="0"/>
        <v>0</v>
      </c>
      <c r="N58" s="103"/>
      <c r="O58" s="103" t="s">
        <v>946</v>
      </c>
      <c r="P58" s="137">
        <f t="shared" si="3"/>
        <v>0</v>
      </c>
    </row>
    <row r="59" spans="1:16" s="8" customFormat="1" ht="15.75" x14ac:dyDescent="0.25">
      <c r="A59" s="113" t="s">
        <v>43</v>
      </c>
      <c r="B59" s="107">
        <v>44851</v>
      </c>
      <c r="C59" s="26" t="s">
        <v>576</v>
      </c>
      <c r="D59" s="25" t="s">
        <v>1122</v>
      </c>
      <c r="E59" s="32"/>
      <c r="F59" s="132">
        <v>171.69</v>
      </c>
      <c r="G59" s="50">
        <f t="shared" si="4"/>
        <v>0</v>
      </c>
      <c r="H59" s="107">
        <v>44851</v>
      </c>
      <c r="I59" s="141">
        <v>30</v>
      </c>
      <c r="J59" s="104">
        <v>171.69</v>
      </c>
      <c r="K59" s="104">
        <f t="shared" si="5"/>
        <v>5150.7</v>
      </c>
      <c r="L59" s="103">
        <v>2</v>
      </c>
      <c r="M59" s="141">
        <f t="shared" si="0"/>
        <v>28</v>
      </c>
      <c r="N59" s="103"/>
      <c r="O59" s="103" t="s">
        <v>946</v>
      </c>
      <c r="P59" s="137">
        <f t="shared" si="3"/>
        <v>4807.32</v>
      </c>
    </row>
    <row r="60" spans="1:16" s="8" customFormat="1" ht="15.75" x14ac:dyDescent="0.25">
      <c r="A60" s="113" t="s">
        <v>45</v>
      </c>
      <c r="B60" s="102">
        <v>44453</v>
      </c>
      <c r="C60" s="9" t="s">
        <v>577</v>
      </c>
      <c r="D60" s="25" t="s">
        <v>1122</v>
      </c>
      <c r="E60" s="48">
        <v>0</v>
      </c>
      <c r="F60" s="132">
        <v>3000</v>
      </c>
      <c r="G60" s="50">
        <f t="shared" si="4"/>
        <v>0</v>
      </c>
      <c r="H60" s="103"/>
      <c r="I60" s="141"/>
      <c r="J60" s="104"/>
      <c r="K60" s="103">
        <f t="shared" si="5"/>
        <v>0</v>
      </c>
      <c r="L60" s="103"/>
      <c r="M60" s="141">
        <f t="shared" si="0"/>
        <v>0</v>
      </c>
      <c r="N60" s="103"/>
      <c r="O60" s="103" t="s">
        <v>946</v>
      </c>
      <c r="P60" s="137">
        <f t="shared" si="3"/>
        <v>0</v>
      </c>
    </row>
    <row r="61" spans="1:16" s="8" customFormat="1" ht="15.75" x14ac:dyDescent="0.25">
      <c r="A61" s="113" t="s">
        <v>46</v>
      </c>
      <c r="B61" s="102">
        <v>44193</v>
      </c>
      <c r="C61" s="26" t="s">
        <v>578</v>
      </c>
      <c r="D61" s="25" t="s">
        <v>1122</v>
      </c>
      <c r="E61" s="32">
        <v>0</v>
      </c>
      <c r="F61" s="132">
        <v>63.56</v>
      </c>
      <c r="G61" s="50">
        <f t="shared" si="4"/>
        <v>0</v>
      </c>
      <c r="H61" s="103"/>
      <c r="I61" s="141"/>
      <c r="J61" s="104"/>
      <c r="K61" s="103">
        <f t="shared" si="5"/>
        <v>0</v>
      </c>
      <c r="L61" s="103"/>
      <c r="M61" s="141">
        <f t="shared" si="0"/>
        <v>0</v>
      </c>
      <c r="N61" s="103"/>
      <c r="O61" s="103" t="s">
        <v>946</v>
      </c>
      <c r="P61" s="137">
        <f t="shared" si="3"/>
        <v>0</v>
      </c>
    </row>
    <row r="62" spans="1:16" s="8" customFormat="1" ht="15.75" x14ac:dyDescent="0.25">
      <c r="A62" s="113" t="s">
        <v>47</v>
      </c>
      <c r="B62" s="102">
        <v>44193</v>
      </c>
      <c r="C62" s="26" t="s">
        <v>819</v>
      </c>
      <c r="D62" s="25" t="s">
        <v>1122</v>
      </c>
      <c r="E62" s="32">
        <v>2</v>
      </c>
      <c r="F62" s="132"/>
      <c r="G62" s="50"/>
      <c r="H62" s="103"/>
      <c r="I62" s="141"/>
      <c r="J62" s="104"/>
      <c r="K62" s="103">
        <f t="shared" si="5"/>
        <v>0</v>
      </c>
      <c r="L62" s="103"/>
      <c r="M62" s="141">
        <f t="shared" si="0"/>
        <v>2</v>
      </c>
      <c r="N62" s="103"/>
      <c r="O62" s="103" t="s">
        <v>946</v>
      </c>
      <c r="P62" s="137">
        <f t="shared" si="3"/>
        <v>0</v>
      </c>
    </row>
    <row r="63" spans="1:16" s="8" customFormat="1" ht="15.75" x14ac:dyDescent="0.25">
      <c r="A63" s="113" t="s">
        <v>48</v>
      </c>
      <c r="B63" s="102">
        <v>44193</v>
      </c>
      <c r="C63" s="26" t="s">
        <v>817</v>
      </c>
      <c r="D63" s="25" t="s">
        <v>1122</v>
      </c>
      <c r="E63" s="32">
        <v>7</v>
      </c>
      <c r="F63" s="132"/>
      <c r="G63" s="50"/>
      <c r="H63" s="103"/>
      <c r="I63" s="141"/>
      <c r="J63" s="104"/>
      <c r="K63" s="103">
        <f t="shared" si="5"/>
        <v>0</v>
      </c>
      <c r="L63" s="103"/>
      <c r="M63" s="141">
        <f t="shared" si="0"/>
        <v>7</v>
      </c>
      <c r="N63" s="103"/>
      <c r="O63" s="103" t="s">
        <v>946</v>
      </c>
      <c r="P63" s="137">
        <f t="shared" si="3"/>
        <v>0</v>
      </c>
    </row>
    <row r="64" spans="1:16" s="8" customFormat="1" ht="15.75" x14ac:dyDescent="0.25">
      <c r="A64" s="113" t="s">
        <v>49</v>
      </c>
      <c r="B64" s="102">
        <v>44193</v>
      </c>
      <c r="C64" s="26" t="s">
        <v>818</v>
      </c>
      <c r="D64" s="25" t="s">
        <v>1122</v>
      </c>
      <c r="E64" s="32">
        <v>8</v>
      </c>
      <c r="F64" s="132"/>
      <c r="G64" s="50"/>
      <c r="H64" s="103"/>
      <c r="I64" s="141"/>
      <c r="J64" s="104"/>
      <c r="K64" s="103">
        <f t="shared" si="5"/>
        <v>0</v>
      </c>
      <c r="L64" s="103"/>
      <c r="M64" s="141">
        <f t="shared" si="0"/>
        <v>8</v>
      </c>
      <c r="N64" s="103"/>
      <c r="O64" s="103" t="s">
        <v>946</v>
      </c>
      <c r="P64" s="137">
        <f t="shared" si="3"/>
        <v>0</v>
      </c>
    </row>
    <row r="65" spans="1:16" s="8" customFormat="1" ht="15.75" x14ac:dyDescent="0.25">
      <c r="A65" s="113" t="s">
        <v>50</v>
      </c>
      <c r="B65" s="106" t="s">
        <v>116</v>
      </c>
      <c r="C65" s="25" t="s">
        <v>720</v>
      </c>
      <c r="D65" s="25" t="s">
        <v>1122</v>
      </c>
      <c r="E65" s="32">
        <v>1</v>
      </c>
      <c r="F65" s="133">
        <v>3000</v>
      </c>
      <c r="G65" s="50">
        <f>E65*F65</f>
        <v>3000</v>
      </c>
      <c r="H65" s="103"/>
      <c r="I65" s="141"/>
      <c r="J65" s="104"/>
      <c r="K65" s="103">
        <f t="shared" si="5"/>
        <v>0</v>
      </c>
      <c r="L65" s="103">
        <v>2</v>
      </c>
      <c r="M65" s="141">
        <f t="shared" si="0"/>
        <v>-1</v>
      </c>
      <c r="N65" s="103"/>
      <c r="O65" s="103" t="s">
        <v>947</v>
      </c>
      <c r="P65" s="137">
        <f t="shared" si="3"/>
        <v>-3000</v>
      </c>
    </row>
    <row r="66" spans="1:16" s="8" customFormat="1" ht="15.75" x14ac:dyDescent="0.25">
      <c r="A66" s="113" t="s">
        <v>51</v>
      </c>
      <c r="B66" s="102">
        <v>44193</v>
      </c>
      <c r="C66" s="26" t="s">
        <v>579</v>
      </c>
      <c r="D66" s="25" t="s">
        <v>1122</v>
      </c>
      <c r="E66" s="32">
        <v>0</v>
      </c>
      <c r="F66" s="132">
        <v>35</v>
      </c>
      <c r="G66" s="50">
        <f t="shared" ref="G66:G87" si="6">E66*F66</f>
        <v>0</v>
      </c>
      <c r="H66" s="103"/>
      <c r="I66" s="141"/>
      <c r="J66" s="104"/>
      <c r="K66" s="103"/>
      <c r="L66" s="103"/>
      <c r="M66" s="141">
        <f t="shared" si="0"/>
        <v>0</v>
      </c>
      <c r="N66" s="103"/>
      <c r="O66" s="103" t="s">
        <v>946</v>
      </c>
      <c r="P66" s="137">
        <f t="shared" si="3"/>
        <v>0</v>
      </c>
    </row>
    <row r="67" spans="1:16" s="8" customFormat="1" ht="15.75" x14ac:dyDescent="0.25">
      <c r="A67" s="113" t="s">
        <v>52</v>
      </c>
      <c r="B67" s="102">
        <v>44193</v>
      </c>
      <c r="C67" s="25" t="s">
        <v>794</v>
      </c>
      <c r="D67" s="25" t="s">
        <v>1122</v>
      </c>
      <c r="E67" s="38">
        <v>1</v>
      </c>
      <c r="F67" s="132">
        <v>97.96</v>
      </c>
      <c r="G67" s="50">
        <f t="shared" si="6"/>
        <v>97.96</v>
      </c>
      <c r="H67" s="103"/>
      <c r="I67" s="141"/>
      <c r="J67" s="104"/>
      <c r="K67" s="103"/>
      <c r="L67" s="103"/>
      <c r="M67" s="141">
        <f t="shared" si="0"/>
        <v>1</v>
      </c>
      <c r="N67" s="103"/>
      <c r="O67" s="103" t="s">
        <v>946</v>
      </c>
      <c r="P67" s="137">
        <f t="shared" si="3"/>
        <v>97.96</v>
      </c>
    </row>
    <row r="68" spans="1:16" s="8" customFormat="1" ht="15.75" x14ac:dyDescent="0.25">
      <c r="A68" s="113" t="s">
        <v>53</v>
      </c>
      <c r="B68" s="102">
        <v>44193</v>
      </c>
      <c r="C68" s="9" t="s">
        <v>580</v>
      </c>
      <c r="D68" s="25" t="s">
        <v>1122</v>
      </c>
      <c r="E68" s="58">
        <v>22</v>
      </c>
      <c r="F68" s="132">
        <v>18</v>
      </c>
      <c r="G68" s="50">
        <f t="shared" si="6"/>
        <v>396</v>
      </c>
      <c r="H68" s="103"/>
      <c r="I68" s="141"/>
      <c r="J68" s="104"/>
      <c r="K68" s="103"/>
      <c r="L68" s="103"/>
      <c r="M68" s="141">
        <f t="shared" si="0"/>
        <v>22</v>
      </c>
      <c r="N68" s="103"/>
      <c r="O68" s="103" t="s">
        <v>947</v>
      </c>
      <c r="P68" s="137">
        <f t="shared" si="3"/>
        <v>396</v>
      </c>
    </row>
    <row r="69" spans="1:16" s="8" customFormat="1" ht="15.75" x14ac:dyDescent="0.25">
      <c r="A69" s="113" t="s">
        <v>44</v>
      </c>
      <c r="B69" s="102">
        <v>44193</v>
      </c>
      <c r="C69" s="9" t="s">
        <v>581</v>
      </c>
      <c r="D69" s="25" t="s">
        <v>1122</v>
      </c>
      <c r="E69" s="48">
        <v>0</v>
      </c>
      <c r="F69" s="132">
        <v>114</v>
      </c>
      <c r="G69" s="50">
        <f t="shared" si="6"/>
        <v>0</v>
      </c>
      <c r="H69" s="103"/>
      <c r="I69" s="141"/>
      <c r="J69" s="104"/>
      <c r="K69" s="103"/>
      <c r="L69" s="103"/>
      <c r="M69" s="141">
        <f t="shared" si="0"/>
        <v>0</v>
      </c>
      <c r="N69" s="103"/>
      <c r="O69" s="103" t="s">
        <v>947</v>
      </c>
      <c r="P69" s="137">
        <f t="shared" si="3"/>
        <v>0</v>
      </c>
    </row>
    <row r="70" spans="1:16" s="8" customFormat="1" ht="15.75" x14ac:dyDescent="0.25">
      <c r="A70" s="113" t="s">
        <v>113</v>
      </c>
      <c r="B70" s="102">
        <v>44193</v>
      </c>
      <c r="C70" s="9" t="s">
        <v>582</v>
      </c>
      <c r="D70" s="25" t="s">
        <v>1122</v>
      </c>
      <c r="E70" s="48">
        <v>50</v>
      </c>
      <c r="F70" s="132">
        <v>150</v>
      </c>
      <c r="G70" s="50">
        <f t="shared" si="6"/>
        <v>7500</v>
      </c>
      <c r="H70" s="103"/>
      <c r="I70" s="141"/>
      <c r="J70" s="104"/>
      <c r="K70" s="103"/>
      <c r="L70" s="103"/>
      <c r="M70" s="141">
        <f t="shared" si="0"/>
        <v>50</v>
      </c>
      <c r="N70" s="103"/>
      <c r="O70" s="103" t="s">
        <v>947</v>
      </c>
      <c r="P70" s="137">
        <f t="shared" si="3"/>
        <v>7500</v>
      </c>
    </row>
    <row r="71" spans="1:16" s="8" customFormat="1" ht="15.75" x14ac:dyDescent="0.25">
      <c r="A71" s="113" t="s">
        <v>136</v>
      </c>
      <c r="B71" s="102">
        <v>44193</v>
      </c>
      <c r="C71" s="26" t="s">
        <v>583</v>
      </c>
      <c r="D71" s="25" t="s">
        <v>1122</v>
      </c>
      <c r="E71" s="14">
        <v>0</v>
      </c>
      <c r="F71" s="132">
        <v>105.93</v>
      </c>
      <c r="G71" s="50">
        <f t="shared" si="6"/>
        <v>0</v>
      </c>
      <c r="H71" s="103"/>
      <c r="I71" s="141"/>
      <c r="J71" s="104"/>
      <c r="K71" s="103"/>
      <c r="L71" s="103"/>
      <c r="M71" s="141">
        <f t="shared" si="0"/>
        <v>0</v>
      </c>
      <c r="N71" s="103"/>
      <c r="O71" s="103" t="s">
        <v>946</v>
      </c>
      <c r="P71" s="137">
        <f t="shared" si="3"/>
        <v>0</v>
      </c>
    </row>
    <row r="72" spans="1:16" s="8" customFormat="1" ht="15.75" x14ac:dyDescent="0.25">
      <c r="A72" s="113" t="s">
        <v>137</v>
      </c>
      <c r="B72" s="102">
        <v>44193</v>
      </c>
      <c r="C72" s="26" t="s">
        <v>584</v>
      </c>
      <c r="D72" s="25" t="s">
        <v>1122</v>
      </c>
      <c r="E72" s="14">
        <v>1</v>
      </c>
      <c r="F72" s="132">
        <v>762.71</v>
      </c>
      <c r="G72" s="50">
        <f t="shared" si="6"/>
        <v>762.71</v>
      </c>
      <c r="H72" s="103"/>
      <c r="I72" s="141"/>
      <c r="J72" s="104"/>
      <c r="K72" s="103"/>
      <c r="L72" s="103"/>
      <c r="M72" s="141">
        <f t="shared" si="0"/>
        <v>1</v>
      </c>
      <c r="N72" s="103"/>
      <c r="O72" s="103" t="s">
        <v>946</v>
      </c>
      <c r="P72" s="137">
        <f t="shared" si="3"/>
        <v>762.71</v>
      </c>
    </row>
    <row r="73" spans="1:16" s="8" customFormat="1" ht="15.75" x14ac:dyDescent="0.25">
      <c r="A73" s="113" t="s">
        <v>138</v>
      </c>
      <c r="B73" s="102">
        <v>44193</v>
      </c>
      <c r="C73" s="26" t="s">
        <v>585</v>
      </c>
      <c r="D73" s="25" t="s">
        <v>1122</v>
      </c>
      <c r="E73" s="14">
        <v>0</v>
      </c>
      <c r="F73" s="132">
        <v>338.98</v>
      </c>
      <c r="G73" s="50">
        <f t="shared" si="6"/>
        <v>0</v>
      </c>
      <c r="H73" s="103"/>
      <c r="I73" s="141"/>
      <c r="J73" s="104"/>
      <c r="K73" s="103"/>
      <c r="L73" s="103"/>
      <c r="M73" s="141">
        <f t="shared" ref="M73:M74" si="7">+E73+I73-L73</f>
        <v>0</v>
      </c>
      <c r="N73" s="103"/>
      <c r="O73" s="103" t="s">
        <v>946</v>
      </c>
      <c r="P73" s="137">
        <f t="shared" si="3"/>
        <v>0</v>
      </c>
    </row>
    <row r="74" spans="1:16" s="8" customFormat="1" ht="15.75" x14ac:dyDescent="0.25">
      <c r="A74" s="113" t="s">
        <v>54</v>
      </c>
      <c r="B74" s="102">
        <v>44193</v>
      </c>
      <c r="C74" s="9" t="s">
        <v>586</v>
      </c>
      <c r="D74" s="25" t="s">
        <v>1122</v>
      </c>
      <c r="E74" s="30">
        <v>8</v>
      </c>
      <c r="F74" s="132">
        <v>17.07</v>
      </c>
      <c r="G74" s="50">
        <f t="shared" si="6"/>
        <v>136.56</v>
      </c>
      <c r="H74" s="103"/>
      <c r="I74" s="141"/>
      <c r="J74" s="104"/>
      <c r="K74" s="103"/>
      <c r="L74" s="103"/>
      <c r="M74" s="141">
        <f t="shared" si="7"/>
        <v>8</v>
      </c>
      <c r="N74" s="103"/>
      <c r="O74" s="103" t="s">
        <v>947</v>
      </c>
      <c r="P74" s="137">
        <f t="shared" si="3"/>
        <v>136.56</v>
      </c>
    </row>
    <row r="75" spans="1:16" s="92" customFormat="1" x14ac:dyDescent="0.3">
      <c r="A75" s="113" t="s">
        <v>55</v>
      </c>
      <c r="B75" s="107">
        <v>45019</v>
      </c>
      <c r="C75" s="26" t="s">
        <v>587</v>
      </c>
      <c r="D75" s="25" t="s">
        <v>1122</v>
      </c>
      <c r="E75" s="30">
        <v>129</v>
      </c>
      <c r="F75" s="132">
        <v>172.08</v>
      </c>
      <c r="G75" s="50">
        <f t="shared" si="6"/>
        <v>22198.320000000003</v>
      </c>
      <c r="H75" s="107">
        <v>45019</v>
      </c>
      <c r="I75" s="141">
        <f>6*4</f>
        <v>24</v>
      </c>
      <c r="J75" s="104">
        <v>172.08</v>
      </c>
      <c r="K75" s="108">
        <f>+I75*J75</f>
        <v>4129.92</v>
      </c>
      <c r="L75" s="103">
        <f>22+2</f>
        <v>24</v>
      </c>
      <c r="M75" s="141">
        <f>+E75+I75-L75</f>
        <v>129</v>
      </c>
      <c r="N75" s="103"/>
      <c r="O75" s="103" t="s">
        <v>945</v>
      </c>
      <c r="P75" s="137">
        <f t="shared" si="3"/>
        <v>22198.320000000003</v>
      </c>
    </row>
    <row r="76" spans="1:16" s="92" customFormat="1" x14ac:dyDescent="0.3">
      <c r="A76" s="113" t="s">
        <v>56</v>
      </c>
      <c r="B76" s="106" t="s">
        <v>106</v>
      </c>
      <c r="C76" s="26" t="s">
        <v>774</v>
      </c>
      <c r="D76" s="25" t="s">
        <v>1122</v>
      </c>
      <c r="E76" s="30">
        <v>67</v>
      </c>
      <c r="F76" s="133">
        <v>50</v>
      </c>
      <c r="G76" s="50">
        <f t="shared" si="6"/>
        <v>3350</v>
      </c>
      <c r="H76" s="103"/>
      <c r="I76" s="141"/>
      <c r="J76" s="104"/>
      <c r="K76" s="103"/>
      <c r="L76" s="103">
        <f>2+4+1+2+1+2+1+1+1</f>
        <v>15</v>
      </c>
      <c r="M76" s="141">
        <f t="shared" ref="M76:M82" si="8">+E76+I76-L76</f>
        <v>52</v>
      </c>
      <c r="N76" s="103"/>
      <c r="O76" s="103" t="s">
        <v>945</v>
      </c>
      <c r="P76" s="137">
        <f t="shared" si="3"/>
        <v>2600</v>
      </c>
    </row>
    <row r="77" spans="1:16" s="92" customFormat="1" x14ac:dyDescent="0.3">
      <c r="A77" s="113" t="s">
        <v>100</v>
      </c>
      <c r="B77" s="102">
        <v>44488</v>
      </c>
      <c r="C77" s="26" t="s">
        <v>589</v>
      </c>
      <c r="D77" s="25" t="s">
        <v>1122</v>
      </c>
      <c r="E77" s="30">
        <v>3</v>
      </c>
      <c r="F77" s="132">
        <v>2200</v>
      </c>
      <c r="G77" s="50">
        <f t="shared" si="6"/>
        <v>6600</v>
      </c>
      <c r="H77" s="103"/>
      <c r="I77" s="141"/>
      <c r="J77" s="104"/>
      <c r="K77" s="103"/>
      <c r="L77" s="103"/>
      <c r="M77" s="141">
        <f t="shared" si="8"/>
        <v>3</v>
      </c>
      <c r="N77" s="103"/>
      <c r="O77" s="103" t="s">
        <v>945</v>
      </c>
      <c r="P77" s="137">
        <f t="shared" si="3"/>
        <v>6600</v>
      </c>
    </row>
    <row r="78" spans="1:16" s="8" customFormat="1" ht="15.75" x14ac:dyDescent="0.25">
      <c r="A78" s="113" t="s">
        <v>57</v>
      </c>
      <c r="B78" s="102">
        <v>44193</v>
      </c>
      <c r="C78" s="9" t="s">
        <v>590</v>
      </c>
      <c r="D78" s="25" t="s">
        <v>1122</v>
      </c>
      <c r="E78" s="30">
        <v>0</v>
      </c>
      <c r="F78" s="132">
        <v>402.54</v>
      </c>
      <c r="G78" s="50">
        <f t="shared" si="6"/>
        <v>0</v>
      </c>
      <c r="H78" s="103"/>
      <c r="I78" s="141"/>
      <c r="J78" s="104"/>
      <c r="K78" s="103"/>
      <c r="L78" s="103"/>
      <c r="M78" s="141">
        <f t="shared" si="8"/>
        <v>0</v>
      </c>
      <c r="N78" s="103"/>
      <c r="O78" s="103" t="s">
        <v>946</v>
      </c>
      <c r="P78" s="137">
        <f t="shared" si="3"/>
        <v>0</v>
      </c>
    </row>
    <row r="79" spans="1:16" s="8" customFormat="1" ht="15.75" x14ac:dyDescent="0.25">
      <c r="A79" s="113" t="s">
        <v>139</v>
      </c>
      <c r="B79" s="102">
        <v>44193</v>
      </c>
      <c r="C79" s="9" t="s">
        <v>591</v>
      </c>
      <c r="D79" s="25" t="s">
        <v>1122</v>
      </c>
      <c r="E79" s="30">
        <v>11</v>
      </c>
      <c r="F79" s="132">
        <v>37.74</v>
      </c>
      <c r="G79" s="50">
        <f t="shared" si="6"/>
        <v>415.14000000000004</v>
      </c>
      <c r="H79" s="103"/>
      <c r="I79" s="141"/>
      <c r="J79" s="104"/>
      <c r="K79" s="103"/>
      <c r="L79" s="103"/>
      <c r="M79" s="141">
        <f t="shared" si="8"/>
        <v>11</v>
      </c>
      <c r="N79" s="103"/>
      <c r="O79" s="103" t="s">
        <v>946</v>
      </c>
      <c r="P79" s="137">
        <f t="shared" si="3"/>
        <v>415.14000000000004</v>
      </c>
    </row>
    <row r="80" spans="1:16" s="105" customFormat="1" ht="15.75" x14ac:dyDescent="0.25">
      <c r="A80" s="113" t="s">
        <v>140</v>
      </c>
      <c r="B80" s="107">
        <v>44883</v>
      </c>
      <c r="C80" s="9" t="s">
        <v>592</v>
      </c>
      <c r="D80" s="25" t="s">
        <v>1122</v>
      </c>
      <c r="E80" s="30">
        <v>0</v>
      </c>
      <c r="F80" s="132">
        <v>68.06</v>
      </c>
      <c r="G80" s="50">
        <f t="shared" si="6"/>
        <v>0</v>
      </c>
      <c r="H80" s="107">
        <v>44883</v>
      </c>
      <c r="I80" s="141">
        <v>25</v>
      </c>
      <c r="J80" s="104">
        <v>68.06</v>
      </c>
      <c r="K80" s="103">
        <f>+J80*I80</f>
        <v>1701.5</v>
      </c>
      <c r="L80" s="103">
        <f>1+1</f>
        <v>2</v>
      </c>
      <c r="M80" s="141">
        <f t="shared" si="8"/>
        <v>23</v>
      </c>
      <c r="N80" s="103" t="s">
        <v>1037</v>
      </c>
      <c r="O80" s="103" t="s">
        <v>947</v>
      </c>
      <c r="P80" s="137">
        <f>+F80*M80</f>
        <v>1565.38</v>
      </c>
    </row>
    <row r="81" spans="1:16" s="8" customFormat="1" ht="15.75" x14ac:dyDescent="0.25">
      <c r="A81" s="113" t="s">
        <v>141</v>
      </c>
      <c r="B81" s="102">
        <v>44193</v>
      </c>
      <c r="C81" s="9" t="s">
        <v>593</v>
      </c>
      <c r="D81" s="25" t="s">
        <v>1122</v>
      </c>
      <c r="E81" s="30">
        <v>6</v>
      </c>
      <c r="F81" s="132">
        <v>4740</v>
      </c>
      <c r="G81" s="50">
        <f t="shared" si="6"/>
        <v>28440</v>
      </c>
      <c r="H81" s="103"/>
      <c r="I81" s="141"/>
      <c r="J81" s="104"/>
      <c r="K81" s="103"/>
      <c r="L81" s="103"/>
      <c r="M81" s="141">
        <f t="shared" si="8"/>
        <v>6</v>
      </c>
      <c r="N81" s="103"/>
      <c r="O81" s="103" t="s">
        <v>947</v>
      </c>
      <c r="P81" s="137">
        <f t="shared" si="3"/>
        <v>28440</v>
      </c>
    </row>
    <row r="82" spans="1:16" s="8" customFormat="1" ht="15.75" x14ac:dyDescent="0.25">
      <c r="A82" s="113" t="s">
        <v>58</v>
      </c>
      <c r="B82" s="102">
        <v>44193</v>
      </c>
      <c r="C82" s="9" t="s">
        <v>594</v>
      </c>
      <c r="D82" s="25" t="s">
        <v>1122</v>
      </c>
      <c r="E82" s="30">
        <v>1</v>
      </c>
      <c r="F82" s="132">
        <v>2535</v>
      </c>
      <c r="G82" s="50">
        <f t="shared" si="6"/>
        <v>2535</v>
      </c>
      <c r="H82" s="103"/>
      <c r="I82" s="141"/>
      <c r="J82" s="104"/>
      <c r="K82" s="103"/>
      <c r="L82" s="103">
        <v>1</v>
      </c>
      <c r="M82" s="141">
        <f t="shared" si="8"/>
        <v>0</v>
      </c>
      <c r="N82" s="103"/>
      <c r="O82" s="103" t="s">
        <v>947</v>
      </c>
      <c r="P82" s="137">
        <f t="shared" si="3"/>
        <v>0</v>
      </c>
    </row>
    <row r="83" spans="1:16" s="8" customFormat="1" ht="15.75" x14ac:dyDescent="0.25">
      <c r="A83" s="113" t="s">
        <v>59</v>
      </c>
      <c r="B83" s="102">
        <v>44193</v>
      </c>
      <c r="C83" s="9" t="s">
        <v>595</v>
      </c>
      <c r="D83" s="25" t="s">
        <v>1122</v>
      </c>
      <c r="E83" s="30">
        <v>0</v>
      </c>
      <c r="F83" s="132">
        <v>211.86</v>
      </c>
      <c r="G83" s="50">
        <f t="shared" si="6"/>
        <v>0</v>
      </c>
      <c r="H83" s="103"/>
      <c r="I83" s="141"/>
      <c r="J83" s="104"/>
      <c r="K83" s="103"/>
      <c r="L83" s="103"/>
      <c r="M83" s="141">
        <f>+E83+I83-L83</f>
        <v>0</v>
      </c>
      <c r="N83" s="103"/>
      <c r="O83" s="103" t="s">
        <v>947</v>
      </c>
      <c r="P83" s="137">
        <f t="shared" si="3"/>
        <v>0</v>
      </c>
    </row>
    <row r="84" spans="1:16" s="8" customFormat="1" ht="15.75" x14ac:dyDescent="0.25">
      <c r="A84" s="113" t="s">
        <v>60</v>
      </c>
      <c r="B84" s="102">
        <v>44193</v>
      </c>
      <c r="C84" s="9" t="s">
        <v>596</v>
      </c>
      <c r="D84" s="25" t="s">
        <v>1122</v>
      </c>
      <c r="E84" s="30">
        <v>0</v>
      </c>
      <c r="F84" s="132">
        <v>70</v>
      </c>
      <c r="G84" s="50">
        <f t="shared" si="6"/>
        <v>0</v>
      </c>
      <c r="H84" s="103"/>
      <c r="I84" s="141"/>
      <c r="J84" s="104"/>
      <c r="K84" s="103"/>
      <c r="L84" s="103"/>
      <c r="M84" s="141">
        <f t="shared" ref="M84:M96" si="9">+E84+I84-L84</f>
        <v>0</v>
      </c>
      <c r="N84" s="103"/>
      <c r="O84" s="103" t="s">
        <v>947</v>
      </c>
      <c r="P84" s="137">
        <f t="shared" si="3"/>
        <v>0</v>
      </c>
    </row>
    <row r="85" spans="1:16" s="8" customFormat="1" ht="15.75" x14ac:dyDescent="0.25">
      <c r="A85" s="113" t="s">
        <v>61</v>
      </c>
      <c r="B85" s="102">
        <v>44193</v>
      </c>
      <c r="C85" s="26" t="s">
        <v>597</v>
      </c>
      <c r="D85" s="25" t="s">
        <v>1122</v>
      </c>
      <c r="E85" s="30">
        <v>2</v>
      </c>
      <c r="F85" s="132">
        <v>148.31</v>
      </c>
      <c r="G85" s="50">
        <f t="shared" si="6"/>
        <v>296.62</v>
      </c>
      <c r="H85" s="103"/>
      <c r="I85" s="141"/>
      <c r="J85" s="104"/>
      <c r="K85" s="103"/>
      <c r="L85" s="103"/>
      <c r="M85" s="141">
        <f t="shared" si="9"/>
        <v>2</v>
      </c>
      <c r="N85" s="103"/>
      <c r="O85" s="103" t="s">
        <v>947</v>
      </c>
      <c r="P85" s="137">
        <f t="shared" si="3"/>
        <v>296.62</v>
      </c>
    </row>
    <row r="86" spans="1:16" s="8" customFormat="1" ht="15.75" x14ac:dyDescent="0.25">
      <c r="A86" s="113" t="s">
        <v>62</v>
      </c>
      <c r="B86" s="102">
        <v>44547</v>
      </c>
      <c r="C86" s="9" t="s">
        <v>598</v>
      </c>
      <c r="D86" s="25" t="s">
        <v>1122</v>
      </c>
      <c r="E86" s="30">
        <v>24</v>
      </c>
      <c r="F86" s="132">
        <v>200</v>
      </c>
      <c r="G86" s="50">
        <f t="shared" si="6"/>
        <v>4800</v>
      </c>
      <c r="H86" s="103"/>
      <c r="I86" s="141"/>
      <c r="J86" s="104"/>
      <c r="K86" s="103"/>
      <c r="L86" s="103"/>
      <c r="M86" s="141">
        <f t="shared" si="9"/>
        <v>24</v>
      </c>
      <c r="N86" s="103"/>
      <c r="O86" s="103" t="s">
        <v>947</v>
      </c>
      <c r="P86" s="137">
        <f t="shared" si="3"/>
        <v>4800</v>
      </c>
    </row>
    <row r="87" spans="1:16" s="105" customFormat="1" ht="15.75" x14ac:dyDescent="0.25">
      <c r="A87" s="113" t="s">
        <v>63</v>
      </c>
      <c r="B87" s="107">
        <v>44852</v>
      </c>
      <c r="C87" s="9" t="s">
        <v>599</v>
      </c>
      <c r="D87" s="25" t="s">
        <v>1122</v>
      </c>
      <c r="E87" s="30">
        <v>0</v>
      </c>
      <c r="F87" s="132">
        <v>65</v>
      </c>
      <c r="G87" s="50">
        <f t="shared" si="6"/>
        <v>0</v>
      </c>
      <c r="H87" s="107">
        <v>44852</v>
      </c>
      <c r="I87" s="141">
        <v>10</v>
      </c>
      <c r="J87" s="104">
        <v>46</v>
      </c>
      <c r="K87" s="108">
        <f>+J87*I87</f>
        <v>460</v>
      </c>
      <c r="L87" s="103">
        <v>10</v>
      </c>
      <c r="M87" s="141">
        <f t="shared" si="9"/>
        <v>0</v>
      </c>
      <c r="N87" s="103" t="s">
        <v>1037</v>
      </c>
      <c r="O87" s="103" t="s">
        <v>947</v>
      </c>
      <c r="P87" s="137">
        <f t="shared" si="3"/>
        <v>0</v>
      </c>
    </row>
    <row r="88" spans="1:16" s="92" customFormat="1" x14ac:dyDescent="0.3">
      <c r="A88" s="113" t="s">
        <v>64</v>
      </c>
      <c r="B88" s="102">
        <v>44193</v>
      </c>
      <c r="C88" s="25" t="s">
        <v>850</v>
      </c>
      <c r="D88" s="25" t="s">
        <v>1122</v>
      </c>
      <c r="E88" s="38">
        <v>1</v>
      </c>
      <c r="F88" s="132"/>
      <c r="G88" s="50"/>
      <c r="H88" s="103"/>
      <c r="I88" s="141"/>
      <c r="J88" s="104"/>
      <c r="K88" s="103"/>
      <c r="L88" s="103"/>
      <c r="M88" s="141">
        <f t="shared" si="9"/>
        <v>1</v>
      </c>
      <c r="N88" s="103"/>
      <c r="O88" s="103" t="s">
        <v>506</v>
      </c>
      <c r="P88" s="137">
        <f t="shared" si="3"/>
        <v>0</v>
      </c>
    </row>
    <row r="89" spans="1:16" s="105" customFormat="1" ht="15.75" x14ac:dyDescent="0.25">
      <c r="A89" s="113" t="s">
        <v>65</v>
      </c>
      <c r="B89" s="107">
        <v>44852</v>
      </c>
      <c r="C89" s="9" t="s">
        <v>851</v>
      </c>
      <c r="D89" s="25" t="s">
        <v>1122</v>
      </c>
      <c r="E89" s="30">
        <v>6</v>
      </c>
      <c r="F89" s="132">
        <v>7.09</v>
      </c>
      <c r="G89" s="50">
        <f>E89*F89</f>
        <v>42.54</v>
      </c>
      <c r="H89" s="107">
        <v>44852</v>
      </c>
      <c r="I89" s="141">
        <f>10*12</f>
        <v>120</v>
      </c>
      <c r="J89" s="104">
        <v>7.09</v>
      </c>
      <c r="K89" s="103">
        <f>+J89*I89</f>
        <v>850.8</v>
      </c>
      <c r="L89" s="103"/>
      <c r="M89" s="141">
        <f t="shared" si="9"/>
        <v>126</v>
      </c>
      <c r="N89" s="103" t="s">
        <v>1037</v>
      </c>
      <c r="O89" s="108" t="s">
        <v>947</v>
      </c>
      <c r="P89" s="137">
        <f t="shared" ref="P89:P152" si="10">+F89*M89</f>
        <v>893.34</v>
      </c>
    </row>
    <row r="90" spans="1:16" s="8" customFormat="1" ht="15.75" x14ac:dyDescent="0.25">
      <c r="A90" s="113" t="s">
        <v>66</v>
      </c>
      <c r="B90" s="102">
        <v>44547</v>
      </c>
      <c r="C90" s="9" t="s">
        <v>775</v>
      </c>
      <c r="D90" s="25" t="s">
        <v>1122</v>
      </c>
      <c r="E90" s="30">
        <v>10</v>
      </c>
      <c r="F90" s="132">
        <v>155</v>
      </c>
      <c r="G90" s="50">
        <f>E90*F90</f>
        <v>1550</v>
      </c>
      <c r="H90" s="103"/>
      <c r="I90" s="141"/>
      <c r="J90" s="104"/>
      <c r="K90" s="103"/>
      <c r="L90" s="103">
        <v>1</v>
      </c>
      <c r="M90" s="141">
        <f t="shared" si="9"/>
        <v>9</v>
      </c>
      <c r="N90" s="103"/>
      <c r="O90" s="103" t="s">
        <v>947</v>
      </c>
      <c r="P90" s="137">
        <f t="shared" si="10"/>
        <v>1395</v>
      </c>
    </row>
    <row r="91" spans="1:16" s="92" customFormat="1" x14ac:dyDescent="0.3">
      <c r="A91" s="113" t="s">
        <v>68</v>
      </c>
      <c r="B91" s="102">
        <v>44453</v>
      </c>
      <c r="C91" s="25" t="s">
        <v>603</v>
      </c>
      <c r="D91" s="25" t="s">
        <v>1122</v>
      </c>
      <c r="E91" s="14">
        <v>4</v>
      </c>
      <c r="F91" s="132">
        <v>7500</v>
      </c>
      <c r="G91" s="50">
        <f>E91*F91</f>
        <v>30000</v>
      </c>
      <c r="H91" s="103"/>
      <c r="I91" s="141"/>
      <c r="J91" s="104"/>
      <c r="K91" s="103"/>
      <c r="L91" s="103"/>
      <c r="M91" s="141">
        <f t="shared" si="9"/>
        <v>4</v>
      </c>
      <c r="N91" s="103"/>
      <c r="O91" s="103" t="s">
        <v>945</v>
      </c>
      <c r="P91" s="137">
        <f t="shared" si="10"/>
        <v>30000</v>
      </c>
    </row>
    <row r="92" spans="1:16" s="92" customFormat="1" x14ac:dyDescent="0.3">
      <c r="A92" s="113" t="s">
        <v>67</v>
      </c>
      <c r="B92" s="102">
        <v>44659</v>
      </c>
      <c r="C92" s="25" t="s">
        <v>776</v>
      </c>
      <c r="D92" s="25" t="s">
        <v>1122</v>
      </c>
      <c r="E92" s="14">
        <v>108</v>
      </c>
      <c r="F92" s="132">
        <v>156.66667000000001</v>
      </c>
      <c r="G92" s="50">
        <f>E92*F92</f>
        <v>16920.000360000002</v>
      </c>
      <c r="H92" s="103"/>
      <c r="I92" s="141"/>
      <c r="J92" s="104"/>
      <c r="K92" s="103"/>
      <c r="L92" s="103">
        <v>44</v>
      </c>
      <c r="M92" s="141">
        <f t="shared" si="9"/>
        <v>64</v>
      </c>
      <c r="N92" s="103"/>
      <c r="O92" s="103" t="s">
        <v>945</v>
      </c>
      <c r="P92" s="137">
        <f t="shared" si="10"/>
        <v>10026.666880000001</v>
      </c>
    </row>
    <row r="93" spans="1:16" s="8" customFormat="1" ht="15.75" x14ac:dyDescent="0.25">
      <c r="A93" s="113" t="s">
        <v>69</v>
      </c>
      <c r="B93" s="102">
        <v>44193</v>
      </c>
      <c r="C93" s="25" t="s">
        <v>844</v>
      </c>
      <c r="D93" s="25" t="s">
        <v>1122</v>
      </c>
      <c r="E93" s="14">
        <v>20</v>
      </c>
      <c r="F93" s="132">
        <v>30.5</v>
      </c>
      <c r="G93" s="50">
        <f>E93*F93</f>
        <v>610</v>
      </c>
      <c r="H93" s="103"/>
      <c r="I93" s="141"/>
      <c r="J93" s="104"/>
      <c r="K93" s="103"/>
      <c r="L93" s="103"/>
      <c r="M93" s="141">
        <f t="shared" si="9"/>
        <v>20</v>
      </c>
      <c r="N93" s="103"/>
      <c r="O93" s="103" t="s">
        <v>946</v>
      </c>
      <c r="P93" s="137">
        <f t="shared" si="10"/>
        <v>610</v>
      </c>
    </row>
    <row r="94" spans="1:16" s="8" customFormat="1" ht="15.75" x14ac:dyDescent="0.25">
      <c r="A94" s="113" t="s">
        <v>103</v>
      </c>
      <c r="B94" s="102">
        <v>44193</v>
      </c>
      <c r="C94" s="25" t="s">
        <v>789</v>
      </c>
      <c r="D94" s="25" t="s">
        <v>1122</v>
      </c>
      <c r="E94" s="14">
        <f>21+8+14</f>
        <v>43</v>
      </c>
      <c r="F94" s="132">
        <v>11.24</v>
      </c>
      <c r="G94" s="50">
        <f t="shared" ref="G94:G132" si="11">E94*F94</f>
        <v>483.32</v>
      </c>
      <c r="H94" s="103"/>
      <c r="I94" s="141"/>
      <c r="J94" s="104"/>
      <c r="K94" s="103"/>
      <c r="L94" s="103">
        <v>1</v>
      </c>
      <c r="M94" s="141">
        <f t="shared" si="9"/>
        <v>42</v>
      </c>
      <c r="N94" s="103"/>
      <c r="O94" s="103" t="s">
        <v>946</v>
      </c>
      <c r="P94" s="137">
        <f t="shared" si="10"/>
        <v>472.08</v>
      </c>
    </row>
    <row r="95" spans="1:16" s="8" customFormat="1" ht="15.75" x14ac:dyDescent="0.25">
      <c r="A95" s="113" t="s">
        <v>104</v>
      </c>
      <c r="B95" s="102">
        <v>44193</v>
      </c>
      <c r="C95" s="25" t="s">
        <v>788</v>
      </c>
      <c r="D95" s="25" t="s">
        <v>1122</v>
      </c>
      <c r="E95" s="14">
        <f>16+6+7+2</f>
        <v>31</v>
      </c>
      <c r="F95" s="132">
        <v>11.24</v>
      </c>
      <c r="G95" s="50">
        <f t="shared" si="11"/>
        <v>348.44</v>
      </c>
      <c r="H95" s="103"/>
      <c r="I95" s="141"/>
      <c r="J95" s="104"/>
      <c r="K95" s="103"/>
      <c r="L95" s="103"/>
      <c r="M95" s="141">
        <f t="shared" si="9"/>
        <v>31</v>
      </c>
      <c r="N95" s="103"/>
      <c r="O95" s="103" t="s">
        <v>946</v>
      </c>
      <c r="P95" s="137">
        <f t="shared" si="10"/>
        <v>348.44</v>
      </c>
    </row>
    <row r="96" spans="1:16" s="8" customFormat="1" ht="15.75" x14ac:dyDescent="0.25">
      <c r="A96" s="113" t="s">
        <v>142</v>
      </c>
      <c r="B96" s="102">
        <v>44193</v>
      </c>
      <c r="C96" s="25" t="s">
        <v>604</v>
      </c>
      <c r="D96" s="25" t="s">
        <v>1122</v>
      </c>
      <c r="E96" s="14">
        <v>28</v>
      </c>
      <c r="F96" s="132">
        <v>45</v>
      </c>
      <c r="G96" s="50">
        <f t="shared" si="11"/>
        <v>1260</v>
      </c>
      <c r="H96" s="103"/>
      <c r="I96" s="141"/>
      <c r="J96" s="104"/>
      <c r="K96" s="103"/>
      <c r="L96" s="103"/>
      <c r="M96" s="141">
        <f t="shared" si="9"/>
        <v>28</v>
      </c>
      <c r="N96" s="103"/>
      <c r="O96" s="103" t="s">
        <v>946</v>
      </c>
      <c r="P96" s="137">
        <f t="shared" si="10"/>
        <v>1260</v>
      </c>
    </row>
    <row r="97" spans="1:16" s="8" customFormat="1" ht="15.75" x14ac:dyDescent="0.25">
      <c r="A97" s="113" t="s">
        <v>70</v>
      </c>
      <c r="B97" s="102">
        <v>44193</v>
      </c>
      <c r="C97" s="25" t="s">
        <v>605</v>
      </c>
      <c r="D97" s="25" t="s">
        <v>1122</v>
      </c>
      <c r="E97" s="14">
        <v>4</v>
      </c>
      <c r="F97" s="132">
        <v>40</v>
      </c>
      <c r="G97" s="50">
        <f t="shared" si="11"/>
        <v>160</v>
      </c>
      <c r="H97" s="103"/>
      <c r="I97" s="141"/>
      <c r="J97" s="104"/>
      <c r="K97" s="103"/>
      <c r="L97" s="103"/>
      <c r="M97" s="141">
        <f>+E97+I97-L97</f>
        <v>4</v>
      </c>
      <c r="N97" s="103"/>
      <c r="O97" s="103" t="s">
        <v>946</v>
      </c>
      <c r="P97" s="137">
        <f t="shared" si="10"/>
        <v>160</v>
      </c>
    </row>
    <row r="98" spans="1:16" s="8" customFormat="1" ht="15.75" x14ac:dyDescent="0.25">
      <c r="A98" s="113" t="s">
        <v>71</v>
      </c>
      <c r="B98" s="102">
        <v>44193</v>
      </c>
      <c r="C98" s="25" t="s">
        <v>606</v>
      </c>
      <c r="D98" s="25" t="s">
        <v>1122</v>
      </c>
      <c r="E98" s="14">
        <v>39</v>
      </c>
      <c r="F98" s="132">
        <v>45</v>
      </c>
      <c r="G98" s="50">
        <f t="shared" si="11"/>
        <v>1755</v>
      </c>
      <c r="H98" s="103"/>
      <c r="I98" s="141"/>
      <c r="J98" s="104"/>
      <c r="K98" s="103"/>
      <c r="L98" s="103"/>
      <c r="M98" s="141">
        <f t="shared" ref="M98:M109" si="12">+E98+I98-L98</f>
        <v>39</v>
      </c>
      <c r="N98" s="103"/>
      <c r="O98" s="103" t="s">
        <v>946</v>
      </c>
      <c r="P98" s="137">
        <f t="shared" si="10"/>
        <v>1755</v>
      </c>
    </row>
    <row r="99" spans="1:16" s="8" customFormat="1" ht="15.75" x14ac:dyDescent="0.25">
      <c r="A99" s="113" t="s">
        <v>72</v>
      </c>
      <c r="B99" s="102">
        <v>44193</v>
      </c>
      <c r="C99" s="25" t="s">
        <v>846</v>
      </c>
      <c r="D99" s="25" t="s">
        <v>1122</v>
      </c>
      <c r="E99" s="14">
        <v>1</v>
      </c>
      <c r="F99" s="132">
        <v>47</v>
      </c>
      <c r="G99" s="50">
        <f t="shared" si="11"/>
        <v>47</v>
      </c>
      <c r="H99" s="103"/>
      <c r="I99" s="141"/>
      <c r="J99" s="104"/>
      <c r="K99" s="103"/>
      <c r="L99" s="103"/>
      <c r="M99" s="141">
        <f t="shared" si="12"/>
        <v>1</v>
      </c>
      <c r="N99" s="103"/>
      <c r="O99" s="103" t="s">
        <v>946</v>
      </c>
      <c r="P99" s="137">
        <f t="shared" si="10"/>
        <v>47</v>
      </c>
    </row>
    <row r="100" spans="1:16" s="8" customFormat="1" ht="15.75" x14ac:dyDescent="0.25">
      <c r="A100" s="113" t="s">
        <v>73</v>
      </c>
      <c r="B100" s="102">
        <v>44193</v>
      </c>
      <c r="C100" s="25" t="s">
        <v>607</v>
      </c>
      <c r="D100" s="25" t="s">
        <v>1122</v>
      </c>
      <c r="E100" s="14">
        <v>1</v>
      </c>
      <c r="F100" s="132">
        <v>40</v>
      </c>
      <c r="G100" s="50">
        <f t="shared" si="11"/>
        <v>40</v>
      </c>
      <c r="H100" s="103"/>
      <c r="I100" s="141"/>
      <c r="J100" s="104"/>
      <c r="K100" s="103"/>
      <c r="L100" s="103"/>
      <c r="M100" s="141">
        <f t="shared" si="12"/>
        <v>1</v>
      </c>
      <c r="N100" s="103"/>
      <c r="O100" s="103" t="s">
        <v>946</v>
      </c>
      <c r="P100" s="137">
        <f t="shared" si="10"/>
        <v>40</v>
      </c>
    </row>
    <row r="101" spans="1:16" s="8" customFormat="1" ht="15.75" x14ac:dyDescent="0.25">
      <c r="A101" s="113" t="s">
        <v>74</v>
      </c>
      <c r="B101" s="102">
        <v>44193</v>
      </c>
      <c r="C101" s="25" t="s">
        <v>608</v>
      </c>
      <c r="D101" s="25" t="s">
        <v>1122</v>
      </c>
      <c r="E101" s="32">
        <v>2</v>
      </c>
      <c r="F101" s="132">
        <v>12.21</v>
      </c>
      <c r="G101" s="50">
        <f t="shared" si="11"/>
        <v>24.42</v>
      </c>
      <c r="H101" s="103"/>
      <c r="I101" s="141"/>
      <c r="J101" s="104"/>
      <c r="K101" s="103"/>
      <c r="L101" s="103"/>
      <c r="M101" s="141">
        <f t="shared" si="12"/>
        <v>2</v>
      </c>
      <c r="N101" s="103"/>
      <c r="O101" s="103" t="s">
        <v>946</v>
      </c>
      <c r="P101" s="137">
        <f t="shared" si="10"/>
        <v>24.42</v>
      </c>
    </row>
    <row r="102" spans="1:16" s="8" customFormat="1" ht="15.75" x14ac:dyDescent="0.25">
      <c r="A102" s="113" t="s">
        <v>101</v>
      </c>
      <c r="B102" s="102">
        <v>44193</v>
      </c>
      <c r="C102" s="25" t="s">
        <v>609</v>
      </c>
      <c r="D102" s="25" t="s">
        <v>1122</v>
      </c>
      <c r="E102" s="32">
        <v>0</v>
      </c>
      <c r="F102" s="132">
        <v>4</v>
      </c>
      <c r="G102" s="50">
        <f t="shared" si="11"/>
        <v>0</v>
      </c>
      <c r="H102" s="103"/>
      <c r="I102" s="141"/>
      <c r="J102" s="104"/>
      <c r="K102" s="103"/>
      <c r="L102" s="103"/>
      <c r="M102" s="141">
        <f t="shared" si="12"/>
        <v>0</v>
      </c>
      <c r="N102" s="103"/>
      <c r="O102" s="103" t="s">
        <v>946</v>
      </c>
      <c r="P102" s="137">
        <f t="shared" si="10"/>
        <v>0</v>
      </c>
    </row>
    <row r="103" spans="1:16" s="8" customFormat="1" ht="15.75" x14ac:dyDescent="0.25">
      <c r="A103" s="113" t="s">
        <v>75</v>
      </c>
      <c r="B103" s="102">
        <v>44193</v>
      </c>
      <c r="C103" s="25" t="s">
        <v>610</v>
      </c>
      <c r="D103" s="25" t="s">
        <v>1122</v>
      </c>
      <c r="E103" s="32">
        <f>13+7+29</f>
        <v>49</v>
      </c>
      <c r="F103" s="132">
        <v>5.05</v>
      </c>
      <c r="G103" s="50">
        <f t="shared" si="11"/>
        <v>247.45</v>
      </c>
      <c r="H103" s="103"/>
      <c r="I103" s="141"/>
      <c r="J103" s="104"/>
      <c r="K103" s="103"/>
      <c r="L103" s="103"/>
      <c r="M103" s="141">
        <f t="shared" si="12"/>
        <v>49</v>
      </c>
      <c r="N103" s="103"/>
      <c r="O103" s="103" t="s">
        <v>946</v>
      </c>
      <c r="P103" s="137">
        <f t="shared" si="10"/>
        <v>247.45</v>
      </c>
    </row>
    <row r="104" spans="1:16" s="8" customFormat="1" ht="15.75" x14ac:dyDescent="0.25">
      <c r="A104" s="113" t="s">
        <v>102</v>
      </c>
      <c r="B104" s="102">
        <v>44193</v>
      </c>
      <c r="C104" s="25" t="s">
        <v>611</v>
      </c>
      <c r="D104" s="25" t="s">
        <v>1122</v>
      </c>
      <c r="E104" s="32">
        <v>0</v>
      </c>
      <c r="F104" s="132">
        <v>42.95</v>
      </c>
      <c r="G104" s="50">
        <f t="shared" si="11"/>
        <v>0</v>
      </c>
      <c r="H104" s="103"/>
      <c r="I104" s="141"/>
      <c r="J104" s="104"/>
      <c r="K104" s="103"/>
      <c r="L104" s="103"/>
      <c r="M104" s="141">
        <f t="shared" si="12"/>
        <v>0</v>
      </c>
      <c r="N104" s="103"/>
      <c r="O104" s="103" t="s">
        <v>946</v>
      </c>
      <c r="P104" s="137">
        <f t="shared" si="10"/>
        <v>0</v>
      </c>
    </row>
    <row r="105" spans="1:16" s="8" customFormat="1" ht="15.75" x14ac:dyDescent="0.25">
      <c r="A105" s="113" t="s">
        <v>143</v>
      </c>
      <c r="B105" s="102">
        <v>44193</v>
      </c>
      <c r="C105" s="25" t="s">
        <v>612</v>
      </c>
      <c r="D105" s="25" t="s">
        <v>1122</v>
      </c>
      <c r="E105" s="30">
        <v>11</v>
      </c>
      <c r="F105" s="132">
        <v>19.95</v>
      </c>
      <c r="G105" s="50">
        <f t="shared" si="11"/>
        <v>219.45</v>
      </c>
      <c r="H105" s="103"/>
      <c r="I105" s="141"/>
      <c r="J105" s="104"/>
      <c r="K105" s="103"/>
      <c r="L105" s="103"/>
      <c r="M105" s="141">
        <f t="shared" si="12"/>
        <v>11</v>
      </c>
      <c r="N105" s="103"/>
      <c r="O105" s="103" t="s">
        <v>946</v>
      </c>
      <c r="P105" s="137">
        <f t="shared" si="10"/>
        <v>219.45</v>
      </c>
    </row>
    <row r="106" spans="1:16" s="8" customFormat="1" ht="15.75" x14ac:dyDescent="0.25">
      <c r="A106" s="113" t="s">
        <v>334</v>
      </c>
      <c r="B106" s="102">
        <v>44193</v>
      </c>
      <c r="C106" s="25" t="s">
        <v>613</v>
      </c>
      <c r="D106" s="25" t="s">
        <v>1122</v>
      </c>
      <c r="E106" s="30">
        <f>6+7</f>
        <v>13</v>
      </c>
      <c r="F106" s="132">
        <v>5.78</v>
      </c>
      <c r="G106" s="50">
        <f t="shared" si="11"/>
        <v>75.14</v>
      </c>
      <c r="H106" s="103"/>
      <c r="I106" s="141"/>
      <c r="J106" s="104"/>
      <c r="K106" s="103"/>
      <c r="L106" s="103"/>
      <c r="M106" s="141">
        <f t="shared" si="12"/>
        <v>13</v>
      </c>
      <c r="N106" s="103"/>
      <c r="O106" s="103" t="s">
        <v>946</v>
      </c>
      <c r="P106" s="137">
        <f t="shared" si="10"/>
        <v>75.14</v>
      </c>
    </row>
    <row r="107" spans="1:16" s="8" customFormat="1" ht="15.75" x14ac:dyDescent="0.25">
      <c r="A107" s="113" t="s">
        <v>335</v>
      </c>
      <c r="B107" s="102">
        <v>44193</v>
      </c>
      <c r="C107" s="25" t="s">
        <v>849</v>
      </c>
      <c r="D107" s="25" t="s">
        <v>1122</v>
      </c>
      <c r="E107" s="30">
        <v>1</v>
      </c>
      <c r="F107" s="132"/>
      <c r="G107" s="50">
        <f t="shared" si="11"/>
        <v>0</v>
      </c>
      <c r="H107" s="103"/>
      <c r="I107" s="141"/>
      <c r="J107" s="104"/>
      <c r="K107" s="103"/>
      <c r="L107" s="103"/>
      <c r="M107" s="141">
        <f t="shared" si="12"/>
        <v>1</v>
      </c>
      <c r="N107" s="103"/>
      <c r="O107" s="103" t="s">
        <v>946</v>
      </c>
      <c r="P107" s="137">
        <f t="shared" si="10"/>
        <v>0</v>
      </c>
    </row>
    <row r="108" spans="1:16" s="8" customFormat="1" ht="15.75" x14ac:dyDescent="0.25">
      <c r="A108" s="113" t="s">
        <v>336</v>
      </c>
      <c r="B108" s="102">
        <v>44193</v>
      </c>
      <c r="C108" s="26" t="s">
        <v>821</v>
      </c>
      <c r="D108" s="25" t="s">
        <v>1122</v>
      </c>
      <c r="E108" s="30">
        <v>9</v>
      </c>
      <c r="F108" s="132">
        <v>77.540000000000006</v>
      </c>
      <c r="G108" s="50">
        <f t="shared" si="11"/>
        <v>697.86</v>
      </c>
      <c r="H108" s="103"/>
      <c r="I108" s="141"/>
      <c r="J108" s="104"/>
      <c r="K108" s="103"/>
      <c r="L108" s="103"/>
      <c r="M108" s="141">
        <f t="shared" si="12"/>
        <v>9</v>
      </c>
      <c r="N108" s="103"/>
      <c r="O108" s="103" t="s">
        <v>946</v>
      </c>
      <c r="P108" s="137">
        <f t="shared" si="10"/>
        <v>697.86</v>
      </c>
    </row>
    <row r="109" spans="1:16" s="8" customFormat="1" ht="15.75" x14ac:dyDescent="0.25">
      <c r="A109" s="113" t="s">
        <v>337</v>
      </c>
      <c r="B109" s="102">
        <v>44193</v>
      </c>
      <c r="C109" s="26" t="s">
        <v>820</v>
      </c>
      <c r="D109" s="25" t="s">
        <v>1122</v>
      </c>
      <c r="E109" s="30">
        <v>21</v>
      </c>
      <c r="F109" s="132">
        <v>719.2</v>
      </c>
      <c r="G109" s="50">
        <f t="shared" si="11"/>
        <v>15103.2</v>
      </c>
      <c r="H109" s="103"/>
      <c r="I109" s="141"/>
      <c r="J109" s="104"/>
      <c r="K109" s="103"/>
      <c r="L109" s="103"/>
      <c r="M109" s="141">
        <f t="shared" si="12"/>
        <v>21</v>
      </c>
      <c r="N109" s="103"/>
      <c r="O109" s="103" t="s">
        <v>946</v>
      </c>
      <c r="P109" s="137">
        <f t="shared" si="10"/>
        <v>15103.2</v>
      </c>
    </row>
    <row r="110" spans="1:16" s="8" customFormat="1" ht="15.75" x14ac:dyDescent="0.25">
      <c r="A110" s="113" t="s">
        <v>338</v>
      </c>
      <c r="B110" s="102">
        <v>44193</v>
      </c>
      <c r="C110" s="26" t="s">
        <v>823</v>
      </c>
      <c r="D110" s="25" t="s">
        <v>1122</v>
      </c>
      <c r="E110" s="30">
        <v>3</v>
      </c>
      <c r="F110" s="132">
        <v>51</v>
      </c>
      <c r="G110" s="50">
        <f t="shared" si="11"/>
        <v>153</v>
      </c>
      <c r="H110" s="103"/>
      <c r="I110" s="141"/>
      <c r="J110" s="104"/>
      <c r="K110" s="103"/>
      <c r="L110" s="103"/>
      <c r="M110" s="141">
        <f>+E110+I110-L110</f>
        <v>3</v>
      </c>
      <c r="N110" s="103"/>
      <c r="O110" s="103" t="s">
        <v>946</v>
      </c>
      <c r="P110" s="137">
        <f t="shared" si="10"/>
        <v>153</v>
      </c>
    </row>
    <row r="111" spans="1:16" s="8" customFormat="1" ht="15.75" x14ac:dyDescent="0.25">
      <c r="A111" s="113" t="s">
        <v>339</v>
      </c>
      <c r="B111" s="102">
        <v>44193</v>
      </c>
      <c r="C111" s="26" t="s">
        <v>822</v>
      </c>
      <c r="D111" s="25" t="s">
        <v>1122</v>
      </c>
      <c r="E111" s="30">
        <v>12</v>
      </c>
      <c r="F111" s="132">
        <v>66.11</v>
      </c>
      <c r="G111" s="50">
        <f t="shared" si="11"/>
        <v>793.31999999999994</v>
      </c>
      <c r="H111" s="103"/>
      <c r="I111" s="141"/>
      <c r="J111" s="104"/>
      <c r="K111" s="103"/>
      <c r="L111" s="103"/>
      <c r="M111" s="141">
        <f t="shared" ref="M111:M175" si="13">+E111+I111-L111</f>
        <v>12</v>
      </c>
      <c r="N111" s="103"/>
      <c r="O111" s="103" t="s">
        <v>946</v>
      </c>
      <c r="P111" s="137">
        <f t="shared" si="10"/>
        <v>793.31999999999994</v>
      </c>
    </row>
    <row r="112" spans="1:16" s="8" customFormat="1" ht="15.75" x14ac:dyDescent="0.25">
      <c r="A112" s="113" t="s">
        <v>340</v>
      </c>
      <c r="B112" s="102">
        <v>44193</v>
      </c>
      <c r="C112" s="26" t="s">
        <v>802</v>
      </c>
      <c r="D112" s="25" t="s">
        <v>1122</v>
      </c>
      <c r="E112" s="30">
        <v>2</v>
      </c>
      <c r="F112" s="132">
        <v>70</v>
      </c>
      <c r="G112" s="50">
        <f t="shared" si="11"/>
        <v>140</v>
      </c>
      <c r="H112" s="103"/>
      <c r="I112" s="141"/>
      <c r="J112" s="104"/>
      <c r="K112" s="103"/>
      <c r="L112" s="103"/>
      <c r="M112" s="141">
        <f t="shared" si="13"/>
        <v>2</v>
      </c>
      <c r="N112" s="103"/>
      <c r="O112" s="103" t="s">
        <v>946</v>
      </c>
      <c r="P112" s="137">
        <f t="shared" si="10"/>
        <v>140</v>
      </c>
    </row>
    <row r="113" spans="1:16" s="8" customFormat="1" ht="15.75" x14ac:dyDescent="0.25">
      <c r="A113" s="113" t="s">
        <v>341</v>
      </c>
      <c r="B113" s="102">
        <v>44193</v>
      </c>
      <c r="C113" s="26" t="s">
        <v>804</v>
      </c>
      <c r="D113" s="25" t="s">
        <v>1122</v>
      </c>
      <c r="E113" s="30">
        <v>6</v>
      </c>
      <c r="F113" s="132">
        <v>450</v>
      </c>
      <c r="G113" s="50">
        <f t="shared" si="11"/>
        <v>2700</v>
      </c>
      <c r="H113" s="103"/>
      <c r="I113" s="141"/>
      <c r="J113" s="104"/>
      <c r="K113" s="103"/>
      <c r="L113" s="103">
        <v>1</v>
      </c>
      <c r="M113" s="141">
        <f t="shared" si="13"/>
        <v>5</v>
      </c>
      <c r="N113" s="103"/>
      <c r="O113" s="103" t="s">
        <v>946</v>
      </c>
      <c r="P113" s="137">
        <f t="shared" si="10"/>
        <v>2250</v>
      </c>
    </row>
    <row r="114" spans="1:16" s="8" customFormat="1" ht="15.75" x14ac:dyDescent="0.25">
      <c r="A114" s="113" t="s">
        <v>342</v>
      </c>
      <c r="B114" s="102">
        <v>44193</v>
      </c>
      <c r="C114" s="26" t="s">
        <v>801</v>
      </c>
      <c r="D114" s="25" t="s">
        <v>1122</v>
      </c>
      <c r="E114" s="30">
        <v>2</v>
      </c>
      <c r="F114" s="132">
        <v>719.2</v>
      </c>
      <c r="G114" s="50">
        <f t="shared" si="11"/>
        <v>1438.4</v>
      </c>
      <c r="H114" s="103"/>
      <c r="I114" s="141"/>
      <c r="J114" s="104"/>
      <c r="K114" s="103"/>
      <c r="L114" s="103">
        <v>2</v>
      </c>
      <c r="M114" s="141">
        <f t="shared" si="13"/>
        <v>0</v>
      </c>
      <c r="N114" s="103"/>
      <c r="O114" s="103" t="s">
        <v>946</v>
      </c>
      <c r="P114" s="137">
        <f t="shared" si="10"/>
        <v>0</v>
      </c>
    </row>
    <row r="115" spans="1:16" s="8" customFormat="1" ht="15.75" x14ac:dyDescent="0.25">
      <c r="A115" s="113" t="s">
        <v>343</v>
      </c>
      <c r="B115" s="102">
        <v>44193</v>
      </c>
      <c r="C115" s="25" t="s">
        <v>616</v>
      </c>
      <c r="D115" s="25" t="s">
        <v>1122</v>
      </c>
      <c r="E115" s="32">
        <v>0</v>
      </c>
      <c r="F115" s="132">
        <v>2950</v>
      </c>
      <c r="G115" s="50">
        <f t="shared" si="11"/>
        <v>0</v>
      </c>
      <c r="H115" s="103"/>
      <c r="I115" s="141"/>
      <c r="J115" s="104"/>
      <c r="K115" s="103"/>
      <c r="L115" s="103"/>
      <c r="M115" s="141">
        <f t="shared" si="13"/>
        <v>0</v>
      </c>
      <c r="N115" s="103"/>
      <c r="O115" s="103" t="s">
        <v>946</v>
      </c>
      <c r="P115" s="137">
        <f t="shared" si="10"/>
        <v>0</v>
      </c>
    </row>
    <row r="116" spans="1:16" s="8" customFormat="1" ht="15.75" x14ac:dyDescent="0.25">
      <c r="A116" s="113" t="s">
        <v>344</v>
      </c>
      <c r="B116" s="102">
        <v>44193</v>
      </c>
      <c r="C116" s="25" t="s">
        <v>617</v>
      </c>
      <c r="D116" s="25" t="s">
        <v>1122</v>
      </c>
      <c r="E116" s="32">
        <v>5</v>
      </c>
      <c r="F116" s="132">
        <v>29</v>
      </c>
      <c r="G116" s="50">
        <f t="shared" si="11"/>
        <v>145</v>
      </c>
      <c r="H116" s="103"/>
      <c r="I116" s="141"/>
      <c r="J116" s="104"/>
      <c r="K116" s="103"/>
      <c r="L116" s="103">
        <v>4</v>
      </c>
      <c r="M116" s="141">
        <f t="shared" si="13"/>
        <v>1</v>
      </c>
      <c r="N116" s="103"/>
      <c r="O116" s="103" t="s">
        <v>946</v>
      </c>
      <c r="P116" s="137">
        <f t="shared" si="10"/>
        <v>29</v>
      </c>
    </row>
    <row r="117" spans="1:16" s="8" customFormat="1" ht="15.75" x14ac:dyDescent="0.25">
      <c r="A117" s="113" t="s">
        <v>345</v>
      </c>
      <c r="B117" s="106" t="s">
        <v>106</v>
      </c>
      <c r="C117" s="9" t="s">
        <v>618</v>
      </c>
      <c r="D117" s="25" t="s">
        <v>1122</v>
      </c>
      <c r="E117" s="30">
        <v>12</v>
      </c>
      <c r="F117" s="133">
        <v>35</v>
      </c>
      <c r="G117" s="50">
        <f t="shared" si="11"/>
        <v>420</v>
      </c>
      <c r="H117" s="103"/>
      <c r="I117" s="141"/>
      <c r="J117" s="104"/>
      <c r="K117" s="103"/>
      <c r="L117" s="103">
        <f>1+1</f>
        <v>2</v>
      </c>
      <c r="M117" s="141">
        <f t="shared" si="13"/>
        <v>10</v>
      </c>
      <c r="N117" s="103"/>
      <c r="O117" s="103" t="s">
        <v>947</v>
      </c>
      <c r="P117" s="137">
        <f t="shared" si="10"/>
        <v>350</v>
      </c>
    </row>
    <row r="118" spans="1:16" s="92" customFormat="1" x14ac:dyDescent="0.3">
      <c r="A118" s="113" t="s">
        <v>346</v>
      </c>
      <c r="B118" s="102">
        <v>44193</v>
      </c>
      <c r="C118" s="26" t="s">
        <v>619</v>
      </c>
      <c r="D118" s="25" t="s">
        <v>1122</v>
      </c>
      <c r="E118" s="32">
        <v>0</v>
      </c>
      <c r="F118" s="132">
        <v>155</v>
      </c>
      <c r="G118" s="50">
        <f t="shared" si="11"/>
        <v>0</v>
      </c>
      <c r="H118" s="103"/>
      <c r="I118" s="141"/>
      <c r="J118" s="104"/>
      <c r="K118" s="103"/>
      <c r="L118" s="103">
        <f>2+1+1+1+1+1+1+1+3</f>
        <v>12</v>
      </c>
      <c r="M118" s="141">
        <f t="shared" si="13"/>
        <v>-12</v>
      </c>
      <c r="N118" s="103"/>
      <c r="O118" s="103" t="s">
        <v>945</v>
      </c>
      <c r="P118" s="137">
        <f t="shared" si="10"/>
        <v>-1860</v>
      </c>
    </row>
    <row r="119" spans="1:16" s="92" customFormat="1" x14ac:dyDescent="0.3">
      <c r="A119" s="113" t="s">
        <v>347</v>
      </c>
      <c r="B119" s="102">
        <v>44777</v>
      </c>
      <c r="C119" s="26" t="s">
        <v>620</v>
      </c>
      <c r="D119" s="25" t="s">
        <v>1122</v>
      </c>
      <c r="E119" s="32">
        <v>90</v>
      </c>
      <c r="F119" s="132">
        <v>71.95</v>
      </c>
      <c r="G119" s="50">
        <f t="shared" si="11"/>
        <v>6475.5</v>
      </c>
      <c r="H119" s="103"/>
      <c r="I119" s="141"/>
      <c r="J119" s="104"/>
      <c r="K119" s="103"/>
      <c r="L119" s="103">
        <f>1+1+1+1+1+1+1+1+1+1+1+1+1+1+1+1+2+1+1+1+1+1+1+1+1+1+1+1+1+1+1+1+1+1+1+2+1+1+1+4+1+1</f>
        <v>47</v>
      </c>
      <c r="M119" s="141">
        <f t="shared" si="13"/>
        <v>43</v>
      </c>
      <c r="N119" s="103"/>
      <c r="O119" s="103" t="s">
        <v>945</v>
      </c>
      <c r="P119" s="137">
        <f t="shared" si="10"/>
        <v>3093.85</v>
      </c>
    </row>
    <row r="120" spans="1:16" s="8" customFormat="1" ht="15.75" x14ac:dyDescent="0.25">
      <c r="A120" s="113" t="s">
        <v>348</v>
      </c>
      <c r="B120" s="102">
        <v>44193</v>
      </c>
      <c r="C120" s="26" t="s">
        <v>626</v>
      </c>
      <c r="D120" s="25" t="s">
        <v>1122</v>
      </c>
      <c r="E120" s="32">
        <v>0</v>
      </c>
      <c r="F120" s="132">
        <v>190.68</v>
      </c>
      <c r="G120" s="50">
        <f t="shared" si="11"/>
        <v>0</v>
      </c>
      <c r="H120" s="103"/>
      <c r="I120" s="141"/>
      <c r="J120" s="104"/>
      <c r="K120" s="103"/>
      <c r="L120" s="103"/>
      <c r="M120" s="141">
        <f t="shared" si="13"/>
        <v>0</v>
      </c>
      <c r="N120" s="103"/>
      <c r="O120" s="103" t="s">
        <v>946</v>
      </c>
      <c r="P120" s="137">
        <f t="shared" si="10"/>
        <v>0</v>
      </c>
    </row>
    <row r="121" spans="1:16" s="92" customFormat="1" x14ac:dyDescent="0.3">
      <c r="A121" s="113" t="s">
        <v>349</v>
      </c>
      <c r="B121" s="124">
        <v>44851</v>
      </c>
      <c r="C121" s="26" t="s">
        <v>621</v>
      </c>
      <c r="D121" s="25" t="s">
        <v>1122</v>
      </c>
      <c r="E121" s="32">
        <v>1</v>
      </c>
      <c r="F121" s="132">
        <v>1187.08</v>
      </c>
      <c r="G121" s="50">
        <f t="shared" si="11"/>
        <v>1187.08</v>
      </c>
      <c r="H121" s="124">
        <v>44851</v>
      </c>
      <c r="I121" s="141">
        <v>20</v>
      </c>
      <c r="J121" s="126">
        <v>1187.08</v>
      </c>
      <c r="K121" s="127">
        <f>+I121*J121</f>
        <v>23741.599999999999</v>
      </c>
      <c r="L121" s="103">
        <v>2</v>
      </c>
      <c r="M121" s="141">
        <f t="shared" si="13"/>
        <v>19</v>
      </c>
      <c r="N121" s="103"/>
      <c r="O121" s="103" t="s">
        <v>945</v>
      </c>
      <c r="P121" s="137">
        <f t="shared" si="10"/>
        <v>22554.519999999997</v>
      </c>
    </row>
    <row r="122" spans="1:16" s="92" customFormat="1" x14ac:dyDescent="0.3">
      <c r="A122" s="113" t="s">
        <v>350</v>
      </c>
      <c r="B122" s="102">
        <v>44193</v>
      </c>
      <c r="C122" s="26" t="s">
        <v>622</v>
      </c>
      <c r="D122" s="25" t="s">
        <v>1122</v>
      </c>
      <c r="E122" s="32">
        <v>0</v>
      </c>
      <c r="F122" s="132">
        <v>1400</v>
      </c>
      <c r="G122" s="50">
        <f t="shared" si="11"/>
        <v>0</v>
      </c>
      <c r="H122" s="103"/>
      <c r="I122" s="141"/>
      <c r="J122" s="104"/>
      <c r="K122" s="103"/>
      <c r="L122" s="103"/>
      <c r="M122" s="141">
        <f t="shared" si="13"/>
        <v>0</v>
      </c>
      <c r="N122" s="103"/>
      <c r="O122" s="103" t="s">
        <v>945</v>
      </c>
      <c r="P122" s="137">
        <f t="shared" si="10"/>
        <v>0</v>
      </c>
    </row>
    <row r="123" spans="1:16" s="92" customFormat="1" x14ac:dyDescent="0.3">
      <c r="A123" s="113" t="s">
        <v>351</v>
      </c>
      <c r="B123" s="102">
        <v>44456</v>
      </c>
      <c r="C123" s="26" t="s">
        <v>623</v>
      </c>
      <c r="D123" s="25" t="s">
        <v>1122</v>
      </c>
      <c r="E123" s="32">
        <v>13</v>
      </c>
      <c r="F123" s="132">
        <v>1099</v>
      </c>
      <c r="G123" s="50">
        <f t="shared" si="11"/>
        <v>14287</v>
      </c>
      <c r="H123" s="103"/>
      <c r="I123" s="141"/>
      <c r="J123" s="104"/>
      <c r="K123" s="103"/>
      <c r="L123" s="103">
        <v>1</v>
      </c>
      <c r="M123" s="141">
        <f t="shared" si="13"/>
        <v>12</v>
      </c>
      <c r="N123" s="103"/>
      <c r="O123" s="103" t="s">
        <v>945</v>
      </c>
      <c r="P123" s="137">
        <f t="shared" si="10"/>
        <v>13188</v>
      </c>
    </row>
    <row r="124" spans="1:16" s="92" customFormat="1" x14ac:dyDescent="0.3">
      <c r="A124" s="113" t="s">
        <v>352</v>
      </c>
      <c r="B124" s="102">
        <v>44456</v>
      </c>
      <c r="C124" s="26" t="s">
        <v>767</v>
      </c>
      <c r="D124" s="25" t="s">
        <v>1122</v>
      </c>
      <c r="E124" s="32">
        <v>18</v>
      </c>
      <c r="F124" s="132">
        <v>4000</v>
      </c>
      <c r="G124" s="50">
        <f t="shared" si="11"/>
        <v>72000</v>
      </c>
      <c r="H124" s="103"/>
      <c r="I124" s="141"/>
      <c r="J124" s="104"/>
      <c r="K124" s="103"/>
      <c r="L124" s="103">
        <f>4+4+3</f>
        <v>11</v>
      </c>
      <c r="M124" s="141">
        <f t="shared" si="13"/>
        <v>7</v>
      </c>
      <c r="N124" s="103"/>
      <c r="O124" s="103" t="s">
        <v>945</v>
      </c>
      <c r="P124" s="137">
        <f t="shared" si="10"/>
        <v>28000</v>
      </c>
    </row>
    <row r="125" spans="1:16" s="92" customFormat="1" x14ac:dyDescent="0.3">
      <c r="A125" s="113" t="s">
        <v>353</v>
      </c>
      <c r="B125" s="102">
        <v>44193</v>
      </c>
      <c r="C125" s="26" t="s">
        <v>625</v>
      </c>
      <c r="D125" s="25" t="s">
        <v>1122</v>
      </c>
      <c r="E125" s="32">
        <v>5</v>
      </c>
      <c r="F125" s="132">
        <v>1400</v>
      </c>
      <c r="G125" s="50">
        <f t="shared" si="11"/>
        <v>7000</v>
      </c>
      <c r="H125" s="103"/>
      <c r="I125" s="141"/>
      <c r="J125" s="104"/>
      <c r="K125" s="103"/>
      <c r="L125" s="103"/>
      <c r="M125" s="141">
        <f t="shared" si="13"/>
        <v>5</v>
      </c>
      <c r="N125" s="103"/>
      <c r="O125" s="103" t="s">
        <v>945</v>
      </c>
      <c r="P125" s="137">
        <f t="shared" si="10"/>
        <v>7000</v>
      </c>
    </row>
    <row r="126" spans="1:16" s="8" customFormat="1" ht="15.75" x14ac:dyDescent="0.25">
      <c r="A126" s="113" t="s">
        <v>354</v>
      </c>
      <c r="B126" s="106" t="s">
        <v>106</v>
      </c>
      <c r="C126" s="28" t="s">
        <v>627</v>
      </c>
      <c r="D126" s="25" t="s">
        <v>1122</v>
      </c>
      <c r="E126" s="49">
        <v>100</v>
      </c>
      <c r="F126" s="135">
        <v>28</v>
      </c>
      <c r="G126" s="50">
        <f t="shared" si="11"/>
        <v>2800</v>
      </c>
      <c r="H126" s="103"/>
      <c r="I126" s="141"/>
      <c r="J126" s="104"/>
      <c r="K126" s="103"/>
      <c r="L126" s="103"/>
      <c r="M126" s="141">
        <f t="shared" si="13"/>
        <v>100</v>
      </c>
      <c r="N126" s="103"/>
      <c r="O126" s="103" t="s">
        <v>947</v>
      </c>
      <c r="P126" s="137">
        <f t="shared" si="10"/>
        <v>2800</v>
      </c>
    </row>
    <row r="127" spans="1:16" s="8" customFormat="1" ht="15.75" x14ac:dyDescent="0.25">
      <c r="A127" s="113" t="s">
        <v>355</v>
      </c>
      <c r="B127" s="106" t="s">
        <v>114</v>
      </c>
      <c r="C127" s="26" t="s">
        <v>80</v>
      </c>
      <c r="D127" s="25" t="s">
        <v>1122</v>
      </c>
      <c r="E127" s="32">
        <v>0</v>
      </c>
      <c r="F127" s="133">
        <v>85</v>
      </c>
      <c r="G127" s="50">
        <f t="shared" si="11"/>
        <v>0</v>
      </c>
      <c r="H127" s="103"/>
      <c r="I127" s="141"/>
      <c r="J127" s="104"/>
      <c r="K127" s="103"/>
      <c r="L127" s="103"/>
      <c r="M127" s="141">
        <f t="shared" si="13"/>
        <v>0</v>
      </c>
      <c r="N127" s="103"/>
      <c r="O127" s="103" t="s">
        <v>946</v>
      </c>
      <c r="P127" s="137">
        <f t="shared" si="10"/>
        <v>0</v>
      </c>
    </row>
    <row r="128" spans="1:16" s="8" customFormat="1" ht="15.75" x14ac:dyDescent="0.25">
      <c r="A128" s="113" t="s">
        <v>356</v>
      </c>
      <c r="B128" s="102">
        <v>44193</v>
      </c>
      <c r="C128" s="9" t="s">
        <v>628</v>
      </c>
      <c r="D128" s="25" t="s">
        <v>1122</v>
      </c>
      <c r="E128" s="58">
        <v>1</v>
      </c>
      <c r="F128" s="132">
        <v>550</v>
      </c>
      <c r="G128" s="50">
        <f t="shared" si="11"/>
        <v>550</v>
      </c>
      <c r="H128" s="103"/>
      <c r="I128" s="141"/>
      <c r="J128" s="104"/>
      <c r="K128" s="103"/>
      <c r="L128" s="103"/>
      <c r="M128" s="141">
        <f t="shared" si="13"/>
        <v>1</v>
      </c>
      <c r="N128" s="103"/>
      <c r="O128" s="103" t="s">
        <v>946</v>
      </c>
      <c r="P128" s="137">
        <f t="shared" si="10"/>
        <v>550</v>
      </c>
    </row>
    <row r="129" spans="1:16" s="92" customFormat="1" x14ac:dyDescent="0.3">
      <c r="A129" s="113" t="s">
        <v>357</v>
      </c>
      <c r="B129" s="102">
        <v>44193</v>
      </c>
      <c r="C129" s="9" t="s">
        <v>629</v>
      </c>
      <c r="D129" s="25" t="s">
        <v>1122</v>
      </c>
      <c r="E129" s="48">
        <v>0</v>
      </c>
      <c r="F129" s="132">
        <v>60</v>
      </c>
      <c r="G129" s="50">
        <f t="shared" si="11"/>
        <v>0</v>
      </c>
      <c r="H129" s="103"/>
      <c r="I129" s="141"/>
      <c r="J129" s="104"/>
      <c r="K129" s="103"/>
      <c r="L129" s="103"/>
      <c r="M129" s="141">
        <f t="shared" si="13"/>
        <v>0</v>
      </c>
      <c r="N129" s="103"/>
      <c r="O129" s="103" t="s">
        <v>945</v>
      </c>
      <c r="P129" s="137">
        <f t="shared" si="10"/>
        <v>0</v>
      </c>
    </row>
    <row r="130" spans="1:16" s="92" customFormat="1" x14ac:dyDescent="0.3">
      <c r="A130" s="113" t="s">
        <v>358</v>
      </c>
      <c r="B130" s="102">
        <v>44656</v>
      </c>
      <c r="C130" s="25" t="s">
        <v>631</v>
      </c>
      <c r="D130" s="25" t="s">
        <v>1122</v>
      </c>
      <c r="E130" s="32">
        <v>40</v>
      </c>
      <c r="F130" s="132">
        <v>115.53</v>
      </c>
      <c r="G130" s="50">
        <f t="shared" si="11"/>
        <v>4621.2</v>
      </c>
      <c r="H130" s="103"/>
      <c r="I130" s="141"/>
      <c r="J130" s="104"/>
      <c r="K130" s="103"/>
      <c r="L130" s="103">
        <f>2+1+2+1+1+1+1+1+1</f>
        <v>11</v>
      </c>
      <c r="M130" s="141">
        <f t="shared" si="13"/>
        <v>29</v>
      </c>
      <c r="N130" s="103"/>
      <c r="O130" s="103" t="s">
        <v>945</v>
      </c>
      <c r="P130" s="137">
        <f t="shared" si="10"/>
        <v>3350.37</v>
      </c>
    </row>
    <row r="131" spans="1:16" s="92" customFormat="1" x14ac:dyDescent="0.3">
      <c r="A131" s="113" t="s">
        <v>359</v>
      </c>
      <c r="B131" s="102">
        <v>44656</v>
      </c>
      <c r="C131" s="26" t="s">
        <v>632</v>
      </c>
      <c r="D131" s="25" t="s">
        <v>1122</v>
      </c>
      <c r="E131" s="32">
        <v>12</v>
      </c>
      <c r="F131" s="132">
        <v>128.62</v>
      </c>
      <c r="G131" s="50">
        <f t="shared" si="11"/>
        <v>1543.44</v>
      </c>
      <c r="H131" s="103"/>
      <c r="I131" s="141"/>
      <c r="J131" s="104"/>
      <c r="K131" s="103"/>
      <c r="L131" s="103">
        <v>2</v>
      </c>
      <c r="M131" s="141">
        <f t="shared" si="13"/>
        <v>10</v>
      </c>
      <c r="N131" s="103"/>
      <c r="O131" s="103" t="s">
        <v>945</v>
      </c>
      <c r="P131" s="137">
        <f t="shared" si="10"/>
        <v>1286.2</v>
      </c>
    </row>
    <row r="132" spans="1:16" s="92" customFormat="1" x14ac:dyDescent="0.3">
      <c r="A132" s="113" t="s">
        <v>360</v>
      </c>
      <c r="B132" s="102">
        <v>44659</v>
      </c>
      <c r="C132" s="26" t="s">
        <v>633</v>
      </c>
      <c r="D132" s="25" t="s">
        <v>1122</v>
      </c>
      <c r="E132" s="14">
        <v>41</v>
      </c>
      <c r="F132" s="132">
        <v>325</v>
      </c>
      <c r="G132" s="50">
        <f t="shared" si="11"/>
        <v>13325</v>
      </c>
      <c r="H132" s="103"/>
      <c r="I132" s="141"/>
      <c r="J132" s="104"/>
      <c r="K132" s="103"/>
      <c r="L132" s="103"/>
      <c r="M132" s="141">
        <f t="shared" si="13"/>
        <v>41</v>
      </c>
      <c r="N132" s="103"/>
      <c r="O132" s="103" t="s">
        <v>945</v>
      </c>
      <c r="P132" s="137">
        <f t="shared" si="10"/>
        <v>13325</v>
      </c>
    </row>
    <row r="133" spans="1:16" s="8" customFormat="1" ht="15.75" x14ac:dyDescent="0.25">
      <c r="A133" s="113" t="s">
        <v>361</v>
      </c>
      <c r="B133" s="102"/>
      <c r="C133" s="25" t="s">
        <v>861</v>
      </c>
      <c r="D133" s="25" t="s">
        <v>1122</v>
      </c>
      <c r="E133" s="38">
        <f>8+48</f>
        <v>56</v>
      </c>
      <c r="F133" s="132"/>
      <c r="G133" s="50">
        <f t="shared" ref="G133:G138" si="14">+E133*F133</f>
        <v>0</v>
      </c>
      <c r="H133" s="103"/>
      <c r="I133" s="141"/>
      <c r="J133" s="104"/>
      <c r="K133" s="103"/>
      <c r="L133" s="103"/>
      <c r="M133" s="141">
        <f t="shared" si="13"/>
        <v>56</v>
      </c>
      <c r="N133" s="103"/>
      <c r="O133" s="103" t="s">
        <v>947</v>
      </c>
      <c r="P133" s="137">
        <f t="shared" si="10"/>
        <v>0</v>
      </c>
    </row>
    <row r="134" spans="1:16" s="8" customFormat="1" ht="15.75" x14ac:dyDescent="0.25">
      <c r="A134" s="113" t="s">
        <v>362</v>
      </c>
      <c r="B134" s="102"/>
      <c r="C134" s="25" t="s">
        <v>862</v>
      </c>
      <c r="D134" s="25" t="s">
        <v>1122</v>
      </c>
      <c r="E134" s="38">
        <v>74</v>
      </c>
      <c r="F134" s="132"/>
      <c r="G134" s="50">
        <f t="shared" si="14"/>
        <v>0</v>
      </c>
      <c r="H134" s="103"/>
      <c r="I134" s="141"/>
      <c r="J134" s="104"/>
      <c r="K134" s="103"/>
      <c r="L134" s="103"/>
      <c r="M134" s="141">
        <f t="shared" si="13"/>
        <v>74</v>
      </c>
      <c r="N134" s="103"/>
      <c r="O134" s="103" t="s">
        <v>947</v>
      </c>
      <c r="P134" s="137">
        <f t="shared" si="10"/>
        <v>0</v>
      </c>
    </row>
    <row r="135" spans="1:16" s="8" customFormat="1" ht="15.75" x14ac:dyDescent="0.25">
      <c r="A135" s="113" t="s">
        <v>363</v>
      </c>
      <c r="B135" s="102"/>
      <c r="C135" s="25" t="s">
        <v>863</v>
      </c>
      <c r="D135" s="25" t="s">
        <v>1122</v>
      </c>
      <c r="E135" s="38">
        <f>79+33+106</f>
        <v>218</v>
      </c>
      <c r="F135" s="132"/>
      <c r="G135" s="50">
        <f t="shared" si="14"/>
        <v>0</v>
      </c>
      <c r="H135" s="103"/>
      <c r="I135" s="141"/>
      <c r="J135" s="104"/>
      <c r="K135" s="103"/>
      <c r="L135" s="103"/>
      <c r="M135" s="141">
        <f t="shared" si="13"/>
        <v>218</v>
      </c>
      <c r="N135" s="103"/>
      <c r="O135" s="103" t="s">
        <v>947</v>
      </c>
      <c r="P135" s="137">
        <f t="shared" si="10"/>
        <v>0</v>
      </c>
    </row>
    <row r="136" spans="1:16" s="8" customFormat="1" ht="15.75" x14ac:dyDescent="0.25">
      <c r="A136" s="113" t="s">
        <v>364</v>
      </c>
      <c r="B136" s="102"/>
      <c r="C136" s="25" t="s">
        <v>864</v>
      </c>
      <c r="D136" s="25" t="s">
        <v>1122</v>
      </c>
      <c r="E136" s="38">
        <v>46</v>
      </c>
      <c r="F136" s="132"/>
      <c r="G136" s="50">
        <f t="shared" si="14"/>
        <v>0</v>
      </c>
      <c r="H136" s="103"/>
      <c r="I136" s="141"/>
      <c r="J136" s="104"/>
      <c r="K136" s="103"/>
      <c r="L136" s="103"/>
      <c r="M136" s="141">
        <f t="shared" si="13"/>
        <v>46</v>
      </c>
      <c r="N136" s="103"/>
      <c r="O136" s="103" t="s">
        <v>947</v>
      </c>
      <c r="P136" s="137">
        <f t="shared" si="10"/>
        <v>0</v>
      </c>
    </row>
    <row r="137" spans="1:16" s="8" customFormat="1" ht="15.75" x14ac:dyDescent="0.25">
      <c r="A137" s="113" t="s">
        <v>365</v>
      </c>
      <c r="B137" s="102"/>
      <c r="C137" s="25" t="s">
        <v>865</v>
      </c>
      <c r="D137" s="25" t="s">
        <v>1122</v>
      </c>
      <c r="E137" s="38">
        <v>41</v>
      </c>
      <c r="F137" s="132"/>
      <c r="G137" s="50">
        <f t="shared" si="14"/>
        <v>0</v>
      </c>
      <c r="H137" s="103"/>
      <c r="I137" s="141"/>
      <c r="J137" s="104"/>
      <c r="K137" s="103"/>
      <c r="L137" s="103"/>
      <c r="M137" s="141">
        <f t="shared" si="13"/>
        <v>41</v>
      </c>
      <c r="N137" s="103"/>
      <c r="O137" s="103" t="s">
        <v>947</v>
      </c>
      <c r="P137" s="137">
        <f t="shared" si="10"/>
        <v>0</v>
      </c>
    </row>
    <row r="138" spans="1:16" s="8" customFormat="1" ht="15.75" x14ac:dyDescent="0.25">
      <c r="A138" s="113" t="s">
        <v>366</v>
      </c>
      <c r="B138" s="102"/>
      <c r="C138" s="25" t="s">
        <v>866</v>
      </c>
      <c r="D138" s="25" t="s">
        <v>1122</v>
      </c>
      <c r="E138" s="38">
        <f>34+1</f>
        <v>35</v>
      </c>
      <c r="F138" s="132"/>
      <c r="G138" s="50">
        <f t="shared" si="14"/>
        <v>0</v>
      </c>
      <c r="H138" s="103"/>
      <c r="I138" s="141"/>
      <c r="J138" s="104"/>
      <c r="K138" s="103"/>
      <c r="L138" s="103"/>
      <c r="M138" s="141">
        <f t="shared" si="13"/>
        <v>35</v>
      </c>
      <c r="N138" s="103"/>
      <c r="O138" s="103" t="s">
        <v>947</v>
      </c>
      <c r="P138" s="137">
        <f t="shared" si="10"/>
        <v>0</v>
      </c>
    </row>
    <row r="139" spans="1:16" s="92" customFormat="1" x14ac:dyDescent="0.3">
      <c r="A139" s="113" t="s">
        <v>367</v>
      </c>
      <c r="B139" s="107">
        <v>44748</v>
      </c>
      <c r="C139" s="25" t="s">
        <v>719</v>
      </c>
      <c r="D139" s="25" t="s">
        <v>1122</v>
      </c>
      <c r="E139" s="32"/>
      <c r="F139" s="133">
        <v>161.66999999999999</v>
      </c>
      <c r="G139" s="50">
        <f>E139*F139</f>
        <v>0</v>
      </c>
      <c r="H139" s="107">
        <v>44748</v>
      </c>
      <c r="I139" s="137">
        <f>3*6</f>
        <v>18</v>
      </c>
      <c r="J139" s="104">
        <v>161.66666666666666</v>
      </c>
      <c r="K139" s="108">
        <f>+I139*J139</f>
        <v>2910</v>
      </c>
      <c r="L139" s="103">
        <f>12+3+2+1+12</f>
        <v>30</v>
      </c>
      <c r="M139" s="141">
        <f t="shared" si="13"/>
        <v>-12</v>
      </c>
      <c r="N139" s="103"/>
      <c r="O139" s="103" t="s">
        <v>945</v>
      </c>
      <c r="P139" s="137">
        <f t="shared" si="10"/>
        <v>-1940.04</v>
      </c>
    </row>
    <row r="140" spans="1:16" s="8" customFormat="1" ht="15.75" x14ac:dyDescent="0.25">
      <c r="A140" s="113" t="s">
        <v>368</v>
      </c>
      <c r="B140" s="102">
        <v>44193</v>
      </c>
      <c r="C140" s="25" t="s">
        <v>813</v>
      </c>
      <c r="D140" s="25" t="s">
        <v>1122</v>
      </c>
      <c r="E140" s="32">
        <v>8</v>
      </c>
      <c r="F140" s="132">
        <v>1375</v>
      </c>
      <c r="G140" s="50">
        <f>E140*F140</f>
        <v>11000</v>
      </c>
      <c r="H140" s="103"/>
      <c r="I140" s="141"/>
      <c r="J140" s="104"/>
      <c r="K140" s="103"/>
      <c r="L140" s="103"/>
      <c r="M140" s="141">
        <f t="shared" si="13"/>
        <v>8</v>
      </c>
      <c r="N140" s="103"/>
      <c r="O140" s="103" t="s">
        <v>946</v>
      </c>
      <c r="P140" s="137">
        <f t="shared" si="10"/>
        <v>11000</v>
      </c>
    </row>
    <row r="141" spans="1:16" s="8" customFormat="1" ht="15.75" x14ac:dyDescent="0.25">
      <c r="A141" s="113" t="s">
        <v>369</v>
      </c>
      <c r="B141" s="106" t="s">
        <v>114</v>
      </c>
      <c r="C141" s="25" t="s">
        <v>642</v>
      </c>
      <c r="D141" s="25" t="s">
        <v>1122</v>
      </c>
      <c r="E141" s="32">
        <v>8</v>
      </c>
      <c r="F141" s="132">
        <v>1375</v>
      </c>
      <c r="G141" s="50">
        <f>E141*F141</f>
        <v>11000</v>
      </c>
      <c r="H141" s="103"/>
      <c r="I141" s="141"/>
      <c r="J141" s="104"/>
      <c r="K141" s="103"/>
      <c r="L141" s="103">
        <v>1</v>
      </c>
      <c r="M141" s="141">
        <f t="shared" si="13"/>
        <v>7</v>
      </c>
      <c r="N141" s="103"/>
      <c r="O141" s="103" t="s">
        <v>946</v>
      </c>
      <c r="P141" s="137">
        <f t="shared" si="10"/>
        <v>9625</v>
      </c>
    </row>
    <row r="142" spans="1:16" s="8" customFormat="1" ht="15.75" x14ac:dyDescent="0.25">
      <c r="A142" s="113" t="s">
        <v>370</v>
      </c>
      <c r="B142" s="102"/>
      <c r="C142" s="25" t="s">
        <v>833</v>
      </c>
      <c r="D142" s="25" t="s">
        <v>1122</v>
      </c>
      <c r="E142" s="32">
        <v>7</v>
      </c>
      <c r="F142" s="132"/>
      <c r="G142" s="50"/>
      <c r="H142" s="103"/>
      <c r="I142" s="141"/>
      <c r="J142" s="104"/>
      <c r="K142" s="103"/>
      <c r="L142" s="103"/>
      <c r="M142" s="141">
        <f t="shared" si="13"/>
        <v>7</v>
      </c>
      <c r="N142" s="103"/>
      <c r="O142" s="103" t="s">
        <v>946</v>
      </c>
      <c r="P142" s="137">
        <f t="shared" si="10"/>
        <v>0</v>
      </c>
    </row>
    <row r="143" spans="1:16" s="8" customFormat="1" ht="15.75" x14ac:dyDescent="0.25">
      <c r="A143" s="113" t="s">
        <v>371</v>
      </c>
      <c r="B143" s="102">
        <v>44193</v>
      </c>
      <c r="C143" s="25" t="s">
        <v>643</v>
      </c>
      <c r="D143" s="25" t="s">
        <v>1122</v>
      </c>
      <c r="E143" s="32">
        <v>4</v>
      </c>
      <c r="F143" s="132">
        <v>1375</v>
      </c>
      <c r="G143" s="50">
        <f>E143*F143</f>
        <v>5500</v>
      </c>
      <c r="H143" s="103"/>
      <c r="I143" s="141"/>
      <c r="J143" s="104"/>
      <c r="K143" s="103"/>
      <c r="L143" s="103"/>
      <c r="M143" s="141">
        <f t="shared" si="13"/>
        <v>4</v>
      </c>
      <c r="N143" s="103"/>
      <c r="O143" s="103" t="s">
        <v>946</v>
      </c>
      <c r="P143" s="137">
        <f t="shared" si="10"/>
        <v>5500</v>
      </c>
    </row>
    <row r="144" spans="1:16" s="8" customFormat="1" ht="15.75" x14ac:dyDescent="0.25">
      <c r="A144" s="113" t="s">
        <v>372</v>
      </c>
      <c r="B144" s="106"/>
      <c r="C144" s="25" t="s">
        <v>816</v>
      </c>
      <c r="D144" s="25" t="s">
        <v>1122</v>
      </c>
      <c r="E144" s="32">
        <v>2</v>
      </c>
      <c r="F144" s="132"/>
      <c r="G144" s="50"/>
      <c r="H144" s="103"/>
      <c r="I144" s="141"/>
      <c r="J144" s="104"/>
      <c r="K144" s="103"/>
      <c r="L144" s="103"/>
      <c r="M144" s="141">
        <f t="shared" si="13"/>
        <v>2</v>
      </c>
      <c r="N144" s="103"/>
      <c r="O144" s="103" t="s">
        <v>946</v>
      </c>
      <c r="P144" s="137">
        <f t="shared" si="10"/>
        <v>0</v>
      </c>
    </row>
    <row r="145" spans="1:16" s="8" customFormat="1" ht="15.75" x14ac:dyDescent="0.25">
      <c r="A145" s="113" t="s">
        <v>373</v>
      </c>
      <c r="B145" s="102"/>
      <c r="C145" s="25" t="s">
        <v>829</v>
      </c>
      <c r="D145" s="25" t="s">
        <v>1122</v>
      </c>
      <c r="E145" s="32">
        <v>2</v>
      </c>
      <c r="F145" s="132"/>
      <c r="G145" s="50"/>
      <c r="H145" s="103"/>
      <c r="I145" s="141"/>
      <c r="J145" s="104"/>
      <c r="K145" s="103"/>
      <c r="L145" s="103"/>
      <c r="M145" s="141">
        <f t="shared" si="13"/>
        <v>2</v>
      </c>
      <c r="N145" s="103"/>
      <c r="O145" s="103" t="s">
        <v>946</v>
      </c>
      <c r="P145" s="137">
        <f t="shared" si="10"/>
        <v>0</v>
      </c>
    </row>
    <row r="146" spans="1:16" s="8" customFormat="1" ht="15.75" x14ac:dyDescent="0.25">
      <c r="A146" s="113" t="s">
        <v>374</v>
      </c>
      <c r="B146" s="106" t="s">
        <v>106</v>
      </c>
      <c r="C146" s="25" t="s">
        <v>635</v>
      </c>
      <c r="D146" s="25" t="s">
        <v>1122</v>
      </c>
      <c r="E146" s="32">
        <v>8</v>
      </c>
      <c r="F146" s="132">
        <v>1375</v>
      </c>
      <c r="G146" s="50">
        <f>E146*F146</f>
        <v>11000</v>
      </c>
      <c r="H146" s="103"/>
      <c r="I146" s="141"/>
      <c r="J146" s="104"/>
      <c r="K146" s="103"/>
      <c r="L146" s="103">
        <v>2</v>
      </c>
      <c r="M146" s="141">
        <f t="shared" si="13"/>
        <v>6</v>
      </c>
      <c r="N146" s="103"/>
      <c r="O146" s="103" t="s">
        <v>946</v>
      </c>
      <c r="P146" s="137">
        <f t="shared" si="10"/>
        <v>8250</v>
      </c>
    </row>
    <row r="147" spans="1:16" s="8" customFormat="1" ht="15.75" x14ac:dyDescent="0.25">
      <c r="A147" s="113" t="s">
        <v>375</v>
      </c>
      <c r="B147" s="102">
        <v>45020</v>
      </c>
      <c r="C147" s="25" t="s">
        <v>636</v>
      </c>
      <c r="D147" s="25" t="s">
        <v>1122</v>
      </c>
      <c r="E147" s="55">
        <v>30</v>
      </c>
      <c r="F147" s="132">
        <v>436.6</v>
      </c>
      <c r="G147" s="50">
        <f>E147*F147</f>
        <v>13098</v>
      </c>
      <c r="H147" s="103"/>
      <c r="I147" s="141"/>
      <c r="J147" s="104"/>
      <c r="K147" s="103"/>
      <c r="L147" s="103"/>
      <c r="M147" s="141">
        <f t="shared" si="13"/>
        <v>30</v>
      </c>
      <c r="N147" s="103"/>
      <c r="O147" s="103" t="s">
        <v>946</v>
      </c>
      <c r="P147" s="137">
        <f t="shared" si="10"/>
        <v>13098</v>
      </c>
    </row>
    <row r="148" spans="1:16" s="8" customFormat="1" ht="15.75" x14ac:dyDescent="0.25">
      <c r="A148" s="113" t="s">
        <v>376</v>
      </c>
      <c r="B148" s="102"/>
      <c r="C148" s="25" t="s">
        <v>831</v>
      </c>
      <c r="D148" s="25" t="s">
        <v>1122</v>
      </c>
      <c r="E148" s="32">
        <f>25+28</f>
        <v>53</v>
      </c>
      <c r="F148" s="132"/>
      <c r="G148" s="50"/>
      <c r="H148" s="103"/>
      <c r="I148" s="141"/>
      <c r="J148" s="104"/>
      <c r="K148" s="103"/>
      <c r="L148" s="103">
        <v>10</v>
      </c>
      <c r="M148" s="141">
        <f t="shared" si="13"/>
        <v>43</v>
      </c>
      <c r="N148" s="103"/>
      <c r="O148" s="103" t="s">
        <v>946</v>
      </c>
      <c r="P148" s="137">
        <f t="shared" si="10"/>
        <v>0</v>
      </c>
    </row>
    <row r="149" spans="1:16" s="8" customFormat="1" ht="15.75" x14ac:dyDescent="0.25">
      <c r="A149" s="113" t="s">
        <v>377</v>
      </c>
      <c r="B149" s="102"/>
      <c r="C149" s="25" t="s">
        <v>832</v>
      </c>
      <c r="D149" s="25" t="s">
        <v>1122</v>
      </c>
      <c r="E149" s="32">
        <v>5</v>
      </c>
      <c r="F149" s="132"/>
      <c r="G149" s="50"/>
      <c r="H149" s="103"/>
      <c r="I149" s="141"/>
      <c r="J149" s="104"/>
      <c r="K149" s="103"/>
      <c r="L149" s="103"/>
      <c r="M149" s="141">
        <f t="shared" si="13"/>
        <v>5</v>
      </c>
      <c r="N149" s="103"/>
      <c r="O149" s="103" t="s">
        <v>946</v>
      </c>
      <c r="P149" s="137">
        <f t="shared" si="10"/>
        <v>0</v>
      </c>
    </row>
    <row r="150" spans="1:16" s="8" customFormat="1" ht="15.75" x14ac:dyDescent="0.25">
      <c r="A150" s="113" t="s">
        <v>378</v>
      </c>
      <c r="B150" s="106" t="s">
        <v>106</v>
      </c>
      <c r="C150" s="25" t="s">
        <v>812</v>
      </c>
      <c r="D150" s="25" t="s">
        <v>1122</v>
      </c>
      <c r="E150" s="32">
        <v>3</v>
      </c>
      <c r="F150" s="132">
        <v>1180</v>
      </c>
      <c r="G150" s="50">
        <f>E150*F150</f>
        <v>3540</v>
      </c>
      <c r="H150" s="103"/>
      <c r="I150" s="141"/>
      <c r="J150" s="104"/>
      <c r="K150" s="103"/>
      <c r="L150" s="103"/>
      <c r="M150" s="141">
        <f t="shared" si="13"/>
        <v>3</v>
      </c>
      <c r="N150" s="103"/>
      <c r="O150" s="103" t="s">
        <v>946</v>
      </c>
      <c r="P150" s="137">
        <f t="shared" si="10"/>
        <v>3540</v>
      </c>
    </row>
    <row r="151" spans="1:16" s="8" customFormat="1" ht="15.75" x14ac:dyDescent="0.25">
      <c r="A151" s="113" t="s">
        <v>379</v>
      </c>
      <c r="B151" s="102">
        <v>44193</v>
      </c>
      <c r="C151" s="25" t="s">
        <v>637</v>
      </c>
      <c r="D151" s="25" t="s">
        <v>1122</v>
      </c>
      <c r="E151" s="55">
        <v>9</v>
      </c>
      <c r="F151" s="132">
        <v>1180</v>
      </c>
      <c r="G151" s="50">
        <f>E151*F151</f>
        <v>10620</v>
      </c>
      <c r="H151" s="103"/>
      <c r="I151" s="141"/>
      <c r="J151" s="104"/>
      <c r="K151" s="103"/>
      <c r="L151" s="103"/>
      <c r="M151" s="141">
        <f t="shared" si="13"/>
        <v>9</v>
      </c>
      <c r="N151" s="103"/>
      <c r="O151" s="103" t="s">
        <v>946</v>
      </c>
      <c r="P151" s="137">
        <f t="shared" si="10"/>
        <v>10620</v>
      </c>
    </row>
    <row r="152" spans="1:16" s="8" customFormat="1" ht="15.75" x14ac:dyDescent="0.25">
      <c r="A152" s="113" t="s">
        <v>380</v>
      </c>
      <c r="B152" s="102"/>
      <c r="C152" s="25" t="s">
        <v>834</v>
      </c>
      <c r="D152" s="25" t="s">
        <v>1122</v>
      </c>
      <c r="E152" s="32">
        <v>1</v>
      </c>
      <c r="F152" s="132"/>
      <c r="G152" s="50"/>
      <c r="H152" s="103"/>
      <c r="I152" s="141"/>
      <c r="J152" s="104"/>
      <c r="K152" s="103"/>
      <c r="L152" s="103"/>
      <c r="M152" s="141">
        <f t="shared" si="13"/>
        <v>1</v>
      </c>
      <c r="N152" s="103"/>
      <c r="O152" s="103" t="s">
        <v>946</v>
      </c>
      <c r="P152" s="137">
        <f t="shared" si="10"/>
        <v>0</v>
      </c>
    </row>
    <row r="153" spans="1:16" s="8" customFormat="1" ht="15.75" x14ac:dyDescent="0.25">
      <c r="A153" s="113" t="s">
        <v>381</v>
      </c>
      <c r="B153" s="106" t="s">
        <v>106</v>
      </c>
      <c r="C153" s="25" t="s">
        <v>639</v>
      </c>
      <c r="D153" s="25" t="s">
        <v>1122</v>
      </c>
      <c r="E153" s="32">
        <v>8</v>
      </c>
      <c r="F153" s="133">
        <v>1375</v>
      </c>
      <c r="G153" s="50">
        <f t="shared" ref="G153:G165" si="15">E153*F153</f>
        <v>11000</v>
      </c>
      <c r="H153" s="103"/>
      <c r="I153" s="141"/>
      <c r="J153" s="104"/>
      <c r="K153" s="103"/>
      <c r="L153" s="103"/>
      <c r="M153" s="141">
        <f t="shared" si="13"/>
        <v>8</v>
      </c>
      <c r="N153" s="103"/>
      <c r="O153" s="103" t="s">
        <v>946</v>
      </c>
      <c r="P153" s="137">
        <f t="shared" ref="P153:P216" si="16">+F153*M153</f>
        <v>11000</v>
      </c>
    </row>
    <row r="154" spans="1:16" s="8" customFormat="1" ht="15.75" x14ac:dyDescent="0.25">
      <c r="A154" s="113" t="s">
        <v>382</v>
      </c>
      <c r="B154" s="102">
        <v>44193</v>
      </c>
      <c r="C154" s="25" t="s">
        <v>638</v>
      </c>
      <c r="D154" s="25" t="s">
        <v>1122</v>
      </c>
      <c r="E154" s="32">
        <v>4</v>
      </c>
      <c r="F154" s="132">
        <v>1294.3699999999999</v>
      </c>
      <c r="G154" s="50">
        <f t="shared" si="15"/>
        <v>5177.4799999999996</v>
      </c>
      <c r="H154" s="103"/>
      <c r="I154" s="141"/>
      <c r="J154" s="104"/>
      <c r="K154" s="103"/>
      <c r="L154" s="103"/>
      <c r="M154" s="141">
        <f t="shared" si="13"/>
        <v>4</v>
      </c>
      <c r="N154" s="103"/>
      <c r="O154" s="103" t="s">
        <v>946</v>
      </c>
      <c r="P154" s="137">
        <f t="shared" si="16"/>
        <v>5177.4799999999996</v>
      </c>
    </row>
    <row r="155" spans="1:16" s="8" customFormat="1" ht="15.75" x14ac:dyDescent="0.25">
      <c r="A155" s="113" t="s">
        <v>383</v>
      </c>
      <c r="B155" s="106" t="s">
        <v>114</v>
      </c>
      <c r="C155" s="25" t="s">
        <v>640</v>
      </c>
      <c r="D155" s="25" t="s">
        <v>1122</v>
      </c>
      <c r="E155" s="32">
        <v>4</v>
      </c>
      <c r="F155" s="135">
        <v>2600</v>
      </c>
      <c r="G155" s="50">
        <f t="shared" si="15"/>
        <v>10400</v>
      </c>
      <c r="H155" s="103"/>
      <c r="I155" s="141"/>
      <c r="J155" s="104"/>
      <c r="K155" s="103"/>
      <c r="L155" s="103"/>
      <c r="M155" s="141">
        <f t="shared" si="13"/>
        <v>4</v>
      </c>
      <c r="N155" s="103"/>
      <c r="O155" s="103" t="s">
        <v>946</v>
      </c>
      <c r="P155" s="137">
        <f t="shared" si="16"/>
        <v>10400</v>
      </c>
    </row>
    <row r="156" spans="1:16" s="8" customFormat="1" ht="15.75" x14ac:dyDescent="0.25">
      <c r="A156" s="113" t="s">
        <v>384</v>
      </c>
      <c r="B156" s="102">
        <v>44193</v>
      </c>
      <c r="C156" s="25" t="s">
        <v>830</v>
      </c>
      <c r="D156" s="25" t="s">
        <v>1122</v>
      </c>
      <c r="E156" s="32">
        <v>2</v>
      </c>
      <c r="F156" s="132">
        <v>2600</v>
      </c>
      <c r="G156" s="50">
        <f t="shared" si="15"/>
        <v>5200</v>
      </c>
      <c r="H156" s="103"/>
      <c r="I156" s="141"/>
      <c r="J156" s="104"/>
      <c r="K156" s="103"/>
      <c r="L156" s="103">
        <v>2</v>
      </c>
      <c r="M156" s="141">
        <f t="shared" si="13"/>
        <v>0</v>
      </c>
      <c r="N156" s="103"/>
      <c r="O156" s="103" t="s">
        <v>946</v>
      </c>
      <c r="P156" s="137">
        <f t="shared" si="16"/>
        <v>0</v>
      </c>
    </row>
    <row r="157" spans="1:16" s="105" customFormat="1" ht="15.75" x14ac:dyDescent="0.25">
      <c r="A157" s="113" t="s">
        <v>385</v>
      </c>
      <c r="B157" s="107">
        <v>44852</v>
      </c>
      <c r="C157" s="9" t="s">
        <v>951</v>
      </c>
      <c r="D157" s="25" t="s">
        <v>1122</v>
      </c>
      <c r="E157" s="58">
        <v>46</v>
      </c>
      <c r="F157" s="132">
        <v>5.07</v>
      </c>
      <c r="G157" s="50">
        <f t="shared" si="15"/>
        <v>233.22000000000003</v>
      </c>
      <c r="H157" s="107">
        <v>44852</v>
      </c>
      <c r="I157" s="141">
        <f>10*100</f>
        <v>1000</v>
      </c>
      <c r="J157" s="104">
        <v>5.07</v>
      </c>
      <c r="K157" s="108">
        <f>+I157*J157</f>
        <v>5070</v>
      </c>
      <c r="L157" s="103">
        <f>12+100+15</f>
        <v>127</v>
      </c>
      <c r="M157" s="141">
        <f t="shared" si="13"/>
        <v>919</v>
      </c>
      <c r="N157" s="103" t="s">
        <v>1037</v>
      </c>
      <c r="O157" s="103" t="s">
        <v>947</v>
      </c>
      <c r="P157" s="137">
        <f t="shared" si="16"/>
        <v>4659.33</v>
      </c>
    </row>
    <row r="158" spans="1:16" s="8" customFormat="1" ht="15.75" x14ac:dyDescent="0.25">
      <c r="A158" s="113" t="s">
        <v>386</v>
      </c>
      <c r="B158" s="102">
        <v>44193</v>
      </c>
      <c r="C158" s="9" t="s">
        <v>647</v>
      </c>
      <c r="D158" s="25" t="s">
        <v>1122</v>
      </c>
      <c r="E158" s="58">
        <v>15</v>
      </c>
      <c r="F158" s="132">
        <v>4.55</v>
      </c>
      <c r="G158" s="50">
        <f t="shared" si="15"/>
        <v>68.25</v>
      </c>
      <c r="H158" s="103"/>
      <c r="I158" s="141"/>
      <c r="J158" s="104"/>
      <c r="K158" s="103"/>
      <c r="L158" s="103"/>
      <c r="M158" s="141">
        <f t="shared" si="13"/>
        <v>15</v>
      </c>
      <c r="N158" s="103"/>
      <c r="O158" s="103" t="s">
        <v>947</v>
      </c>
      <c r="P158" s="137">
        <f t="shared" si="16"/>
        <v>68.25</v>
      </c>
    </row>
    <row r="159" spans="1:16" s="8" customFormat="1" ht="15.75" x14ac:dyDescent="0.25">
      <c r="A159" s="113" t="s">
        <v>387</v>
      </c>
      <c r="B159" s="102">
        <v>44193</v>
      </c>
      <c r="C159" s="26" t="s">
        <v>645</v>
      </c>
      <c r="D159" s="25" t="s">
        <v>1122</v>
      </c>
      <c r="E159" s="58">
        <v>820</v>
      </c>
      <c r="F159" s="132">
        <v>7.5</v>
      </c>
      <c r="G159" s="50">
        <f t="shared" si="15"/>
        <v>6150</v>
      </c>
      <c r="H159" s="103"/>
      <c r="I159" s="141"/>
      <c r="J159" s="104"/>
      <c r="K159" s="103"/>
      <c r="L159" s="103"/>
      <c r="M159" s="141">
        <f t="shared" si="13"/>
        <v>820</v>
      </c>
      <c r="N159" s="103"/>
      <c r="O159" s="103" t="s">
        <v>947</v>
      </c>
      <c r="P159" s="137">
        <f t="shared" si="16"/>
        <v>6150</v>
      </c>
    </row>
    <row r="160" spans="1:16" s="92" customFormat="1" x14ac:dyDescent="0.3">
      <c r="A160" s="113" t="s">
        <v>388</v>
      </c>
      <c r="B160" s="102">
        <v>44659</v>
      </c>
      <c r="C160" s="26" t="s">
        <v>854</v>
      </c>
      <c r="D160" s="25" t="s">
        <v>1122</v>
      </c>
      <c r="E160" s="30">
        <f>30*100</f>
        <v>3000</v>
      </c>
      <c r="F160" s="132">
        <v>3.4</v>
      </c>
      <c r="G160" s="50">
        <f t="shared" si="15"/>
        <v>10200</v>
      </c>
      <c r="H160" s="103"/>
      <c r="I160" s="141"/>
      <c r="J160" s="104"/>
      <c r="K160" s="103"/>
      <c r="L160" s="103"/>
      <c r="M160" s="141">
        <f t="shared" si="13"/>
        <v>3000</v>
      </c>
      <c r="N160" s="103"/>
      <c r="O160" s="103" t="s">
        <v>945</v>
      </c>
      <c r="P160" s="137">
        <f t="shared" si="16"/>
        <v>10200</v>
      </c>
    </row>
    <row r="161" spans="1:16" s="92" customFormat="1" x14ac:dyDescent="0.3">
      <c r="A161" s="113" t="s">
        <v>389</v>
      </c>
      <c r="B161" s="107">
        <v>45019</v>
      </c>
      <c r="C161" s="9" t="s">
        <v>648</v>
      </c>
      <c r="D161" s="25" t="s">
        <v>1122</v>
      </c>
      <c r="E161" s="30">
        <v>1100</v>
      </c>
      <c r="F161" s="132">
        <v>4.01</v>
      </c>
      <c r="G161" s="50">
        <f t="shared" si="15"/>
        <v>4411</v>
      </c>
      <c r="H161" s="107">
        <v>45019</v>
      </c>
      <c r="I161" s="144">
        <f>7*100</f>
        <v>700</v>
      </c>
      <c r="J161" s="104">
        <f>3.4+0.612</f>
        <v>4.0119999999999996</v>
      </c>
      <c r="K161" s="108">
        <f>+I161*J161</f>
        <v>2808.3999999999996</v>
      </c>
      <c r="L161" s="103">
        <f>100+25+100</f>
        <v>225</v>
      </c>
      <c r="M161" s="141">
        <f t="shared" si="13"/>
        <v>1575</v>
      </c>
      <c r="N161" s="103"/>
      <c r="O161" s="103" t="s">
        <v>945</v>
      </c>
      <c r="P161" s="137">
        <f t="shared" si="16"/>
        <v>6315.75</v>
      </c>
    </row>
    <row r="162" spans="1:16" s="92" customFormat="1" x14ac:dyDescent="0.3">
      <c r="A162" s="113" t="s">
        <v>390</v>
      </c>
      <c r="B162" s="107">
        <v>44778</v>
      </c>
      <c r="C162" s="25" t="s">
        <v>855</v>
      </c>
      <c r="D162" s="25" t="s">
        <v>1122</v>
      </c>
      <c r="E162" s="38">
        <f>25*100</f>
        <v>2500</v>
      </c>
      <c r="F162" s="132">
        <v>4.8899999999999997</v>
      </c>
      <c r="G162" s="50">
        <f t="shared" si="15"/>
        <v>12225</v>
      </c>
      <c r="H162" s="107">
        <v>44778</v>
      </c>
      <c r="I162" s="144">
        <f>10*100</f>
        <v>1000</v>
      </c>
      <c r="J162" s="104">
        <v>4.8899999999999997</v>
      </c>
      <c r="K162" s="108">
        <f>+I162*J162</f>
        <v>4890</v>
      </c>
      <c r="L162" s="103"/>
      <c r="M162" s="141">
        <f t="shared" si="13"/>
        <v>3500</v>
      </c>
      <c r="N162" s="103" t="s">
        <v>943</v>
      </c>
      <c r="O162" s="103" t="s">
        <v>945</v>
      </c>
      <c r="P162" s="137">
        <f t="shared" si="16"/>
        <v>17115</v>
      </c>
    </row>
    <row r="163" spans="1:16" s="92" customFormat="1" x14ac:dyDescent="0.3">
      <c r="A163" s="113" t="s">
        <v>391</v>
      </c>
      <c r="B163" s="107">
        <v>45019</v>
      </c>
      <c r="C163" s="25" t="s">
        <v>651</v>
      </c>
      <c r="D163" s="25" t="s">
        <v>1122</v>
      </c>
      <c r="E163" s="38">
        <f>60*100</f>
        <v>6000</v>
      </c>
      <c r="F163" s="132">
        <v>9.56</v>
      </c>
      <c r="G163" s="50">
        <f t="shared" si="15"/>
        <v>57360</v>
      </c>
      <c r="H163" s="107">
        <v>45019</v>
      </c>
      <c r="I163" s="141">
        <v>700</v>
      </c>
      <c r="J163" s="104">
        <v>9.56</v>
      </c>
      <c r="K163" s="108">
        <f t="shared" ref="K163:K166" si="17">+I163*J163</f>
        <v>6692</v>
      </c>
      <c r="L163" s="103">
        <f>100+100+100</f>
        <v>300</v>
      </c>
      <c r="M163" s="141">
        <f t="shared" si="13"/>
        <v>6400</v>
      </c>
      <c r="N163" s="103"/>
      <c r="O163" s="103" t="s">
        <v>945</v>
      </c>
      <c r="P163" s="137">
        <f t="shared" si="16"/>
        <v>61184</v>
      </c>
    </row>
    <row r="164" spans="1:16" s="92" customFormat="1" x14ac:dyDescent="0.3">
      <c r="A164" s="113" t="s">
        <v>392</v>
      </c>
      <c r="B164" s="107">
        <v>45019</v>
      </c>
      <c r="C164" s="25" t="s">
        <v>652</v>
      </c>
      <c r="D164" s="25" t="s">
        <v>1122</v>
      </c>
      <c r="E164" s="38">
        <f>30*100</f>
        <v>3000</v>
      </c>
      <c r="F164" s="132">
        <v>11.21</v>
      </c>
      <c r="G164" s="50">
        <f t="shared" si="15"/>
        <v>33630</v>
      </c>
      <c r="H164" s="107">
        <v>45019</v>
      </c>
      <c r="I164" s="141">
        <f>7*100</f>
        <v>700</v>
      </c>
      <c r="J164" s="104">
        <v>11.21</v>
      </c>
      <c r="K164" s="108">
        <f t="shared" si="17"/>
        <v>7847.0000000000009</v>
      </c>
      <c r="L164" s="103">
        <f>100+100+200</f>
        <v>400</v>
      </c>
      <c r="M164" s="141">
        <f t="shared" si="13"/>
        <v>3300</v>
      </c>
      <c r="N164" s="103"/>
      <c r="O164" s="103" t="s">
        <v>945</v>
      </c>
      <c r="P164" s="137">
        <f t="shared" si="16"/>
        <v>36993</v>
      </c>
    </row>
    <row r="165" spans="1:16" s="92" customFormat="1" x14ac:dyDescent="0.3">
      <c r="A165" s="113" t="s">
        <v>393</v>
      </c>
      <c r="B165" s="102">
        <v>44193</v>
      </c>
      <c r="C165" s="26" t="s">
        <v>786</v>
      </c>
      <c r="D165" s="25" t="s">
        <v>1122</v>
      </c>
      <c r="E165" s="32">
        <f>4+8</f>
        <v>12</v>
      </c>
      <c r="F165" s="132">
        <v>150</v>
      </c>
      <c r="G165" s="50">
        <f t="shared" si="15"/>
        <v>1800</v>
      </c>
      <c r="H165" s="103"/>
      <c r="I165" s="141"/>
      <c r="J165" s="104"/>
      <c r="K165" s="108">
        <f t="shared" si="17"/>
        <v>0</v>
      </c>
      <c r="L165" s="103"/>
      <c r="M165" s="141">
        <f t="shared" si="13"/>
        <v>12</v>
      </c>
      <c r="N165" s="103"/>
      <c r="O165" s="103" t="s">
        <v>945</v>
      </c>
      <c r="P165" s="137">
        <f t="shared" si="16"/>
        <v>1800</v>
      </c>
    </row>
    <row r="166" spans="1:16" s="8" customFormat="1" ht="15.75" x14ac:dyDescent="0.25">
      <c r="A166" s="113" t="s">
        <v>394</v>
      </c>
      <c r="B166" s="102"/>
      <c r="C166" s="25" t="s">
        <v>827</v>
      </c>
      <c r="D166" s="25" t="s">
        <v>1122</v>
      </c>
      <c r="E166" s="38">
        <v>2</v>
      </c>
      <c r="F166" s="132"/>
      <c r="G166" s="50"/>
      <c r="H166" s="103"/>
      <c r="I166" s="141"/>
      <c r="J166" s="104"/>
      <c r="K166" s="108">
        <f t="shared" si="17"/>
        <v>0</v>
      </c>
      <c r="L166" s="103"/>
      <c r="M166" s="141">
        <f t="shared" si="13"/>
        <v>2</v>
      </c>
      <c r="N166" s="103"/>
      <c r="O166" s="103" t="s">
        <v>946</v>
      </c>
      <c r="P166" s="137">
        <f t="shared" si="16"/>
        <v>0</v>
      </c>
    </row>
    <row r="167" spans="1:16" s="8" customFormat="1" ht="15.75" x14ac:dyDescent="0.25">
      <c r="A167" s="113" t="s">
        <v>395</v>
      </c>
      <c r="B167" s="102"/>
      <c r="C167" s="25" t="s">
        <v>828</v>
      </c>
      <c r="D167" s="25" t="s">
        <v>1122</v>
      </c>
      <c r="E167" s="38">
        <v>1</v>
      </c>
      <c r="F167" s="132"/>
      <c r="G167" s="50"/>
      <c r="H167" s="103"/>
      <c r="I167" s="141"/>
      <c r="J167" s="104"/>
      <c r="K167" s="103"/>
      <c r="L167" s="103"/>
      <c r="M167" s="141">
        <f t="shared" si="13"/>
        <v>1</v>
      </c>
      <c r="N167" s="103"/>
      <c r="O167" s="103" t="s">
        <v>946</v>
      </c>
      <c r="P167" s="137">
        <f t="shared" si="16"/>
        <v>0</v>
      </c>
    </row>
    <row r="168" spans="1:16" s="92" customFormat="1" x14ac:dyDescent="0.3">
      <c r="A168" s="113" t="s">
        <v>396</v>
      </c>
      <c r="B168" s="102">
        <v>44193</v>
      </c>
      <c r="C168" s="25" t="s">
        <v>653</v>
      </c>
      <c r="D168" s="25" t="s">
        <v>1122</v>
      </c>
      <c r="E168" s="38">
        <v>50</v>
      </c>
      <c r="F168" s="132">
        <v>575</v>
      </c>
      <c r="G168" s="50">
        <f t="shared" ref="G168:G198" si="18">E168*F168</f>
        <v>28750</v>
      </c>
      <c r="H168" s="103"/>
      <c r="I168" s="141"/>
      <c r="J168" s="104"/>
      <c r="K168" s="103"/>
      <c r="L168" s="103">
        <f>1+1</f>
        <v>2</v>
      </c>
      <c r="M168" s="141">
        <f t="shared" si="13"/>
        <v>48</v>
      </c>
      <c r="N168" s="103"/>
      <c r="O168" s="103" t="s">
        <v>945</v>
      </c>
      <c r="P168" s="137">
        <f t="shared" si="16"/>
        <v>27600</v>
      </c>
    </row>
    <row r="169" spans="1:16" s="105" customFormat="1" ht="15.75" x14ac:dyDescent="0.25">
      <c r="A169" s="113" t="s">
        <v>397</v>
      </c>
      <c r="B169" s="107">
        <v>44851</v>
      </c>
      <c r="C169" s="26" t="s">
        <v>655</v>
      </c>
      <c r="D169" s="25" t="s">
        <v>1122</v>
      </c>
      <c r="E169" s="32">
        <v>20</v>
      </c>
      <c r="F169" s="132">
        <v>8.08</v>
      </c>
      <c r="G169" s="50">
        <f t="shared" si="18"/>
        <v>161.6</v>
      </c>
      <c r="H169" s="107">
        <v>44851</v>
      </c>
      <c r="I169" s="141">
        <v>20</v>
      </c>
      <c r="J169" s="104">
        <v>8.08</v>
      </c>
      <c r="K169" s="103">
        <f>+J169*I169</f>
        <v>161.6</v>
      </c>
      <c r="L169" s="103">
        <f>3+1</f>
        <v>4</v>
      </c>
      <c r="M169" s="141">
        <f t="shared" si="13"/>
        <v>36</v>
      </c>
      <c r="N169" s="103" t="s">
        <v>1037</v>
      </c>
      <c r="O169" s="103" t="s">
        <v>947</v>
      </c>
      <c r="P169" s="137">
        <f t="shared" si="16"/>
        <v>290.88</v>
      </c>
    </row>
    <row r="170" spans="1:16" s="8" customFormat="1" ht="15.75" x14ac:dyDescent="0.25">
      <c r="A170" s="113" t="s">
        <v>398</v>
      </c>
      <c r="B170" s="102">
        <v>44193</v>
      </c>
      <c r="C170" s="9" t="s">
        <v>656</v>
      </c>
      <c r="D170" s="25" t="s">
        <v>1122</v>
      </c>
      <c r="E170" s="32">
        <v>15</v>
      </c>
      <c r="F170" s="132">
        <v>275</v>
      </c>
      <c r="G170" s="50">
        <f t="shared" si="18"/>
        <v>4125</v>
      </c>
      <c r="H170" s="103"/>
      <c r="I170" s="141"/>
      <c r="J170" s="104"/>
      <c r="K170" s="103"/>
      <c r="L170" s="103">
        <f>1+3</f>
        <v>4</v>
      </c>
      <c r="M170" s="141">
        <f t="shared" si="13"/>
        <v>11</v>
      </c>
      <c r="N170" s="103"/>
      <c r="O170" s="103" t="s">
        <v>947</v>
      </c>
      <c r="P170" s="137">
        <f t="shared" si="16"/>
        <v>3025</v>
      </c>
    </row>
    <row r="171" spans="1:16" s="8" customFormat="1" ht="15.75" x14ac:dyDescent="0.25">
      <c r="A171" s="113" t="s">
        <v>399</v>
      </c>
      <c r="B171" s="102">
        <v>44193</v>
      </c>
      <c r="C171" s="9" t="s">
        <v>658</v>
      </c>
      <c r="D171" s="25" t="s">
        <v>1122</v>
      </c>
      <c r="E171" s="30">
        <v>2</v>
      </c>
      <c r="F171" s="132">
        <v>50</v>
      </c>
      <c r="G171" s="50">
        <f t="shared" si="18"/>
        <v>100</v>
      </c>
      <c r="H171" s="103"/>
      <c r="I171" s="141"/>
      <c r="J171" s="104"/>
      <c r="K171" s="103"/>
      <c r="L171" s="103"/>
      <c r="M171" s="141">
        <f t="shared" si="13"/>
        <v>2</v>
      </c>
      <c r="N171" s="103"/>
      <c r="O171" s="103" t="s">
        <v>947</v>
      </c>
      <c r="P171" s="137">
        <f t="shared" si="16"/>
        <v>100</v>
      </c>
    </row>
    <row r="172" spans="1:16" s="8" customFormat="1" ht="15.75" x14ac:dyDescent="0.25">
      <c r="A172" s="113" t="s">
        <v>400</v>
      </c>
      <c r="B172" s="102">
        <v>44193</v>
      </c>
      <c r="C172" s="9" t="s">
        <v>657</v>
      </c>
      <c r="D172" s="25" t="s">
        <v>1122</v>
      </c>
      <c r="E172" s="30">
        <f>20+9</f>
        <v>29</v>
      </c>
      <c r="F172" s="132">
        <v>50</v>
      </c>
      <c r="G172" s="50">
        <f t="shared" si="18"/>
        <v>1450</v>
      </c>
      <c r="H172" s="103"/>
      <c r="I172" s="141"/>
      <c r="J172" s="104"/>
      <c r="K172" s="103"/>
      <c r="L172" s="103">
        <f>1+1</f>
        <v>2</v>
      </c>
      <c r="M172" s="141">
        <f t="shared" si="13"/>
        <v>27</v>
      </c>
      <c r="N172" s="103"/>
      <c r="O172" s="103" t="s">
        <v>947</v>
      </c>
      <c r="P172" s="137">
        <f t="shared" si="16"/>
        <v>1350</v>
      </c>
    </row>
    <row r="173" spans="1:16" s="92" customFormat="1" x14ac:dyDescent="0.3">
      <c r="A173" s="113" t="s">
        <v>401</v>
      </c>
      <c r="B173" s="102">
        <v>44193</v>
      </c>
      <c r="C173" s="26" t="s">
        <v>660</v>
      </c>
      <c r="D173" s="25" t="s">
        <v>1122</v>
      </c>
      <c r="E173" s="30">
        <v>35</v>
      </c>
      <c r="F173" s="132">
        <v>7</v>
      </c>
      <c r="G173" s="50">
        <f t="shared" si="18"/>
        <v>245</v>
      </c>
      <c r="H173" s="103"/>
      <c r="I173" s="141"/>
      <c r="J173" s="104"/>
      <c r="K173" s="103"/>
      <c r="L173" s="103"/>
      <c r="M173" s="141">
        <f t="shared" si="13"/>
        <v>35</v>
      </c>
      <c r="N173" s="103"/>
      <c r="O173" s="103" t="s">
        <v>945</v>
      </c>
      <c r="P173" s="137">
        <f t="shared" si="16"/>
        <v>245</v>
      </c>
    </row>
    <row r="174" spans="1:16" s="92" customFormat="1" x14ac:dyDescent="0.3">
      <c r="A174" s="113" t="s">
        <v>402</v>
      </c>
      <c r="B174" s="102">
        <v>44193</v>
      </c>
      <c r="C174" s="26" t="s">
        <v>659</v>
      </c>
      <c r="D174" s="25" t="s">
        <v>1122</v>
      </c>
      <c r="E174" s="30">
        <v>34</v>
      </c>
      <c r="F174" s="132">
        <v>125</v>
      </c>
      <c r="G174" s="50">
        <f t="shared" si="18"/>
        <v>4250</v>
      </c>
      <c r="H174" s="103"/>
      <c r="I174" s="141"/>
      <c r="J174" s="104"/>
      <c r="K174" s="103"/>
      <c r="L174" s="103">
        <v>1</v>
      </c>
      <c r="M174" s="141">
        <f t="shared" si="13"/>
        <v>33</v>
      </c>
      <c r="N174" s="103"/>
      <c r="O174" s="103" t="s">
        <v>945</v>
      </c>
      <c r="P174" s="137">
        <f t="shared" si="16"/>
        <v>4125</v>
      </c>
    </row>
    <row r="175" spans="1:16" s="92" customFormat="1" x14ac:dyDescent="0.3">
      <c r="A175" s="113" t="s">
        <v>403</v>
      </c>
      <c r="B175" s="102">
        <v>44193</v>
      </c>
      <c r="C175" s="26" t="s">
        <v>661</v>
      </c>
      <c r="D175" s="25" t="s">
        <v>1122</v>
      </c>
      <c r="E175" s="30">
        <v>106</v>
      </c>
      <c r="F175" s="132">
        <v>7</v>
      </c>
      <c r="G175" s="50">
        <f t="shared" si="18"/>
        <v>742</v>
      </c>
      <c r="H175" s="103"/>
      <c r="I175" s="141"/>
      <c r="J175" s="104"/>
      <c r="K175" s="103"/>
      <c r="L175" s="103">
        <v>3</v>
      </c>
      <c r="M175" s="141">
        <f t="shared" si="13"/>
        <v>103</v>
      </c>
      <c r="N175" s="103"/>
      <c r="O175" s="103" t="s">
        <v>945</v>
      </c>
      <c r="P175" s="137">
        <f t="shared" si="16"/>
        <v>721</v>
      </c>
    </row>
    <row r="176" spans="1:16" s="92" customFormat="1" x14ac:dyDescent="0.3">
      <c r="A176" s="113" t="s">
        <v>404</v>
      </c>
      <c r="B176" s="102">
        <v>44456</v>
      </c>
      <c r="C176" s="26" t="s">
        <v>662</v>
      </c>
      <c r="D176" s="25" t="s">
        <v>1122</v>
      </c>
      <c r="E176" s="30">
        <v>27</v>
      </c>
      <c r="F176" s="132">
        <v>7</v>
      </c>
      <c r="G176" s="50">
        <f t="shared" si="18"/>
        <v>189</v>
      </c>
      <c r="H176" s="103"/>
      <c r="I176" s="141"/>
      <c r="J176" s="104"/>
      <c r="K176" s="103"/>
      <c r="L176" s="103"/>
      <c r="M176" s="141">
        <f t="shared" ref="M176:M239" si="19">+E176+I176-L176</f>
        <v>27</v>
      </c>
      <c r="N176" s="103"/>
      <c r="O176" s="103" t="s">
        <v>945</v>
      </c>
      <c r="P176" s="137">
        <f t="shared" si="16"/>
        <v>189</v>
      </c>
    </row>
    <row r="177" spans="1:16" s="8" customFormat="1" ht="15.75" x14ac:dyDescent="0.25">
      <c r="A177" s="113" t="s">
        <v>405</v>
      </c>
      <c r="B177" s="102">
        <v>44193</v>
      </c>
      <c r="C177" s="26" t="s">
        <v>800</v>
      </c>
      <c r="D177" s="25" t="s">
        <v>1122</v>
      </c>
      <c r="E177" s="32">
        <f>6+6</f>
        <v>12</v>
      </c>
      <c r="F177" s="132">
        <v>135</v>
      </c>
      <c r="G177" s="50">
        <f t="shared" si="18"/>
        <v>1620</v>
      </c>
      <c r="H177" s="103"/>
      <c r="I177" s="141"/>
      <c r="J177" s="104"/>
      <c r="K177" s="103"/>
      <c r="L177" s="103"/>
      <c r="M177" s="141">
        <f t="shared" si="19"/>
        <v>12</v>
      </c>
      <c r="N177" s="103"/>
      <c r="O177" s="103" t="s">
        <v>946</v>
      </c>
      <c r="P177" s="137">
        <f t="shared" si="16"/>
        <v>1620</v>
      </c>
    </row>
    <row r="178" spans="1:16" s="8" customFormat="1" ht="15.75" x14ac:dyDescent="0.25">
      <c r="A178" s="113" t="s">
        <v>406</v>
      </c>
      <c r="B178" s="102">
        <v>44193</v>
      </c>
      <c r="C178" s="26" t="s">
        <v>663</v>
      </c>
      <c r="D178" s="25" t="s">
        <v>1122</v>
      </c>
      <c r="E178" s="55">
        <v>42</v>
      </c>
      <c r="F178" s="132">
        <v>115</v>
      </c>
      <c r="G178" s="50">
        <f t="shared" si="18"/>
        <v>4830</v>
      </c>
      <c r="H178" s="103"/>
      <c r="I178" s="141"/>
      <c r="J178" s="104"/>
      <c r="K178" s="103"/>
      <c r="L178" s="103"/>
      <c r="M178" s="141">
        <f t="shared" si="19"/>
        <v>42</v>
      </c>
      <c r="N178" s="103"/>
      <c r="O178" s="103" t="s">
        <v>946</v>
      </c>
      <c r="P178" s="137">
        <f t="shared" si="16"/>
        <v>4830</v>
      </c>
    </row>
    <row r="179" spans="1:16" s="92" customFormat="1" x14ac:dyDescent="0.3">
      <c r="A179" s="113" t="s">
        <v>407</v>
      </c>
      <c r="B179" s="107">
        <v>44903</v>
      </c>
      <c r="C179" s="26" t="s">
        <v>768</v>
      </c>
      <c r="D179" s="25" t="s">
        <v>1122</v>
      </c>
      <c r="E179" s="32">
        <v>104</v>
      </c>
      <c r="F179" s="132">
        <v>154.58000000000001</v>
      </c>
      <c r="G179" s="50">
        <f t="shared" si="18"/>
        <v>16076.320000000002</v>
      </c>
      <c r="H179" s="107">
        <v>44903</v>
      </c>
      <c r="I179" s="141">
        <f>20*4</f>
        <v>80</v>
      </c>
      <c r="J179" s="104">
        <v>154.58000000000001</v>
      </c>
      <c r="K179" s="108">
        <f>+I179*J179</f>
        <v>12366.400000000001</v>
      </c>
      <c r="L179" s="103">
        <f>13+4</f>
        <v>17</v>
      </c>
      <c r="M179" s="141">
        <f t="shared" si="19"/>
        <v>167</v>
      </c>
      <c r="N179" s="103"/>
      <c r="O179" s="103" t="s">
        <v>945</v>
      </c>
      <c r="P179" s="137">
        <f t="shared" si="16"/>
        <v>25814.86</v>
      </c>
    </row>
    <row r="180" spans="1:16" s="92" customFormat="1" x14ac:dyDescent="0.3">
      <c r="A180" s="113" t="s">
        <v>408</v>
      </c>
      <c r="B180" s="107">
        <v>45019</v>
      </c>
      <c r="C180" s="25" t="s">
        <v>769</v>
      </c>
      <c r="D180" s="25" t="s">
        <v>1173</v>
      </c>
      <c r="E180" s="32">
        <v>132</v>
      </c>
      <c r="F180" s="132">
        <v>139.04</v>
      </c>
      <c r="G180" s="50">
        <f t="shared" si="18"/>
        <v>18353.28</v>
      </c>
      <c r="H180" s="107">
        <v>45019</v>
      </c>
      <c r="I180" s="141">
        <f>10*6</f>
        <v>60</v>
      </c>
      <c r="J180" s="104">
        <v>139.04</v>
      </c>
      <c r="K180" s="108">
        <f>+I180*J180</f>
        <v>8342.4</v>
      </c>
      <c r="L180" s="103">
        <f>4+1</f>
        <v>5</v>
      </c>
      <c r="M180" s="141">
        <f>+E180+I180-L180</f>
        <v>187</v>
      </c>
      <c r="N180" s="103" t="s">
        <v>1006</v>
      </c>
      <c r="O180" s="103" t="s">
        <v>945</v>
      </c>
      <c r="P180" s="137">
        <f t="shared" si="16"/>
        <v>26000.48</v>
      </c>
    </row>
    <row r="181" spans="1:16" s="8" customFormat="1" ht="15.75" x14ac:dyDescent="0.25">
      <c r="A181" s="113" t="s">
        <v>409</v>
      </c>
      <c r="B181" s="102">
        <v>44193</v>
      </c>
      <c r="C181" s="25" t="s">
        <v>796</v>
      </c>
      <c r="D181" s="25" t="s">
        <v>1122</v>
      </c>
      <c r="E181" s="38">
        <v>3</v>
      </c>
      <c r="F181" s="132">
        <v>352</v>
      </c>
      <c r="G181" s="50">
        <f t="shared" si="18"/>
        <v>1056</v>
      </c>
      <c r="H181" s="103"/>
      <c r="I181" s="141"/>
      <c r="J181" s="104"/>
      <c r="K181" s="103"/>
      <c r="L181" s="103"/>
      <c r="M181" s="141">
        <f t="shared" si="19"/>
        <v>3</v>
      </c>
      <c r="N181" s="103"/>
      <c r="O181" s="103" t="s">
        <v>946</v>
      </c>
      <c r="P181" s="137">
        <f t="shared" si="16"/>
        <v>1056</v>
      </c>
    </row>
    <row r="182" spans="1:16" s="8" customFormat="1" ht="15.75" x14ac:dyDescent="0.25">
      <c r="A182" s="113" t="s">
        <v>410</v>
      </c>
      <c r="B182" s="102">
        <v>44193</v>
      </c>
      <c r="C182" s="25" t="s">
        <v>670</v>
      </c>
      <c r="D182" s="25" t="s">
        <v>1122</v>
      </c>
      <c r="E182" s="55">
        <f>38+19</f>
        <v>57</v>
      </c>
      <c r="F182" s="132">
        <v>67.8</v>
      </c>
      <c r="G182" s="50">
        <f t="shared" si="18"/>
        <v>3864.6</v>
      </c>
      <c r="H182" s="103"/>
      <c r="I182" s="141"/>
      <c r="J182" s="104"/>
      <c r="K182" s="103"/>
      <c r="L182" s="103"/>
      <c r="M182" s="141">
        <f t="shared" si="19"/>
        <v>57</v>
      </c>
      <c r="N182" s="103"/>
      <c r="O182" s="103" t="s">
        <v>946</v>
      </c>
      <c r="P182" s="137">
        <f t="shared" si="16"/>
        <v>3864.6</v>
      </c>
    </row>
    <row r="183" spans="1:16" s="8" customFormat="1" ht="15.75" x14ac:dyDescent="0.25">
      <c r="A183" s="113" t="s">
        <v>411</v>
      </c>
      <c r="B183" s="102">
        <v>44193</v>
      </c>
      <c r="C183" s="25" t="s">
        <v>671</v>
      </c>
      <c r="D183" s="25" t="s">
        <v>1122</v>
      </c>
      <c r="E183" s="55">
        <f>19+19</f>
        <v>38</v>
      </c>
      <c r="F183" s="132">
        <v>67.8</v>
      </c>
      <c r="G183" s="50">
        <f t="shared" si="18"/>
        <v>2576.4</v>
      </c>
      <c r="H183" s="103"/>
      <c r="I183" s="141"/>
      <c r="J183" s="104"/>
      <c r="K183" s="103"/>
      <c r="L183" s="103"/>
      <c r="M183" s="141">
        <f t="shared" si="19"/>
        <v>38</v>
      </c>
      <c r="N183" s="103"/>
      <c r="O183" s="103" t="s">
        <v>946</v>
      </c>
      <c r="P183" s="137">
        <f t="shared" si="16"/>
        <v>2576.4</v>
      </c>
    </row>
    <row r="184" spans="1:16" s="8" customFormat="1" ht="15.75" x14ac:dyDescent="0.25">
      <c r="A184" s="113" t="s">
        <v>412</v>
      </c>
      <c r="B184" s="102">
        <v>44193</v>
      </c>
      <c r="C184" s="25" t="s">
        <v>669</v>
      </c>
      <c r="D184" s="25" t="s">
        <v>1122</v>
      </c>
      <c r="E184" s="32">
        <v>0</v>
      </c>
      <c r="F184" s="132">
        <v>67.8</v>
      </c>
      <c r="G184" s="50">
        <f t="shared" si="18"/>
        <v>0</v>
      </c>
      <c r="H184" s="103"/>
      <c r="I184" s="141"/>
      <c r="J184" s="104"/>
      <c r="K184" s="103"/>
      <c r="L184" s="103"/>
      <c r="M184" s="141">
        <f t="shared" si="19"/>
        <v>0</v>
      </c>
      <c r="N184" s="103"/>
      <c r="O184" s="103" t="s">
        <v>946</v>
      </c>
      <c r="P184" s="137">
        <f t="shared" si="16"/>
        <v>0</v>
      </c>
    </row>
    <row r="185" spans="1:16" s="8" customFormat="1" ht="15.75" x14ac:dyDescent="0.25">
      <c r="A185" s="113" t="s">
        <v>413</v>
      </c>
      <c r="B185" s="102">
        <v>44193</v>
      </c>
      <c r="C185" s="9" t="s">
        <v>672</v>
      </c>
      <c r="D185" s="25" t="s">
        <v>1122</v>
      </c>
      <c r="E185" s="55">
        <v>50</v>
      </c>
      <c r="F185" s="132">
        <v>170.69</v>
      </c>
      <c r="G185" s="50">
        <f t="shared" si="18"/>
        <v>8534.5</v>
      </c>
      <c r="H185" s="103"/>
      <c r="I185" s="141"/>
      <c r="J185" s="104"/>
      <c r="K185" s="103"/>
      <c r="L185" s="103"/>
      <c r="M185" s="141">
        <f t="shared" si="19"/>
        <v>50</v>
      </c>
      <c r="N185" s="103"/>
      <c r="O185" s="103" t="s">
        <v>947</v>
      </c>
      <c r="P185" s="137">
        <f t="shared" si="16"/>
        <v>8534.5</v>
      </c>
    </row>
    <row r="186" spans="1:16" s="8" customFormat="1" ht="15.75" x14ac:dyDescent="0.25">
      <c r="A186" s="113" t="s">
        <v>414</v>
      </c>
      <c r="B186" s="102">
        <v>44193</v>
      </c>
      <c r="C186" s="9" t="s">
        <v>673</v>
      </c>
      <c r="D186" s="25" t="s">
        <v>1122</v>
      </c>
      <c r="E186" s="55">
        <v>1040</v>
      </c>
      <c r="F186" s="132">
        <v>170.69</v>
      </c>
      <c r="G186" s="50">
        <f t="shared" si="18"/>
        <v>177517.6</v>
      </c>
      <c r="H186" s="103"/>
      <c r="I186" s="141"/>
      <c r="J186" s="104"/>
      <c r="K186" s="103"/>
      <c r="L186" s="103"/>
      <c r="M186" s="141">
        <f t="shared" si="19"/>
        <v>1040</v>
      </c>
      <c r="N186" s="103"/>
      <c r="O186" s="103" t="s">
        <v>947</v>
      </c>
      <c r="P186" s="137">
        <f t="shared" si="16"/>
        <v>177517.6</v>
      </c>
    </row>
    <row r="187" spans="1:16" s="8" customFormat="1" ht="15.75" x14ac:dyDescent="0.25">
      <c r="A187" s="113" t="s">
        <v>415</v>
      </c>
      <c r="B187" s="102">
        <v>44193</v>
      </c>
      <c r="C187" s="9" t="s">
        <v>674</v>
      </c>
      <c r="D187" s="25" t="s">
        <v>1122</v>
      </c>
      <c r="E187" s="56">
        <v>1</v>
      </c>
      <c r="F187" s="132">
        <v>170.69</v>
      </c>
      <c r="G187" s="50">
        <f t="shared" si="18"/>
        <v>170.69</v>
      </c>
      <c r="H187" s="103"/>
      <c r="I187" s="141"/>
      <c r="J187" s="104"/>
      <c r="K187" s="103"/>
      <c r="L187" s="103"/>
      <c r="M187" s="141">
        <f t="shared" si="19"/>
        <v>1</v>
      </c>
      <c r="N187" s="103"/>
      <c r="O187" s="103" t="s">
        <v>947</v>
      </c>
      <c r="P187" s="137">
        <f t="shared" si="16"/>
        <v>170.69</v>
      </c>
    </row>
    <row r="188" spans="1:16" s="8" customFormat="1" ht="15.75" x14ac:dyDescent="0.25">
      <c r="A188" s="113" t="s">
        <v>416</v>
      </c>
      <c r="B188" s="102">
        <v>44193</v>
      </c>
      <c r="C188" s="9" t="s">
        <v>675</v>
      </c>
      <c r="D188" s="25" t="s">
        <v>1122</v>
      </c>
      <c r="E188" s="30">
        <v>300</v>
      </c>
      <c r="F188" s="132">
        <v>6.5</v>
      </c>
      <c r="G188" s="50">
        <f t="shared" si="18"/>
        <v>1950</v>
      </c>
      <c r="H188" s="103"/>
      <c r="I188" s="141"/>
      <c r="J188" s="104"/>
      <c r="K188" s="103"/>
      <c r="L188" s="103"/>
      <c r="M188" s="141">
        <f t="shared" si="19"/>
        <v>300</v>
      </c>
      <c r="N188" s="103"/>
      <c r="O188" s="103" t="s">
        <v>947</v>
      </c>
      <c r="P188" s="137">
        <f t="shared" si="16"/>
        <v>1950</v>
      </c>
    </row>
    <row r="189" spans="1:16" s="8" customFormat="1" ht="15.75" x14ac:dyDescent="0.25">
      <c r="A189" s="113" t="s">
        <v>417</v>
      </c>
      <c r="B189" s="102">
        <v>44193</v>
      </c>
      <c r="C189" s="9" t="s">
        <v>676</v>
      </c>
      <c r="D189" s="25" t="s">
        <v>1122</v>
      </c>
      <c r="E189" s="30">
        <v>2</v>
      </c>
      <c r="F189" s="132">
        <v>3.5</v>
      </c>
      <c r="G189" s="50">
        <f t="shared" si="18"/>
        <v>7</v>
      </c>
      <c r="H189" s="103"/>
      <c r="I189" s="141"/>
      <c r="J189" s="104"/>
      <c r="K189" s="103"/>
      <c r="L189" s="103"/>
      <c r="M189" s="141">
        <f t="shared" si="19"/>
        <v>2</v>
      </c>
      <c r="N189" s="103"/>
      <c r="O189" s="103" t="s">
        <v>947</v>
      </c>
      <c r="P189" s="137">
        <f t="shared" si="16"/>
        <v>7</v>
      </c>
    </row>
    <row r="190" spans="1:16" s="8" customFormat="1" ht="15.75" x14ac:dyDescent="0.25">
      <c r="A190" s="113" t="s">
        <v>418</v>
      </c>
      <c r="B190" s="102">
        <v>44193</v>
      </c>
      <c r="C190" s="26" t="s">
        <v>678</v>
      </c>
      <c r="D190" s="25" t="s">
        <v>1122</v>
      </c>
      <c r="E190" s="30">
        <v>5</v>
      </c>
      <c r="F190" s="132">
        <v>5000</v>
      </c>
      <c r="G190" s="50">
        <f t="shared" si="18"/>
        <v>25000</v>
      </c>
      <c r="H190" s="103"/>
      <c r="I190" s="141"/>
      <c r="J190" s="104"/>
      <c r="K190" s="103"/>
      <c r="L190" s="103"/>
      <c r="M190" s="141">
        <f t="shared" si="19"/>
        <v>5</v>
      </c>
      <c r="N190" s="103"/>
      <c r="O190" s="103" t="s">
        <v>946</v>
      </c>
      <c r="P190" s="137">
        <f t="shared" si="16"/>
        <v>25000</v>
      </c>
    </row>
    <row r="191" spans="1:16" s="8" customFormat="1" ht="15.75" x14ac:dyDescent="0.25">
      <c r="A191" s="113" t="s">
        <v>419</v>
      </c>
      <c r="B191" s="102">
        <v>44193</v>
      </c>
      <c r="C191" s="26" t="s">
        <v>677</v>
      </c>
      <c r="D191" s="25" t="s">
        <v>1122</v>
      </c>
      <c r="E191" s="30">
        <v>2</v>
      </c>
      <c r="F191" s="132">
        <v>10800</v>
      </c>
      <c r="G191" s="50">
        <f t="shared" si="18"/>
        <v>21600</v>
      </c>
      <c r="H191" s="103"/>
      <c r="I191" s="141"/>
      <c r="J191" s="104"/>
      <c r="K191" s="103"/>
      <c r="L191" s="103"/>
      <c r="M191" s="141">
        <f t="shared" si="19"/>
        <v>2</v>
      </c>
      <c r="N191" s="103"/>
      <c r="O191" s="103" t="s">
        <v>946</v>
      </c>
      <c r="P191" s="137">
        <f t="shared" si="16"/>
        <v>21600</v>
      </c>
    </row>
    <row r="192" spans="1:16" s="8" customFormat="1" ht="15.75" x14ac:dyDescent="0.25">
      <c r="A192" s="113" t="s">
        <v>420</v>
      </c>
      <c r="B192" s="102">
        <v>44193</v>
      </c>
      <c r="C192" s="9" t="s">
        <v>679</v>
      </c>
      <c r="D192" s="25" t="s">
        <v>1122</v>
      </c>
      <c r="E192" s="38">
        <v>29</v>
      </c>
      <c r="F192" s="132">
        <v>33</v>
      </c>
      <c r="G192" s="50">
        <f t="shared" si="18"/>
        <v>957</v>
      </c>
      <c r="H192" s="103"/>
      <c r="I192" s="141"/>
      <c r="J192" s="104"/>
      <c r="K192" s="103"/>
      <c r="L192" s="103"/>
      <c r="M192" s="141">
        <f t="shared" si="19"/>
        <v>29</v>
      </c>
      <c r="N192" s="103"/>
      <c r="O192" s="103" t="s">
        <v>947</v>
      </c>
      <c r="P192" s="137">
        <f t="shared" si="16"/>
        <v>957</v>
      </c>
    </row>
    <row r="193" spans="1:16" s="8" customFormat="1" ht="15.75" x14ac:dyDescent="0.25">
      <c r="A193" s="113" t="s">
        <v>421</v>
      </c>
      <c r="B193" s="102">
        <v>44193</v>
      </c>
      <c r="C193" s="9" t="s">
        <v>1035</v>
      </c>
      <c r="D193" s="25" t="s">
        <v>1122</v>
      </c>
      <c r="E193" s="30">
        <f>8*12</f>
        <v>96</v>
      </c>
      <c r="F193" s="132">
        <v>15</v>
      </c>
      <c r="G193" s="50">
        <f t="shared" si="18"/>
        <v>1440</v>
      </c>
      <c r="H193" s="103"/>
      <c r="I193" s="141"/>
      <c r="J193" s="104"/>
      <c r="K193" s="103"/>
      <c r="L193" s="103">
        <f>12+6</f>
        <v>18</v>
      </c>
      <c r="M193" s="141">
        <f t="shared" si="19"/>
        <v>78</v>
      </c>
      <c r="N193" s="103"/>
      <c r="O193" s="103" t="s">
        <v>947</v>
      </c>
      <c r="P193" s="137">
        <f t="shared" si="16"/>
        <v>1170</v>
      </c>
    </row>
    <row r="194" spans="1:16" s="8" customFormat="1" ht="15.75" x14ac:dyDescent="0.25">
      <c r="A194" s="113" t="s">
        <v>422</v>
      </c>
      <c r="B194" s="102">
        <v>44547</v>
      </c>
      <c r="C194" s="9" t="s">
        <v>777</v>
      </c>
      <c r="D194" s="25" t="s">
        <v>1122</v>
      </c>
      <c r="E194" s="30">
        <v>27</v>
      </c>
      <c r="F194" s="132">
        <v>8.34</v>
      </c>
      <c r="G194" s="50">
        <f t="shared" si="18"/>
        <v>225.18</v>
      </c>
      <c r="H194" s="103"/>
      <c r="I194" s="141"/>
      <c r="J194" s="104"/>
      <c r="K194" s="103"/>
      <c r="L194" s="103"/>
      <c r="M194" s="141">
        <f t="shared" si="19"/>
        <v>27</v>
      </c>
      <c r="N194" s="103"/>
      <c r="O194" s="103" t="s">
        <v>947</v>
      </c>
      <c r="P194" s="137">
        <f t="shared" si="16"/>
        <v>225.18</v>
      </c>
    </row>
    <row r="195" spans="1:16" s="8" customFormat="1" ht="15.75" x14ac:dyDescent="0.25">
      <c r="A195" s="113" t="s">
        <v>423</v>
      </c>
      <c r="B195" s="102">
        <v>44193</v>
      </c>
      <c r="C195" s="9" t="s">
        <v>778</v>
      </c>
      <c r="D195" s="25" t="s">
        <v>1122</v>
      </c>
      <c r="E195" s="30">
        <v>12</v>
      </c>
      <c r="F195" s="132">
        <v>8.34</v>
      </c>
      <c r="G195" s="50">
        <f t="shared" si="18"/>
        <v>100.08</v>
      </c>
      <c r="H195" s="103"/>
      <c r="I195" s="141"/>
      <c r="J195" s="104"/>
      <c r="K195" s="103"/>
      <c r="L195" s="103"/>
      <c r="M195" s="141">
        <f t="shared" si="19"/>
        <v>12</v>
      </c>
      <c r="N195" s="103"/>
      <c r="O195" s="103" t="s">
        <v>947</v>
      </c>
      <c r="P195" s="137">
        <f t="shared" si="16"/>
        <v>100.08</v>
      </c>
    </row>
    <row r="196" spans="1:16" s="8" customFormat="1" ht="15.75" x14ac:dyDescent="0.25">
      <c r="A196" s="113" t="s">
        <v>424</v>
      </c>
      <c r="B196" s="102">
        <v>44193</v>
      </c>
      <c r="C196" s="9" t="s">
        <v>681</v>
      </c>
      <c r="D196" s="25" t="s">
        <v>1122</v>
      </c>
      <c r="E196" s="30">
        <v>139</v>
      </c>
      <c r="F196" s="132">
        <v>5.6</v>
      </c>
      <c r="G196" s="50">
        <f t="shared" si="18"/>
        <v>778.4</v>
      </c>
      <c r="H196" s="103"/>
      <c r="I196" s="141"/>
      <c r="J196" s="104"/>
      <c r="K196" s="103"/>
      <c r="L196" s="103">
        <f>4+6</f>
        <v>10</v>
      </c>
      <c r="M196" s="141">
        <f t="shared" si="19"/>
        <v>129</v>
      </c>
      <c r="N196" s="103"/>
      <c r="O196" s="103" t="s">
        <v>947</v>
      </c>
      <c r="P196" s="137">
        <f t="shared" si="16"/>
        <v>722.4</v>
      </c>
    </row>
    <row r="197" spans="1:16" s="92" customFormat="1" x14ac:dyDescent="0.3">
      <c r="A197" s="113" t="s">
        <v>425</v>
      </c>
      <c r="B197" s="102">
        <v>44193</v>
      </c>
      <c r="C197" s="9" t="s">
        <v>684</v>
      </c>
      <c r="D197" s="25" t="s">
        <v>1122</v>
      </c>
      <c r="E197" s="30">
        <v>79</v>
      </c>
      <c r="F197" s="132">
        <v>160</v>
      </c>
      <c r="G197" s="50">
        <f t="shared" si="18"/>
        <v>12640</v>
      </c>
      <c r="H197" s="103"/>
      <c r="I197" s="141"/>
      <c r="J197" s="104"/>
      <c r="K197" s="103"/>
      <c r="L197" s="103"/>
      <c r="M197" s="141">
        <f t="shared" si="19"/>
        <v>79</v>
      </c>
      <c r="N197" s="103"/>
      <c r="O197" s="103" t="s">
        <v>945</v>
      </c>
      <c r="P197" s="137">
        <f t="shared" si="16"/>
        <v>12640</v>
      </c>
    </row>
    <row r="198" spans="1:16" s="105" customFormat="1" ht="15.75" x14ac:dyDescent="0.25">
      <c r="A198" s="113" t="s">
        <v>426</v>
      </c>
      <c r="B198" s="107">
        <v>44852</v>
      </c>
      <c r="C198" s="9" t="s">
        <v>787</v>
      </c>
      <c r="D198" s="25" t="s">
        <v>1122</v>
      </c>
      <c r="E198" s="30">
        <v>11</v>
      </c>
      <c r="F198" s="132">
        <v>38.65</v>
      </c>
      <c r="G198" s="50">
        <f t="shared" si="18"/>
        <v>425.15</v>
      </c>
      <c r="H198" s="107">
        <v>44852</v>
      </c>
      <c r="I198" s="141">
        <v>30</v>
      </c>
      <c r="J198" s="104">
        <v>38.65</v>
      </c>
      <c r="K198" s="103">
        <f>+J198*I198</f>
        <v>1159.5</v>
      </c>
      <c r="L198" s="103"/>
      <c r="M198" s="141">
        <f t="shared" si="19"/>
        <v>41</v>
      </c>
      <c r="N198" s="103" t="s">
        <v>1037</v>
      </c>
      <c r="O198" s="103" t="s">
        <v>947</v>
      </c>
      <c r="P198" s="137">
        <f t="shared" si="16"/>
        <v>1584.6499999999999</v>
      </c>
    </row>
    <row r="199" spans="1:16" s="8" customFormat="1" ht="15.75" x14ac:dyDescent="0.25">
      <c r="A199" s="113" t="s">
        <v>427</v>
      </c>
      <c r="B199" s="102"/>
      <c r="C199" s="25" t="s">
        <v>782</v>
      </c>
      <c r="D199" s="25" t="s">
        <v>1122</v>
      </c>
      <c r="E199" s="38">
        <v>38</v>
      </c>
      <c r="F199" s="132"/>
      <c r="G199" s="50"/>
      <c r="H199" s="103"/>
      <c r="I199" s="141"/>
      <c r="J199" s="104"/>
      <c r="K199" s="103"/>
      <c r="L199" s="103"/>
      <c r="M199" s="141">
        <f t="shared" si="19"/>
        <v>38</v>
      </c>
      <c r="N199" s="103"/>
      <c r="O199" s="103" t="s">
        <v>947</v>
      </c>
      <c r="P199" s="137">
        <f t="shared" si="16"/>
        <v>0</v>
      </c>
    </row>
    <row r="200" spans="1:16" s="105" customFormat="1" ht="15.75" x14ac:dyDescent="0.25">
      <c r="A200" s="113" t="s">
        <v>428</v>
      </c>
      <c r="B200" s="107">
        <v>44852</v>
      </c>
      <c r="C200" s="9" t="s">
        <v>780</v>
      </c>
      <c r="D200" s="25" t="s">
        <v>1122</v>
      </c>
      <c r="E200" s="30">
        <v>2</v>
      </c>
      <c r="F200" s="133">
        <v>310.33999999999997</v>
      </c>
      <c r="G200" s="50">
        <f>E200*F200</f>
        <v>620.67999999999995</v>
      </c>
      <c r="H200" s="107">
        <v>44852</v>
      </c>
      <c r="I200" s="141">
        <v>10</v>
      </c>
      <c r="J200" s="104">
        <v>310.33999999999997</v>
      </c>
      <c r="K200" s="104">
        <f>+J200*I200</f>
        <v>3103.3999999999996</v>
      </c>
      <c r="L200" s="103">
        <v>1</v>
      </c>
      <c r="M200" s="141">
        <f t="shared" si="19"/>
        <v>11</v>
      </c>
      <c r="N200" s="103" t="s">
        <v>1037</v>
      </c>
      <c r="O200" s="103" t="s">
        <v>947</v>
      </c>
      <c r="P200" s="137">
        <f t="shared" si="16"/>
        <v>3413.74</v>
      </c>
    </row>
    <row r="201" spans="1:16" s="8" customFormat="1" ht="15.75" x14ac:dyDescent="0.25">
      <c r="A201" s="113" t="s">
        <v>429</v>
      </c>
      <c r="B201" s="102"/>
      <c r="C201" s="25" t="s">
        <v>783</v>
      </c>
      <c r="D201" s="25" t="s">
        <v>1122</v>
      </c>
      <c r="E201" s="38">
        <v>15</v>
      </c>
      <c r="F201" s="132"/>
      <c r="G201" s="50"/>
      <c r="H201" s="103"/>
      <c r="I201" s="141"/>
      <c r="J201" s="104"/>
      <c r="K201" s="103"/>
      <c r="L201" s="103"/>
      <c r="M201" s="141">
        <f t="shared" si="19"/>
        <v>15</v>
      </c>
      <c r="N201" s="103"/>
      <c r="O201" s="103" t="s">
        <v>947</v>
      </c>
      <c r="P201" s="137">
        <f t="shared" si="16"/>
        <v>0</v>
      </c>
    </row>
    <row r="202" spans="1:16" s="8" customFormat="1" ht="15.75" x14ac:dyDescent="0.25">
      <c r="A202" s="113" t="s">
        <v>430</v>
      </c>
      <c r="B202" s="102">
        <v>44193</v>
      </c>
      <c r="C202" s="9" t="s">
        <v>687</v>
      </c>
      <c r="D202" s="25" t="s">
        <v>1122</v>
      </c>
      <c r="E202" s="32">
        <v>2</v>
      </c>
      <c r="F202" s="132">
        <v>175</v>
      </c>
      <c r="G202" s="50">
        <f t="shared" ref="G202:G260" si="20">E202*F202</f>
        <v>350</v>
      </c>
      <c r="H202" s="103"/>
      <c r="I202" s="141"/>
      <c r="J202" s="104"/>
      <c r="K202" s="103"/>
      <c r="L202" s="103"/>
      <c r="M202" s="141">
        <f t="shared" si="19"/>
        <v>2</v>
      </c>
      <c r="N202" s="103"/>
      <c r="O202" s="103" t="s">
        <v>947</v>
      </c>
      <c r="P202" s="137">
        <f t="shared" si="16"/>
        <v>350</v>
      </c>
    </row>
    <row r="203" spans="1:16" s="8" customFormat="1" ht="15.75" x14ac:dyDescent="0.25">
      <c r="A203" s="113" t="s">
        <v>431</v>
      </c>
      <c r="B203" s="102">
        <v>44193</v>
      </c>
      <c r="C203" s="26" t="s">
        <v>695</v>
      </c>
      <c r="D203" s="25" t="s">
        <v>1122</v>
      </c>
      <c r="E203" s="38">
        <v>1</v>
      </c>
      <c r="F203" s="132">
        <v>270.55</v>
      </c>
      <c r="G203" s="50">
        <f t="shared" si="20"/>
        <v>270.55</v>
      </c>
      <c r="H203" s="103"/>
      <c r="I203" s="141"/>
      <c r="J203" s="104"/>
      <c r="K203" s="103"/>
      <c r="L203" s="103"/>
      <c r="M203" s="141">
        <f t="shared" si="19"/>
        <v>1</v>
      </c>
      <c r="N203" s="103"/>
      <c r="O203" s="103" t="s">
        <v>946</v>
      </c>
      <c r="P203" s="137">
        <f t="shared" si="16"/>
        <v>270.55</v>
      </c>
    </row>
    <row r="204" spans="1:16" s="8" customFormat="1" ht="15.75" x14ac:dyDescent="0.25">
      <c r="A204" s="113" t="s">
        <v>432</v>
      </c>
      <c r="B204" s="102">
        <v>44193</v>
      </c>
      <c r="C204" s="25" t="s">
        <v>688</v>
      </c>
      <c r="D204" s="25" t="s">
        <v>1122</v>
      </c>
      <c r="E204" s="58">
        <v>3</v>
      </c>
      <c r="F204" s="132">
        <v>79.8</v>
      </c>
      <c r="G204" s="50">
        <f t="shared" si="20"/>
        <v>239.39999999999998</v>
      </c>
      <c r="H204" s="103"/>
      <c r="I204" s="141"/>
      <c r="J204" s="104"/>
      <c r="K204" s="103"/>
      <c r="L204" s="103"/>
      <c r="M204" s="141">
        <f t="shared" si="19"/>
        <v>3</v>
      </c>
      <c r="N204" s="103"/>
      <c r="O204" s="103" t="s">
        <v>946</v>
      </c>
      <c r="P204" s="137">
        <f t="shared" si="16"/>
        <v>239.39999999999998</v>
      </c>
    </row>
    <row r="205" spans="1:16" s="8" customFormat="1" ht="15.75" x14ac:dyDescent="0.25">
      <c r="A205" s="113" t="s">
        <v>433</v>
      </c>
      <c r="B205" s="102">
        <v>44193</v>
      </c>
      <c r="C205" s="25" t="s">
        <v>689</v>
      </c>
      <c r="D205" s="25" t="s">
        <v>1122</v>
      </c>
      <c r="E205" s="55">
        <v>7</v>
      </c>
      <c r="F205" s="132">
        <v>79.8</v>
      </c>
      <c r="G205" s="50">
        <f t="shared" si="20"/>
        <v>558.6</v>
      </c>
      <c r="H205" s="103"/>
      <c r="I205" s="141"/>
      <c r="J205" s="104"/>
      <c r="K205" s="103"/>
      <c r="L205" s="103"/>
      <c r="M205" s="141">
        <f t="shared" si="19"/>
        <v>7</v>
      </c>
      <c r="N205" s="103"/>
      <c r="O205" s="103" t="s">
        <v>946</v>
      </c>
      <c r="P205" s="137">
        <f t="shared" si="16"/>
        <v>558.6</v>
      </c>
    </row>
    <row r="206" spans="1:16" s="8" customFormat="1" ht="15.75" x14ac:dyDescent="0.25">
      <c r="A206" s="113" t="s">
        <v>434</v>
      </c>
      <c r="B206" s="102">
        <v>44193</v>
      </c>
      <c r="C206" s="25" t="s">
        <v>690</v>
      </c>
      <c r="D206" s="25" t="s">
        <v>1122</v>
      </c>
      <c r="E206" s="57">
        <v>7</v>
      </c>
      <c r="F206" s="132">
        <v>62.93</v>
      </c>
      <c r="G206" s="50">
        <f t="shared" si="20"/>
        <v>440.51</v>
      </c>
      <c r="H206" s="103"/>
      <c r="I206" s="141"/>
      <c r="J206" s="104"/>
      <c r="K206" s="103"/>
      <c r="L206" s="103"/>
      <c r="M206" s="141">
        <f t="shared" si="19"/>
        <v>7</v>
      </c>
      <c r="N206" s="103"/>
      <c r="O206" s="103" t="s">
        <v>946</v>
      </c>
      <c r="P206" s="137">
        <f t="shared" si="16"/>
        <v>440.51</v>
      </c>
    </row>
    <row r="207" spans="1:16" s="8" customFormat="1" ht="15.75" x14ac:dyDescent="0.25">
      <c r="A207" s="113" t="s">
        <v>435</v>
      </c>
      <c r="B207" s="102">
        <v>44193</v>
      </c>
      <c r="C207" s="26" t="s">
        <v>691</v>
      </c>
      <c r="D207" s="25" t="s">
        <v>1122</v>
      </c>
      <c r="E207" s="57">
        <v>21</v>
      </c>
      <c r="F207" s="132">
        <v>165</v>
      </c>
      <c r="G207" s="50">
        <f t="shared" si="20"/>
        <v>3465</v>
      </c>
      <c r="H207" s="103"/>
      <c r="I207" s="141"/>
      <c r="J207" s="104"/>
      <c r="K207" s="103"/>
      <c r="L207" s="103"/>
      <c r="M207" s="141">
        <f t="shared" si="19"/>
        <v>21</v>
      </c>
      <c r="N207" s="103"/>
      <c r="O207" s="103" t="s">
        <v>946</v>
      </c>
      <c r="P207" s="137">
        <f t="shared" si="16"/>
        <v>3465</v>
      </c>
    </row>
    <row r="208" spans="1:16" s="8" customFormat="1" ht="15.75" x14ac:dyDescent="0.25">
      <c r="A208" s="113" t="s">
        <v>436</v>
      </c>
      <c r="B208" s="102">
        <v>44193</v>
      </c>
      <c r="C208" s="26" t="s">
        <v>791</v>
      </c>
      <c r="D208" s="25" t="s">
        <v>1122</v>
      </c>
      <c r="E208" s="38">
        <v>18</v>
      </c>
      <c r="F208" s="132">
        <v>52</v>
      </c>
      <c r="G208" s="50">
        <f t="shared" si="20"/>
        <v>936</v>
      </c>
      <c r="H208" s="103"/>
      <c r="I208" s="141"/>
      <c r="J208" s="104"/>
      <c r="K208" s="103"/>
      <c r="L208" s="103">
        <v>1</v>
      </c>
      <c r="M208" s="141">
        <f t="shared" si="19"/>
        <v>17</v>
      </c>
      <c r="N208" s="103"/>
      <c r="O208" s="103" t="s">
        <v>946</v>
      </c>
      <c r="P208" s="137">
        <f t="shared" si="16"/>
        <v>884</v>
      </c>
    </row>
    <row r="209" spans="1:16" s="8" customFormat="1" ht="15.75" x14ac:dyDescent="0.25">
      <c r="A209" s="113" t="s">
        <v>437</v>
      </c>
      <c r="B209" s="102">
        <v>44193</v>
      </c>
      <c r="C209" s="26" t="s">
        <v>790</v>
      </c>
      <c r="D209" s="25" t="s">
        <v>1122</v>
      </c>
      <c r="E209" s="38">
        <v>11</v>
      </c>
      <c r="F209" s="132">
        <v>79.8</v>
      </c>
      <c r="G209" s="50">
        <f t="shared" si="20"/>
        <v>877.8</v>
      </c>
      <c r="H209" s="103"/>
      <c r="I209" s="141"/>
      <c r="J209" s="104"/>
      <c r="K209" s="103"/>
      <c r="L209" s="103"/>
      <c r="M209" s="141">
        <f t="shared" si="19"/>
        <v>11</v>
      </c>
      <c r="N209" s="103"/>
      <c r="O209" s="103" t="s">
        <v>946</v>
      </c>
      <c r="P209" s="137">
        <f t="shared" si="16"/>
        <v>877.8</v>
      </c>
    </row>
    <row r="210" spans="1:16" s="8" customFormat="1" ht="15.75" x14ac:dyDescent="0.25">
      <c r="A210" s="113" t="s">
        <v>438</v>
      </c>
      <c r="B210" s="102">
        <v>44193</v>
      </c>
      <c r="C210" s="26" t="s">
        <v>693</v>
      </c>
      <c r="D210" s="25" t="s">
        <v>1122</v>
      </c>
      <c r="E210" s="38">
        <v>1</v>
      </c>
      <c r="F210" s="132">
        <v>2075</v>
      </c>
      <c r="G210" s="50">
        <f t="shared" si="20"/>
        <v>2075</v>
      </c>
      <c r="H210" s="103"/>
      <c r="I210" s="141"/>
      <c r="J210" s="104"/>
      <c r="K210" s="103"/>
      <c r="L210" s="103"/>
      <c r="M210" s="141">
        <f t="shared" si="19"/>
        <v>1</v>
      </c>
      <c r="N210" s="103"/>
      <c r="O210" s="103" t="s">
        <v>946</v>
      </c>
      <c r="P210" s="137">
        <f t="shared" si="16"/>
        <v>2075</v>
      </c>
    </row>
    <row r="211" spans="1:16" s="8" customFormat="1" ht="15.75" x14ac:dyDescent="0.25">
      <c r="A211" s="113" t="s">
        <v>439</v>
      </c>
      <c r="B211" s="102">
        <v>44193</v>
      </c>
      <c r="C211" s="26" t="s">
        <v>692</v>
      </c>
      <c r="D211" s="25" t="s">
        <v>1122</v>
      </c>
      <c r="E211" s="57">
        <v>18</v>
      </c>
      <c r="F211" s="132">
        <v>165</v>
      </c>
      <c r="G211" s="50">
        <f t="shared" si="20"/>
        <v>2970</v>
      </c>
      <c r="H211" s="103"/>
      <c r="I211" s="141"/>
      <c r="J211" s="104"/>
      <c r="K211" s="103"/>
      <c r="L211" s="103"/>
      <c r="M211" s="141">
        <f t="shared" si="19"/>
        <v>18</v>
      </c>
      <c r="N211" s="103"/>
      <c r="O211" s="103" t="s">
        <v>946</v>
      </c>
      <c r="P211" s="137">
        <f t="shared" si="16"/>
        <v>2970</v>
      </c>
    </row>
    <row r="212" spans="1:16" s="8" customFormat="1" ht="15.75" x14ac:dyDescent="0.25">
      <c r="A212" s="113" t="s">
        <v>440</v>
      </c>
      <c r="B212" s="102">
        <v>44193</v>
      </c>
      <c r="C212" s="26" t="s">
        <v>697</v>
      </c>
      <c r="D212" s="25" t="s">
        <v>1122</v>
      </c>
      <c r="E212" s="38">
        <v>20</v>
      </c>
      <c r="F212" s="132">
        <v>79.8</v>
      </c>
      <c r="G212" s="50">
        <f t="shared" si="20"/>
        <v>1596</v>
      </c>
      <c r="H212" s="103"/>
      <c r="I212" s="141"/>
      <c r="J212" s="104"/>
      <c r="K212" s="103"/>
      <c r="L212" s="103"/>
      <c r="M212" s="141">
        <f t="shared" si="19"/>
        <v>20</v>
      </c>
      <c r="N212" s="103"/>
      <c r="O212" s="103" t="s">
        <v>946</v>
      </c>
      <c r="P212" s="137">
        <f t="shared" si="16"/>
        <v>1596</v>
      </c>
    </row>
    <row r="213" spans="1:16" s="8" customFormat="1" ht="15.75" x14ac:dyDescent="0.25">
      <c r="A213" s="113" t="s">
        <v>441</v>
      </c>
      <c r="B213" s="102">
        <v>44193</v>
      </c>
      <c r="C213" s="26" t="s">
        <v>696</v>
      </c>
      <c r="D213" s="25" t="s">
        <v>1122</v>
      </c>
      <c r="E213" s="38">
        <v>9</v>
      </c>
      <c r="F213" s="132">
        <v>79.8</v>
      </c>
      <c r="G213" s="50">
        <f t="shared" si="20"/>
        <v>718.19999999999993</v>
      </c>
      <c r="H213" s="103"/>
      <c r="I213" s="141"/>
      <c r="J213" s="104"/>
      <c r="K213" s="103"/>
      <c r="L213" s="103">
        <v>1</v>
      </c>
      <c r="M213" s="141">
        <f t="shared" si="19"/>
        <v>8</v>
      </c>
      <c r="N213" s="103"/>
      <c r="O213" s="103" t="s">
        <v>946</v>
      </c>
      <c r="P213" s="137">
        <f t="shared" si="16"/>
        <v>638.4</v>
      </c>
    </row>
    <row r="214" spans="1:16" s="8" customFormat="1" ht="15.75" x14ac:dyDescent="0.25">
      <c r="A214" s="113" t="s">
        <v>442</v>
      </c>
      <c r="B214" s="102"/>
      <c r="C214" s="26" t="s">
        <v>808</v>
      </c>
      <c r="D214" s="25" t="s">
        <v>1122</v>
      </c>
      <c r="E214" s="38">
        <v>9</v>
      </c>
      <c r="F214" s="132">
        <v>352</v>
      </c>
      <c r="G214" s="50">
        <f t="shared" si="20"/>
        <v>3168</v>
      </c>
      <c r="H214" s="103"/>
      <c r="I214" s="141"/>
      <c r="J214" s="104"/>
      <c r="K214" s="103"/>
      <c r="L214" s="103"/>
      <c r="M214" s="141">
        <f t="shared" si="19"/>
        <v>9</v>
      </c>
      <c r="N214" s="103"/>
      <c r="O214" s="103" t="s">
        <v>946</v>
      </c>
      <c r="P214" s="137">
        <f t="shared" si="16"/>
        <v>3168</v>
      </c>
    </row>
    <row r="215" spans="1:16" s="92" customFormat="1" x14ac:dyDescent="0.3">
      <c r="A215" s="113" t="s">
        <v>443</v>
      </c>
      <c r="B215" s="102">
        <v>44456</v>
      </c>
      <c r="C215" s="26" t="s">
        <v>698</v>
      </c>
      <c r="D215" s="25" t="s">
        <v>1122</v>
      </c>
      <c r="E215" s="38">
        <v>3</v>
      </c>
      <c r="F215" s="132">
        <v>600</v>
      </c>
      <c r="G215" s="50">
        <f t="shared" si="20"/>
        <v>1800</v>
      </c>
      <c r="H215" s="103"/>
      <c r="I215" s="141"/>
      <c r="J215" s="104"/>
      <c r="K215" s="103"/>
      <c r="L215" s="103"/>
      <c r="M215" s="141">
        <f t="shared" si="19"/>
        <v>3</v>
      </c>
      <c r="N215" s="103"/>
      <c r="O215" s="103" t="s">
        <v>945</v>
      </c>
      <c r="P215" s="137">
        <f t="shared" si="16"/>
        <v>1800</v>
      </c>
    </row>
    <row r="216" spans="1:16" s="92" customFormat="1" x14ac:dyDescent="0.3">
      <c r="A216" s="113" t="s">
        <v>444</v>
      </c>
      <c r="B216" s="102">
        <v>44193</v>
      </c>
      <c r="C216" s="26" t="s">
        <v>699</v>
      </c>
      <c r="D216" s="25" t="s">
        <v>1122</v>
      </c>
      <c r="E216" s="38">
        <v>15</v>
      </c>
      <c r="F216" s="132">
        <v>140</v>
      </c>
      <c r="G216" s="50">
        <f t="shared" si="20"/>
        <v>2100</v>
      </c>
      <c r="H216" s="103"/>
      <c r="I216" s="141"/>
      <c r="J216" s="104"/>
      <c r="K216" s="103"/>
      <c r="L216" s="103">
        <v>1</v>
      </c>
      <c r="M216" s="141">
        <f t="shared" si="19"/>
        <v>14</v>
      </c>
      <c r="N216" s="103"/>
      <c r="O216" s="103" t="s">
        <v>945</v>
      </c>
      <c r="P216" s="137">
        <f t="shared" si="16"/>
        <v>1960</v>
      </c>
    </row>
    <row r="217" spans="1:16" s="8" customFormat="1" ht="15.75" x14ac:dyDescent="0.25">
      <c r="A217" s="113" t="s">
        <v>445</v>
      </c>
      <c r="B217" s="102">
        <v>44193</v>
      </c>
      <c r="C217" s="9" t="s">
        <v>706</v>
      </c>
      <c r="D217" s="25" t="s">
        <v>1122</v>
      </c>
      <c r="E217" s="48">
        <v>1</v>
      </c>
      <c r="F217" s="132">
        <v>5250</v>
      </c>
      <c r="G217" s="50">
        <f t="shared" si="20"/>
        <v>5250</v>
      </c>
      <c r="H217" s="103"/>
      <c r="I217" s="141"/>
      <c r="J217" s="104"/>
      <c r="K217" s="103"/>
      <c r="L217" s="103"/>
      <c r="M217" s="141">
        <f t="shared" si="19"/>
        <v>1</v>
      </c>
      <c r="N217" s="103"/>
      <c r="O217" s="103" t="s">
        <v>947</v>
      </c>
      <c r="P217" s="137">
        <f t="shared" ref="P217:P280" si="21">+F217*M217</f>
        <v>5250</v>
      </c>
    </row>
    <row r="218" spans="1:16" s="8" customFormat="1" ht="15.75" x14ac:dyDescent="0.25">
      <c r="A218" s="113" t="s">
        <v>446</v>
      </c>
      <c r="B218" s="102">
        <v>44193</v>
      </c>
      <c r="C218" s="9" t="s">
        <v>700</v>
      </c>
      <c r="D218" s="25" t="s">
        <v>1122</v>
      </c>
      <c r="E218" s="48">
        <f>9+12+12+24</f>
        <v>57</v>
      </c>
      <c r="F218" s="132">
        <v>12.93</v>
      </c>
      <c r="G218" s="50">
        <f t="shared" si="20"/>
        <v>737.01</v>
      </c>
      <c r="H218" s="103"/>
      <c r="I218" s="141"/>
      <c r="J218" s="104"/>
      <c r="K218" s="103"/>
      <c r="L218" s="103"/>
      <c r="M218" s="141">
        <f t="shared" si="19"/>
        <v>57</v>
      </c>
      <c r="N218" s="103"/>
      <c r="O218" s="103" t="s">
        <v>947</v>
      </c>
      <c r="P218" s="137">
        <f t="shared" si="21"/>
        <v>737.01</v>
      </c>
    </row>
    <row r="219" spans="1:16" s="8" customFormat="1" ht="15.75" x14ac:dyDescent="0.25">
      <c r="A219" s="113" t="s">
        <v>447</v>
      </c>
      <c r="B219" s="102">
        <v>44193</v>
      </c>
      <c r="C219" s="9" t="s">
        <v>701</v>
      </c>
      <c r="D219" s="25" t="s">
        <v>1122</v>
      </c>
      <c r="E219" s="48">
        <f>16+12+12</f>
        <v>40</v>
      </c>
      <c r="F219" s="132">
        <v>14.37</v>
      </c>
      <c r="G219" s="50">
        <f t="shared" si="20"/>
        <v>574.79999999999995</v>
      </c>
      <c r="H219" s="103"/>
      <c r="I219" s="141"/>
      <c r="J219" s="104"/>
      <c r="K219" s="103"/>
      <c r="L219" s="103"/>
      <c r="M219" s="141">
        <f t="shared" si="19"/>
        <v>40</v>
      </c>
      <c r="N219" s="103"/>
      <c r="O219" s="103" t="s">
        <v>947</v>
      </c>
      <c r="P219" s="137">
        <f t="shared" si="21"/>
        <v>574.79999999999995</v>
      </c>
    </row>
    <row r="220" spans="1:16" s="8" customFormat="1" ht="15.75" x14ac:dyDescent="0.25">
      <c r="A220" s="113" t="s">
        <v>448</v>
      </c>
      <c r="B220" s="102">
        <v>44193</v>
      </c>
      <c r="C220" s="9" t="s">
        <v>702</v>
      </c>
      <c r="D220" s="25" t="s">
        <v>1122</v>
      </c>
      <c r="E220" s="48">
        <v>6</v>
      </c>
      <c r="F220" s="132">
        <v>35</v>
      </c>
      <c r="G220" s="50">
        <f t="shared" si="20"/>
        <v>210</v>
      </c>
      <c r="H220" s="103"/>
      <c r="I220" s="141"/>
      <c r="J220" s="104"/>
      <c r="K220" s="103"/>
      <c r="L220" s="103"/>
      <c r="M220" s="141">
        <f t="shared" si="19"/>
        <v>6</v>
      </c>
      <c r="N220" s="103"/>
      <c r="O220" s="103" t="s">
        <v>947</v>
      </c>
      <c r="P220" s="137">
        <f t="shared" si="21"/>
        <v>210</v>
      </c>
    </row>
    <row r="221" spans="1:16" s="8" customFormat="1" ht="15.75" x14ac:dyDescent="0.25">
      <c r="A221" s="113" t="s">
        <v>449</v>
      </c>
      <c r="B221" s="102">
        <v>44193</v>
      </c>
      <c r="C221" s="9" t="s">
        <v>703</v>
      </c>
      <c r="D221" s="25" t="s">
        <v>1122</v>
      </c>
      <c r="E221" s="48"/>
      <c r="F221" s="132">
        <v>30</v>
      </c>
      <c r="G221" s="50">
        <f t="shared" si="20"/>
        <v>0</v>
      </c>
      <c r="H221" s="103"/>
      <c r="I221" s="141"/>
      <c r="J221" s="104"/>
      <c r="K221" s="103"/>
      <c r="L221" s="103"/>
      <c r="M221" s="141">
        <f t="shared" si="19"/>
        <v>0</v>
      </c>
      <c r="N221" s="103"/>
      <c r="O221" s="103" t="s">
        <v>947</v>
      </c>
      <c r="P221" s="137">
        <f t="shared" si="21"/>
        <v>0</v>
      </c>
    </row>
    <row r="222" spans="1:16" s="8" customFormat="1" ht="15.75" x14ac:dyDescent="0.25">
      <c r="A222" s="113" t="s">
        <v>450</v>
      </c>
      <c r="B222" s="102">
        <v>44193</v>
      </c>
      <c r="C222" s="9" t="s">
        <v>704</v>
      </c>
      <c r="D222" s="25" t="s">
        <v>1122</v>
      </c>
      <c r="E222" s="48">
        <v>1300</v>
      </c>
      <c r="F222" s="132">
        <v>2.6</v>
      </c>
      <c r="G222" s="50">
        <f t="shared" si="20"/>
        <v>3380</v>
      </c>
      <c r="H222" s="103"/>
      <c r="I222" s="141"/>
      <c r="J222" s="104"/>
      <c r="K222" s="103"/>
      <c r="L222" s="103"/>
      <c r="M222" s="141">
        <f t="shared" si="19"/>
        <v>1300</v>
      </c>
      <c r="N222" s="103"/>
      <c r="O222" s="103" t="s">
        <v>947</v>
      </c>
      <c r="P222" s="137">
        <f t="shared" si="21"/>
        <v>3380</v>
      </c>
    </row>
    <row r="223" spans="1:16" s="8" customFormat="1" ht="15.75" x14ac:dyDescent="0.25">
      <c r="A223" s="113" t="s">
        <v>451</v>
      </c>
      <c r="B223" s="102">
        <v>44193</v>
      </c>
      <c r="C223" s="9" t="s">
        <v>705</v>
      </c>
      <c r="D223" s="25" t="s">
        <v>1122</v>
      </c>
      <c r="E223" s="48">
        <v>1</v>
      </c>
      <c r="F223" s="132">
        <v>728.81</v>
      </c>
      <c r="G223" s="50">
        <f t="shared" si="20"/>
        <v>728.81</v>
      </c>
      <c r="H223" s="103"/>
      <c r="I223" s="141"/>
      <c r="J223" s="104"/>
      <c r="K223" s="103"/>
      <c r="L223" s="103"/>
      <c r="M223" s="141">
        <f t="shared" si="19"/>
        <v>1</v>
      </c>
      <c r="N223" s="103"/>
      <c r="O223" s="103" t="s">
        <v>947</v>
      </c>
      <c r="P223" s="137">
        <f t="shared" si="21"/>
        <v>728.81</v>
      </c>
    </row>
    <row r="224" spans="1:16" s="8" customFormat="1" ht="15.75" x14ac:dyDescent="0.25">
      <c r="A224" s="113" t="s">
        <v>452</v>
      </c>
      <c r="B224" s="102">
        <v>44193</v>
      </c>
      <c r="C224" s="9" t="s">
        <v>709</v>
      </c>
      <c r="D224" s="25" t="s">
        <v>1122</v>
      </c>
      <c r="E224" s="58">
        <v>2</v>
      </c>
      <c r="F224" s="132">
        <v>350</v>
      </c>
      <c r="G224" s="50">
        <f t="shared" si="20"/>
        <v>700</v>
      </c>
      <c r="H224" s="103"/>
      <c r="I224" s="141"/>
      <c r="J224" s="104"/>
      <c r="K224" s="103"/>
      <c r="L224" s="103"/>
      <c r="M224" s="141">
        <f t="shared" si="19"/>
        <v>2</v>
      </c>
      <c r="N224" s="103"/>
      <c r="O224" s="103" t="s">
        <v>947</v>
      </c>
      <c r="P224" s="137">
        <f t="shared" si="21"/>
        <v>700</v>
      </c>
    </row>
    <row r="225" spans="1:16" s="8" customFormat="1" ht="15.75" x14ac:dyDescent="0.25">
      <c r="A225" s="113" t="s">
        <v>453</v>
      </c>
      <c r="B225" s="102">
        <v>44193</v>
      </c>
      <c r="C225" s="9" t="s">
        <v>707</v>
      </c>
      <c r="D225" s="25" t="s">
        <v>1122</v>
      </c>
      <c r="E225" s="48">
        <v>5</v>
      </c>
      <c r="F225" s="132">
        <v>595</v>
      </c>
      <c r="G225" s="50">
        <f t="shared" si="20"/>
        <v>2975</v>
      </c>
      <c r="H225" s="103"/>
      <c r="I225" s="141"/>
      <c r="J225" s="104"/>
      <c r="K225" s="103"/>
      <c r="L225" s="103"/>
      <c r="M225" s="141">
        <f t="shared" si="19"/>
        <v>5</v>
      </c>
      <c r="N225" s="103"/>
      <c r="O225" s="103" t="s">
        <v>947</v>
      </c>
      <c r="P225" s="137">
        <f t="shared" si="21"/>
        <v>2975</v>
      </c>
    </row>
    <row r="226" spans="1:16" s="8" customFormat="1" ht="15.75" x14ac:dyDescent="0.25">
      <c r="A226" s="113" t="s">
        <v>454</v>
      </c>
      <c r="B226" s="102">
        <v>44193</v>
      </c>
      <c r="C226" s="9" t="s">
        <v>868</v>
      </c>
      <c r="D226" s="25" t="s">
        <v>1122</v>
      </c>
      <c r="E226" s="48">
        <v>2</v>
      </c>
      <c r="F226" s="132">
        <v>300</v>
      </c>
      <c r="G226" s="50">
        <f t="shared" si="20"/>
        <v>600</v>
      </c>
      <c r="H226" s="103"/>
      <c r="I226" s="141"/>
      <c r="J226" s="104"/>
      <c r="K226" s="103"/>
      <c r="L226" s="103"/>
      <c r="M226" s="141">
        <f t="shared" si="19"/>
        <v>2</v>
      </c>
      <c r="N226" s="103"/>
      <c r="O226" s="103" t="s">
        <v>947</v>
      </c>
      <c r="P226" s="137">
        <f t="shared" si="21"/>
        <v>600</v>
      </c>
    </row>
    <row r="227" spans="1:16" s="8" customFormat="1" ht="15.75" x14ac:dyDescent="0.25">
      <c r="A227" s="113" t="s">
        <v>455</v>
      </c>
      <c r="B227" s="102">
        <v>44193</v>
      </c>
      <c r="C227" s="26" t="s">
        <v>710</v>
      </c>
      <c r="D227" s="25" t="s">
        <v>1122</v>
      </c>
      <c r="E227" s="32">
        <v>0</v>
      </c>
      <c r="F227" s="132">
        <v>3950</v>
      </c>
      <c r="G227" s="50">
        <f t="shared" si="20"/>
        <v>0</v>
      </c>
      <c r="H227" s="103"/>
      <c r="I227" s="141"/>
      <c r="J227" s="104"/>
      <c r="K227" s="103"/>
      <c r="L227" s="103"/>
      <c r="M227" s="141">
        <f t="shared" si="19"/>
        <v>0</v>
      </c>
      <c r="N227" s="103"/>
      <c r="O227" s="103" t="s">
        <v>947</v>
      </c>
      <c r="P227" s="137">
        <f t="shared" si="21"/>
        <v>0</v>
      </c>
    </row>
    <row r="228" spans="1:16" s="8" customFormat="1" ht="15.75" x14ac:dyDescent="0.25">
      <c r="A228" s="113" t="s">
        <v>456</v>
      </c>
      <c r="B228" s="106" t="s">
        <v>108</v>
      </c>
      <c r="C228" s="26" t="s">
        <v>714</v>
      </c>
      <c r="D228" s="25" t="s">
        <v>1122</v>
      </c>
      <c r="E228" s="55">
        <v>6</v>
      </c>
      <c r="F228" s="133">
        <v>11000</v>
      </c>
      <c r="G228" s="50">
        <f t="shared" si="20"/>
        <v>66000</v>
      </c>
      <c r="H228" s="103"/>
      <c r="I228" s="141"/>
      <c r="J228" s="104"/>
      <c r="K228" s="103"/>
      <c r="L228" s="103"/>
      <c r="M228" s="141">
        <f t="shared" si="19"/>
        <v>6</v>
      </c>
      <c r="N228" s="103"/>
      <c r="O228" s="103" t="s">
        <v>947</v>
      </c>
      <c r="P228" s="137">
        <f t="shared" si="21"/>
        <v>66000</v>
      </c>
    </row>
    <row r="229" spans="1:16" s="8" customFormat="1" ht="15.75" x14ac:dyDescent="0.25">
      <c r="A229" s="113" t="s">
        <v>457</v>
      </c>
      <c r="B229" s="102">
        <v>44652</v>
      </c>
      <c r="C229" s="26" t="s">
        <v>856</v>
      </c>
      <c r="D229" s="25" t="s">
        <v>1122</v>
      </c>
      <c r="E229" s="38">
        <v>5</v>
      </c>
      <c r="F229" s="136">
        <v>1700</v>
      </c>
      <c r="G229" s="50">
        <f t="shared" si="20"/>
        <v>8500</v>
      </c>
      <c r="H229" s="103"/>
      <c r="I229" s="141"/>
      <c r="J229" s="104"/>
      <c r="K229" s="103"/>
      <c r="L229" s="103"/>
      <c r="M229" s="141">
        <f t="shared" si="19"/>
        <v>5</v>
      </c>
      <c r="N229" s="103"/>
      <c r="O229" s="103" t="s">
        <v>946</v>
      </c>
      <c r="P229" s="137">
        <f t="shared" si="21"/>
        <v>8500</v>
      </c>
    </row>
    <row r="230" spans="1:16" s="8" customFormat="1" ht="15.75" x14ac:dyDescent="0.25">
      <c r="A230" s="113" t="s">
        <v>458</v>
      </c>
      <c r="B230" s="102">
        <v>44193</v>
      </c>
      <c r="C230" s="26" t="s">
        <v>712</v>
      </c>
      <c r="D230" s="25" t="s">
        <v>1122</v>
      </c>
      <c r="E230" s="32">
        <v>0</v>
      </c>
      <c r="F230" s="132">
        <v>148.31</v>
      </c>
      <c r="G230" s="50">
        <f t="shared" si="20"/>
        <v>0</v>
      </c>
      <c r="H230" s="103"/>
      <c r="I230" s="141"/>
      <c r="J230" s="104"/>
      <c r="K230" s="103"/>
      <c r="L230" s="103"/>
      <c r="M230" s="141">
        <f t="shared" si="19"/>
        <v>0</v>
      </c>
      <c r="N230" s="103"/>
      <c r="O230" s="103" t="s">
        <v>946</v>
      </c>
      <c r="P230" s="137">
        <f t="shared" si="21"/>
        <v>0</v>
      </c>
    </row>
    <row r="231" spans="1:16" s="8" customFormat="1" ht="15.75" x14ac:dyDescent="0.25">
      <c r="A231" s="113" t="s">
        <v>459</v>
      </c>
      <c r="B231" s="102">
        <v>44193</v>
      </c>
      <c r="C231" s="26" t="s">
        <v>713</v>
      </c>
      <c r="D231" s="25" t="s">
        <v>1122</v>
      </c>
      <c r="E231" s="32">
        <v>0</v>
      </c>
      <c r="F231" s="132">
        <v>122.88</v>
      </c>
      <c r="G231" s="50">
        <f t="shared" si="20"/>
        <v>0</v>
      </c>
      <c r="H231" s="103"/>
      <c r="I231" s="141"/>
      <c r="J231" s="104"/>
      <c r="K231" s="103"/>
      <c r="L231" s="103"/>
      <c r="M231" s="141">
        <f t="shared" si="19"/>
        <v>0</v>
      </c>
      <c r="N231" s="103"/>
      <c r="O231" s="103" t="s">
        <v>946</v>
      </c>
      <c r="P231" s="137">
        <f t="shared" si="21"/>
        <v>0</v>
      </c>
    </row>
    <row r="232" spans="1:16" s="8" customFormat="1" ht="15.75" x14ac:dyDescent="0.25">
      <c r="A232" s="113" t="s">
        <v>460</v>
      </c>
      <c r="B232" s="102">
        <v>44193</v>
      </c>
      <c r="C232" s="26" t="s">
        <v>847</v>
      </c>
      <c r="D232" s="25" t="s">
        <v>1122</v>
      </c>
      <c r="E232" s="32">
        <v>0</v>
      </c>
      <c r="F232" s="132">
        <v>0</v>
      </c>
      <c r="G232" s="50">
        <f t="shared" si="20"/>
        <v>0</v>
      </c>
      <c r="H232" s="103"/>
      <c r="I232" s="141"/>
      <c r="J232" s="104"/>
      <c r="K232" s="103"/>
      <c r="L232" s="103"/>
      <c r="M232" s="141">
        <f t="shared" si="19"/>
        <v>0</v>
      </c>
      <c r="N232" s="103"/>
      <c r="O232" s="103" t="s">
        <v>946</v>
      </c>
      <c r="P232" s="137">
        <f t="shared" si="21"/>
        <v>0</v>
      </c>
    </row>
    <row r="233" spans="1:16" s="8" customFormat="1" ht="15.75" x14ac:dyDescent="0.25">
      <c r="A233" s="113" t="s">
        <v>461</v>
      </c>
      <c r="B233" s="124">
        <v>44851</v>
      </c>
      <c r="C233" s="26" t="s">
        <v>711</v>
      </c>
      <c r="D233" s="25" t="s">
        <v>1122</v>
      </c>
      <c r="E233" s="32">
        <v>0</v>
      </c>
      <c r="F233" s="132">
        <v>156.35</v>
      </c>
      <c r="G233" s="50">
        <f t="shared" si="20"/>
        <v>0</v>
      </c>
      <c r="H233" s="124">
        <v>44851</v>
      </c>
      <c r="I233" s="141">
        <v>100</v>
      </c>
      <c r="J233" s="126">
        <v>156.35</v>
      </c>
      <c r="K233" s="127">
        <f>+I233*J233</f>
        <v>15635</v>
      </c>
      <c r="L233" s="125">
        <v>2</v>
      </c>
      <c r="M233" s="141">
        <f t="shared" si="19"/>
        <v>98</v>
      </c>
      <c r="N233" s="103"/>
      <c r="O233" s="103" t="s">
        <v>946</v>
      </c>
      <c r="P233" s="137">
        <f t="shared" si="21"/>
        <v>15322.3</v>
      </c>
    </row>
    <row r="234" spans="1:16" s="92" customFormat="1" x14ac:dyDescent="0.3">
      <c r="A234" s="113" t="s">
        <v>462</v>
      </c>
      <c r="B234" s="102">
        <v>44193</v>
      </c>
      <c r="C234" s="25" t="s">
        <v>716</v>
      </c>
      <c r="D234" s="25" t="s">
        <v>1122</v>
      </c>
      <c r="E234" s="32">
        <v>0</v>
      </c>
      <c r="F234" s="133">
        <v>82</v>
      </c>
      <c r="G234" s="50">
        <f t="shared" si="20"/>
        <v>0</v>
      </c>
      <c r="H234" s="125"/>
      <c r="I234" s="141"/>
      <c r="J234" s="126"/>
      <c r="K234" s="125"/>
      <c r="L234" s="125">
        <v>2</v>
      </c>
      <c r="M234" s="141">
        <f t="shared" si="19"/>
        <v>-2</v>
      </c>
      <c r="N234" s="103"/>
      <c r="O234" s="103" t="s">
        <v>945</v>
      </c>
      <c r="P234" s="137">
        <f t="shared" si="21"/>
        <v>-164</v>
      </c>
    </row>
    <row r="235" spans="1:16" s="92" customFormat="1" x14ac:dyDescent="0.3">
      <c r="A235" s="113" t="s">
        <v>463</v>
      </c>
      <c r="B235" s="102">
        <v>44193</v>
      </c>
      <c r="C235" s="25" t="s">
        <v>717</v>
      </c>
      <c r="D235" s="25" t="s">
        <v>1122</v>
      </c>
      <c r="E235" s="32">
        <v>0</v>
      </c>
      <c r="F235" s="133">
        <v>14.29</v>
      </c>
      <c r="G235" s="50">
        <f t="shared" si="20"/>
        <v>0</v>
      </c>
      <c r="H235" s="103"/>
      <c r="I235" s="141"/>
      <c r="J235" s="104"/>
      <c r="K235" s="103"/>
      <c r="L235" s="103"/>
      <c r="M235" s="141">
        <f t="shared" si="19"/>
        <v>0</v>
      </c>
      <c r="N235" s="103"/>
      <c r="O235" s="103" t="s">
        <v>945</v>
      </c>
      <c r="P235" s="137">
        <f t="shared" si="21"/>
        <v>0</v>
      </c>
    </row>
    <row r="236" spans="1:16" s="92" customFormat="1" x14ac:dyDescent="0.3">
      <c r="A236" s="113" t="s">
        <v>464</v>
      </c>
      <c r="B236" s="106" t="s">
        <v>770</v>
      </c>
      <c r="C236" s="25" t="s">
        <v>715</v>
      </c>
      <c r="D236" s="25" t="s">
        <v>1122</v>
      </c>
      <c r="E236" s="32">
        <v>6</v>
      </c>
      <c r="F236" s="133">
        <v>82</v>
      </c>
      <c r="G236" s="50">
        <f t="shared" si="20"/>
        <v>492</v>
      </c>
      <c r="H236" s="103"/>
      <c r="I236" s="141"/>
      <c r="J236" s="104"/>
      <c r="K236" s="103"/>
      <c r="L236" s="103"/>
      <c r="M236" s="141">
        <f t="shared" si="19"/>
        <v>6</v>
      </c>
      <c r="N236" s="103"/>
      <c r="O236" s="103" t="s">
        <v>945</v>
      </c>
      <c r="P236" s="137">
        <f t="shared" si="21"/>
        <v>492</v>
      </c>
    </row>
    <row r="237" spans="1:16" s="8" customFormat="1" ht="15.75" x14ac:dyDescent="0.25">
      <c r="A237" s="113" t="s">
        <v>465</v>
      </c>
      <c r="B237" s="106" t="s">
        <v>108</v>
      </c>
      <c r="C237" s="25" t="s">
        <v>718</v>
      </c>
      <c r="D237" s="25" t="s">
        <v>1122</v>
      </c>
      <c r="E237" s="32">
        <v>0</v>
      </c>
      <c r="F237" s="133">
        <v>6375</v>
      </c>
      <c r="G237" s="50">
        <f t="shared" si="20"/>
        <v>0</v>
      </c>
      <c r="H237" s="103"/>
      <c r="I237" s="141"/>
      <c r="J237" s="104"/>
      <c r="K237" s="103"/>
      <c r="L237" s="103">
        <v>1</v>
      </c>
      <c r="M237" s="141">
        <f t="shared" si="19"/>
        <v>-1</v>
      </c>
      <c r="N237" s="103"/>
      <c r="O237" s="103" t="s">
        <v>946</v>
      </c>
      <c r="P237" s="137">
        <f t="shared" si="21"/>
        <v>-6375</v>
      </c>
    </row>
    <row r="238" spans="1:16" s="8" customFormat="1" ht="15.75" x14ac:dyDescent="0.25">
      <c r="A238" s="113" t="s">
        <v>466</v>
      </c>
      <c r="B238" s="102">
        <v>44193</v>
      </c>
      <c r="C238" s="9" t="s">
        <v>781</v>
      </c>
      <c r="D238" s="25" t="s">
        <v>1122</v>
      </c>
      <c r="E238" s="48">
        <v>2</v>
      </c>
      <c r="F238" s="132">
        <v>725</v>
      </c>
      <c r="G238" s="50">
        <f t="shared" si="20"/>
        <v>1450</v>
      </c>
      <c r="H238" s="103"/>
      <c r="I238" s="141"/>
      <c r="J238" s="104"/>
      <c r="K238" s="103"/>
      <c r="L238" s="103"/>
      <c r="M238" s="141">
        <f t="shared" si="19"/>
        <v>2</v>
      </c>
      <c r="N238" s="103"/>
      <c r="O238" s="103" t="s">
        <v>947</v>
      </c>
      <c r="P238" s="137">
        <f t="shared" si="21"/>
        <v>1450</v>
      </c>
    </row>
    <row r="239" spans="1:16" s="8" customFormat="1" ht="15.75" x14ac:dyDescent="0.25">
      <c r="A239" s="113" t="s">
        <v>467</v>
      </c>
      <c r="B239" s="107">
        <v>44852</v>
      </c>
      <c r="C239" s="9" t="s">
        <v>1168</v>
      </c>
      <c r="D239" s="25" t="s">
        <v>1122</v>
      </c>
      <c r="E239" s="30">
        <v>40</v>
      </c>
      <c r="F239" s="132">
        <v>326.62</v>
      </c>
      <c r="G239" s="50">
        <f t="shared" si="20"/>
        <v>13064.8</v>
      </c>
      <c r="H239" s="107">
        <v>44852</v>
      </c>
      <c r="I239" s="141">
        <f>10*10</f>
        <v>100</v>
      </c>
      <c r="J239" s="104">
        <v>326.62</v>
      </c>
      <c r="K239" s="104">
        <f>+J239*I239</f>
        <v>32662</v>
      </c>
      <c r="L239" s="103">
        <f>6+1+1+8+25+1+10+5+1+1</f>
        <v>59</v>
      </c>
      <c r="M239" s="141">
        <f t="shared" si="19"/>
        <v>81</v>
      </c>
      <c r="N239" s="103" t="s">
        <v>1037</v>
      </c>
      <c r="O239" s="103" t="s">
        <v>947</v>
      </c>
      <c r="P239" s="137">
        <f t="shared" si="21"/>
        <v>26456.22</v>
      </c>
    </row>
    <row r="240" spans="1:16" s="8" customFormat="1" ht="15.75" x14ac:dyDescent="0.25">
      <c r="A240" s="113" t="s">
        <v>468</v>
      </c>
      <c r="B240" s="102">
        <v>44193</v>
      </c>
      <c r="C240" s="9" t="s">
        <v>722</v>
      </c>
      <c r="D240" s="25" t="s">
        <v>1122</v>
      </c>
      <c r="E240" s="48">
        <v>100</v>
      </c>
      <c r="F240" s="132">
        <v>2.25</v>
      </c>
      <c r="G240" s="50">
        <f t="shared" si="20"/>
        <v>225</v>
      </c>
      <c r="H240" s="103"/>
      <c r="I240" s="141"/>
      <c r="J240" s="104"/>
      <c r="K240" s="104">
        <f t="shared" ref="K240:K251" si="22">+J240*I240</f>
        <v>0</v>
      </c>
      <c r="L240" s="103">
        <v>5</v>
      </c>
      <c r="M240" s="141">
        <f t="shared" ref="M240:M303" si="23">+E240+I240-L240</f>
        <v>95</v>
      </c>
      <c r="N240" s="103"/>
      <c r="O240" s="103" t="s">
        <v>947</v>
      </c>
      <c r="P240" s="137">
        <f t="shared" si="21"/>
        <v>213.75</v>
      </c>
    </row>
    <row r="241" spans="1:16" s="105" customFormat="1" ht="15.75" x14ac:dyDescent="0.25">
      <c r="A241" s="113" t="s">
        <v>469</v>
      </c>
      <c r="B241" s="107">
        <v>44852</v>
      </c>
      <c r="C241" s="9" t="s">
        <v>1039</v>
      </c>
      <c r="D241" s="25" t="s">
        <v>1122</v>
      </c>
      <c r="E241" s="48">
        <v>7</v>
      </c>
      <c r="F241" s="132">
        <v>428.22</v>
      </c>
      <c r="G241" s="50">
        <f t="shared" si="20"/>
        <v>2997.54</v>
      </c>
      <c r="H241" s="107">
        <v>44852</v>
      </c>
      <c r="I241" s="141">
        <f>2*10</f>
        <v>20</v>
      </c>
      <c r="J241" s="104">
        <v>428.22</v>
      </c>
      <c r="K241" s="104">
        <f t="shared" si="22"/>
        <v>8564.4000000000015</v>
      </c>
      <c r="L241" s="103"/>
      <c r="M241" s="141">
        <f t="shared" si="23"/>
        <v>27</v>
      </c>
      <c r="N241" s="103" t="s">
        <v>1037</v>
      </c>
      <c r="O241" s="103" t="s">
        <v>947</v>
      </c>
      <c r="P241" s="137">
        <f t="shared" si="21"/>
        <v>11561.94</v>
      </c>
    </row>
    <row r="242" spans="1:16" s="8" customFormat="1" ht="15.75" x14ac:dyDescent="0.25">
      <c r="A242" s="113" t="s">
        <v>470</v>
      </c>
      <c r="B242" s="107">
        <v>44852</v>
      </c>
      <c r="C242" s="9" t="s">
        <v>725</v>
      </c>
      <c r="D242" s="25" t="s">
        <v>1122</v>
      </c>
      <c r="E242" s="48">
        <v>61</v>
      </c>
      <c r="F242" s="132">
        <v>21.69</v>
      </c>
      <c r="G242" s="50">
        <f t="shared" si="20"/>
        <v>1323.0900000000001</v>
      </c>
      <c r="H242" s="107">
        <v>44852</v>
      </c>
      <c r="I242" s="141">
        <v>2</v>
      </c>
      <c r="J242" s="104">
        <v>21.69</v>
      </c>
      <c r="K242" s="104">
        <f t="shared" si="22"/>
        <v>43.38</v>
      </c>
      <c r="L242" s="103">
        <v>15</v>
      </c>
      <c r="M242" s="141">
        <f t="shared" si="23"/>
        <v>48</v>
      </c>
      <c r="N242" s="103" t="s">
        <v>1037</v>
      </c>
      <c r="O242" s="103" t="s">
        <v>947</v>
      </c>
      <c r="P242" s="137">
        <f t="shared" si="21"/>
        <v>1041.1200000000001</v>
      </c>
    </row>
    <row r="243" spans="1:16" s="105" customFormat="1" ht="15.75" x14ac:dyDescent="0.25">
      <c r="A243" s="113" t="s">
        <v>466</v>
      </c>
      <c r="B243" s="107">
        <v>44851</v>
      </c>
      <c r="C243" s="9" t="s">
        <v>781</v>
      </c>
      <c r="D243" s="25" t="s">
        <v>1122</v>
      </c>
      <c r="E243" s="48">
        <v>2</v>
      </c>
      <c r="F243" s="132">
        <v>857.86</v>
      </c>
      <c r="G243" s="50">
        <f t="shared" si="20"/>
        <v>1715.72</v>
      </c>
      <c r="H243" s="107">
        <v>44851</v>
      </c>
      <c r="I243" s="141">
        <v>2</v>
      </c>
      <c r="J243" s="104">
        <v>857.86</v>
      </c>
      <c r="K243" s="103">
        <f>+J243*I243</f>
        <v>1715.72</v>
      </c>
      <c r="L243" s="103"/>
      <c r="M243" s="141">
        <f t="shared" si="23"/>
        <v>4</v>
      </c>
      <c r="N243" s="103" t="s">
        <v>1037</v>
      </c>
      <c r="O243" s="103" t="s">
        <v>947</v>
      </c>
      <c r="P243" s="137">
        <f t="shared" si="21"/>
        <v>3431.44</v>
      </c>
    </row>
    <row r="244" spans="1:16" s="8" customFormat="1" ht="15.75" x14ac:dyDescent="0.25">
      <c r="A244" s="113" t="s">
        <v>472</v>
      </c>
      <c r="B244" s="107">
        <v>45019</v>
      </c>
      <c r="C244" s="128" t="s">
        <v>727</v>
      </c>
      <c r="D244" s="25" t="s">
        <v>1122</v>
      </c>
      <c r="E244" s="14">
        <v>367</v>
      </c>
      <c r="F244" s="132">
        <v>117.02</v>
      </c>
      <c r="G244" s="50">
        <f t="shared" si="20"/>
        <v>42946.34</v>
      </c>
      <c r="H244" s="107">
        <v>45019</v>
      </c>
      <c r="I244" s="141">
        <v>540</v>
      </c>
      <c r="J244" s="104">
        <v>117.02</v>
      </c>
      <c r="K244" s="104">
        <f t="shared" si="22"/>
        <v>63190.799999999996</v>
      </c>
      <c r="L244" s="103">
        <f>12+18</f>
        <v>30</v>
      </c>
      <c r="M244" s="141">
        <f t="shared" si="23"/>
        <v>877</v>
      </c>
      <c r="N244" s="103"/>
      <c r="O244" s="103" t="s">
        <v>947</v>
      </c>
      <c r="P244" s="137">
        <f t="shared" si="21"/>
        <v>102626.54</v>
      </c>
    </row>
    <row r="245" spans="1:16" s="8" customFormat="1" ht="15.75" x14ac:dyDescent="0.25">
      <c r="A245" s="113" t="s">
        <v>473</v>
      </c>
      <c r="B245" s="106" t="s">
        <v>112</v>
      </c>
      <c r="C245" s="26" t="s">
        <v>752</v>
      </c>
      <c r="D245" s="25" t="s">
        <v>1122</v>
      </c>
      <c r="E245" s="38">
        <v>3</v>
      </c>
      <c r="F245" s="132">
        <v>135</v>
      </c>
      <c r="G245" s="50">
        <f t="shared" si="20"/>
        <v>405</v>
      </c>
      <c r="H245" s="103"/>
      <c r="I245" s="141"/>
      <c r="J245" s="104"/>
      <c r="K245" s="104">
        <f t="shared" si="22"/>
        <v>0</v>
      </c>
      <c r="L245" s="103"/>
      <c r="M245" s="141">
        <f t="shared" si="23"/>
        <v>3</v>
      </c>
      <c r="N245" s="103"/>
      <c r="O245" s="103" t="s">
        <v>947</v>
      </c>
      <c r="P245" s="137">
        <f t="shared" si="21"/>
        <v>405</v>
      </c>
    </row>
    <row r="246" spans="1:16" s="105" customFormat="1" ht="15.75" x14ac:dyDescent="0.25">
      <c r="A246" s="113" t="s">
        <v>507</v>
      </c>
      <c r="B246" s="107">
        <v>44852</v>
      </c>
      <c r="C246" s="9" t="s">
        <v>728</v>
      </c>
      <c r="D246" s="25" t="s">
        <v>1122</v>
      </c>
      <c r="E246" s="30">
        <v>0</v>
      </c>
      <c r="F246" s="132">
        <v>206.54</v>
      </c>
      <c r="G246" s="50">
        <f t="shared" si="20"/>
        <v>0</v>
      </c>
      <c r="H246" s="107">
        <v>44852</v>
      </c>
      <c r="I246" s="141">
        <v>5</v>
      </c>
      <c r="J246" s="104">
        <v>206.54</v>
      </c>
      <c r="K246" s="103">
        <f>+J246*I246</f>
        <v>1032.7</v>
      </c>
      <c r="L246" s="103">
        <v>1</v>
      </c>
      <c r="M246" s="141">
        <f t="shared" si="23"/>
        <v>4</v>
      </c>
      <c r="N246" s="103" t="s">
        <v>1037</v>
      </c>
      <c r="O246" s="103" t="s">
        <v>947</v>
      </c>
      <c r="P246" s="137">
        <f t="shared" si="21"/>
        <v>826.16</v>
      </c>
    </row>
    <row r="247" spans="1:16" s="8" customFormat="1" ht="15.75" x14ac:dyDescent="0.25">
      <c r="A247" s="113" t="s">
        <v>508</v>
      </c>
      <c r="B247" s="102">
        <v>44193</v>
      </c>
      <c r="C247" s="9" t="s">
        <v>729</v>
      </c>
      <c r="D247" s="25" t="s">
        <v>1122</v>
      </c>
      <c r="E247" s="30">
        <v>226</v>
      </c>
      <c r="F247" s="132">
        <v>22.2</v>
      </c>
      <c r="G247" s="50">
        <f t="shared" si="20"/>
        <v>5017.2</v>
      </c>
      <c r="H247" s="103"/>
      <c r="I247" s="141"/>
      <c r="J247" s="104"/>
      <c r="K247" s="104">
        <f t="shared" si="22"/>
        <v>0</v>
      </c>
      <c r="L247" s="103"/>
      <c r="M247" s="141">
        <f t="shared" si="23"/>
        <v>226</v>
      </c>
      <c r="N247" s="103"/>
      <c r="O247" s="103" t="s">
        <v>947</v>
      </c>
      <c r="P247" s="137">
        <f t="shared" si="21"/>
        <v>5017.2</v>
      </c>
    </row>
    <row r="248" spans="1:16" s="8" customFormat="1" ht="15.75" x14ac:dyDescent="0.25">
      <c r="A248" s="113" t="s">
        <v>509</v>
      </c>
      <c r="B248" s="107">
        <v>44610</v>
      </c>
      <c r="C248" s="9" t="s">
        <v>730</v>
      </c>
      <c r="D248" s="25" t="s">
        <v>1122</v>
      </c>
      <c r="E248" s="30">
        <v>2</v>
      </c>
      <c r="F248" s="132">
        <v>284.99</v>
      </c>
      <c r="G248" s="50">
        <f t="shared" si="20"/>
        <v>569.98</v>
      </c>
      <c r="H248" s="107">
        <v>44610</v>
      </c>
      <c r="I248" s="141">
        <v>2</v>
      </c>
      <c r="J248" s="104">
        <v>284.99</v>
      </c>
      <c r="K248" s="104">
        <f t="shared" si="22"/>
        <v>569.98</v>
      </c>
      <c r="L248" s="103"/>
      <c r="M248" s="141">
        <f t="shared" si="23"/>
        <v>4</v>
      </c>
      <c r="N248" s="103" t="s">
        <v>1037</v>
      </c>
      <c r="O248" s="103" t="s">
        <v>947</v>
      </c>
      <c r="P248" s="137">
        <f t="shared" si="21"/>
        <v>1139.96</v>
      </c>
    </row>
    <row r="249" spans="1:16" s="8" customFormat="1" ht="15.75" x14ac:dyDescent="0.25">
      <c r="A249" s="113" t="s">
        <v>869</v>
      </c>
      <c r="B249" s="102">
        <v>44193</v>
      </c>
      <c r="C249" s="25" t="s">
        <v>825</v>
      </c>
      <c r="D249" s="25" t="s">
        <v>1122</v>
      </c>
      <c r="E249" s="38">
        <v>11</v>
      </c>
      <c r="F249" s="132">
        <v>301</v>
      </c>
      <c r="G249" s="50">
        <f t="shared" si="20"/>
        <v>3311</v>
      </c>
      <c r="H249" s="103"/>
      <c r="I249" s="141"/>
      <c r="J249" s="104"/>
      <c r="K249" s="104">
        <f t="shared" si="22"/>
        <v>0</v>
      </c>
      <c r="L249" s="103"/>
      <c r="M249" s="141">
        <f t="shared" si="23"/>
        <v>11</v>
      </c>
      <c r="N249" s="103"/>
      <c r="O249" s="103" t="s">
        <v>947</v>
      </c>
      <c r="P249" s="137">
        <f t="shared" si="21"/>
        <v>3311</v>
      </c>
    </row>
    <row r="250" spans="1:16" s="92" customFormat="1" x14ac:dyDescent="0.3">
      <c r="A250" s="113" t="s">
        <v>512</v>
      </c>
      <c r="B250" s="107">
        <v>45019</v>
      </c>
      <c r="C250" s="25" t="s">
        <v>731</v>
      </c>
      <c r="D250" s="25" t="s">
        <v>1122</v>
      </c>
      <c r="E250" s="30">
        <v>180</v>
      </c>
      <c r="F250" s="133">
        <v>38.19</v>
      </c>
      <c r="G250" s="50">
        <f t="shared" si="20"/>
        <v>6874.2</v>
      </c>
      <c r="H250" s="107">
        <v>45019</v>
      </c>
      <c r="I250" s="141">
        <f>7*48</f>
        <v>336</v>
      </c>
      <c r="J250" s="104">
        <v>38.19</v>
      </c>
      <c r="K250" s="104">
        <f t="shared" si="22"/>
        <v>12831.84</v>
      </c>
      <c r="L250" s="103">
        <f>48+3+3+2+4+6+7</f>
        <v>73</v>
      </c>
      <c r="M250" s="141">
        <f t="shared" si="23"/>
        <v>443</v>
      </c>
      <c r="N250" s="103" t="s">
        <v>1006</v>
      </c>
      <c r="O250" s="103" t="s">
        <v>945</v>
      </c>
      <c r="P250" s="137">
        <f t="shared" si="21"/>
        <v>16918.169999999998</v>
      </c>
    </row>
    <row r="251" spans="1:16" s="105" customFormat="1" ht="15.75" x14ac:dyDescent="0.25">
      <c r="A251" s="113" t="s">
        <v>870</v>
      </c>
      <c r="B251" s="107">
        <v>44852</v>
      </c>
      <c r="C251" s="9" t="s">
        <v>950</v>
      </c>
      <c r="D251" s="25" t="s">
        <v>1122</v>
      </c>
      <c r="E251" s="30">
        <v>12</v>
      </c>
      <c r="F251" s="132">
        <v>44.54</v>
      </c>
      <c r="G251" s="50">
        <f t="shared" si="20"/>
        <v>534.48</v>
      </c>
      <c r="H251" s="107">
        <v>44852</v>
      </c>
      <c r="I251" s="141">
        <v>32</v>
      </c>
      <c r="J251" s="104">
        <v>44.54</v>
      </c>
      <c r="K251" s="104">
        <f t="shared" si="22"/>
        <v>1425.28</v>
      </c>
      <c r="L251" s="103">
        <f>4+4</f>
        <v>8</v>
      </c>
      <c r="M251" s="141">
        <f t="shared" si="23"/>
        <v>36</v>
      </c>
      <c r="N251" s="103"/>
      <c r="O251" s="103" t="s">
        <v>945</v>
      </c>
      <c r="P251" s="137">
        <f t="shared" si="21"/>
        <v>1603.44</v>
      </c>
    </row>
    <row r="252" spans="1:16" s="92" customFormat="1" x14ac:dyDescent="0.3">
      <c r="A252" s="113" t="s">
        <v>513</v>
      </c>
      <c r="B252" s="102">
        <v>44678</v>
      </c>
      <c r="C252" s="25" t="s">
        <v>853</v>
      </c>
      <c r="D252" s="25" t="s">
        <v>1122</v>
      </c>
      <c r="E252" s="56">
        <v>16</v>
      </c>
      <c r="F252" s="132">
        <v>3000</v>
      </c>
      <c r="G252" s="50">
        <f t="shared" si="20"/>
        <v>48000</v>
      </c>
      <c r="H252" s="103"/>
      <c r="I252" s="141"/>
      <c r="J252" s="104"/>
      <c r="K252" s="103"/>
      <c r="L252" s="103"/>
      <c r="M252" s="141">
        <f t="shared" si="23"/>
        <v>16</v>
      </c>
      <c r="N252" s="103"/>
      <c r="O252" s="103" t="s">
        <v>945</v>
      </c>
      <c r="P252" s="137">
        <f t="shared" si="21"/>
        <v>48000</v>
      </c>
    </row>
    <row r="253" spans="1:16" s="92" customFormat="1" x14ac:dyDescent="0.3">
      <c r="A253" s="113" t="s">
        <v>514</v>
      </c>
      <c r="B253" s="102">
        <v>44193</v>
      </c>
      <c r="C253" s="25" t="s">
        <v>734</v>
      </c>
      <c r="D253" s="25" t="s">
        <v>1122</v>
      </c>
      <c r="E253" s="38">
        <v>0</v>
      </c>
      <c r="F253" s="132">
        <v>1500</v>
      </c>
      <c r="G253" s="50">
        <f t="shared" si="20"/>
        <v>0</v>
      </c>
      <c r="H253" s="103"/>
      <c r="I253" s="141"/>
      <c r="J253" s="104"/>
      <c r="K253" s="103"/>
      <c r="L253" s="103"/>
      <c r="M253" s="141">
        <f t="shared" si="23"/>
        <v>0</v>
      </c>
      <c r="N253" s="103"/>
      <c r="O253" s="103" t="s">
        <v>945</v>
      </c>
      <c r="P253" s="137">
        <f t="shared" si="21"/>
        <v>0</v>
      </c>
    </row>
    <row r="254" spans="1:16" s="92" customFormat="1" x14ac:dyDescent="0.3">
      <c r="A254" s="113" t="s">
        <v>871</v>
      </c>
      <c r="B254" s="102">
        <v>44678</v>
      </c>
      <c r="C254" s="25" t="s">
        <v>852</v>
      </c>
      <c r="D254" s="25" t="s">
        <v>1122</v>
      </c>
      <c r="E254" s="57">
        <v>11</v>
      </c>
      <c r="F254" s="132">
        <v>1500</v>
      </c>
      <c r="G254" s="50">
        <f t="shared" si="20"/>
        <v>16500</v>
      </c>
      <c r="H254" s="103"/>
      <c r="I254" s="141"/>
      <c r="J254" s="104"/>
      <c r="K254" s="103"/>
      <c r="L254" s="103"/>
      <c r="M254" s="141">
        <f t="shared" si="23"/>
        <v>11</v>
      </c>
      <c r="N254" s="103"/>
      <c r="O254" s="103" t="s">
        <v>945</v>
      </c>
      <c r="P254" s="137">
        <f t="shared" si="21"/>
        <v>16500</v>
      </c>
    </row>
    <row r="255" spans="1:16" s="92" customFormat="1" x14ac:dyDescent="0.3">
      <c r="A255" s="113" t="s">
        <v>872</v>
      </c>
      <c r="B255" s="102">
        <v>44678</v>
      </c>
      <c r="C255" s="25" t="s">
        <v>735</v>
      </c>
      <c r="D255" s="25" t="s">
        <v>1122</v>
      </c>
      <c r="E255" s="57">
        <v>3</v>
      </c>
      <c r="F255" s="132">
        <v>3800</v>
      </c>
      <c r="G255" s="50">
        <f t="shared" si="20"/>
        <v>11400</v>
      </c>
      <c r="H255" s="103"/>
      <c r="I255" s="141"/>
      <c r="J255" s="104"/>
      <c r="K255" s="103"/>
      <c r="L255" s="103"/>
      <c r="M255" s="141">
        <f t="shared" si="23"/>
        <v>3</v>
      </c>
      <c r="N255" s="103"/>
      <c r="O255" s="103" t="s">
        <v>945</v>
      </c>
      <c r="P255" s="137">
        <f t="shared" si="21"/>
        <v>11400</v>
      </c>
    </row>
    <row r="256" spans="1:16" s="92" customFormat="1" x14ac:dyDescent="0.3">
      <c r="A256" s="113" t="s">
        <v>515</v>
      </c>
      <c r="B256" s="102">
        <v>44678</v>
      </c>
      <c r="C256" s="25" t="s">
        <v>737</v>
      </c>
      <c r="D256" s="25" t="s">
        <v>1122</v>
      </c>
      <c r="E256" s="57">
        <v>2</v>
      </c>
      <c r="F256" s="132">
        <v>1500</v>
      </c>
      <c r="G256" s="50">
        <f t="shared" si="20"/>
        <v>3000</v>
      </c>
      <c r="H256" s="103"/>
      <c r="I256" s="141"/>
      <c r="J256" s="104"/>
      <c r="K256" s="103"/>
      <c r="L256" s="103"/>
      <c r="M256" s="141">
        <f t="shared" si="23"/>
        <v>2</v>
      </c>
      <c r="N256" s="103"/>
      <c r="O256" s="103" t="s">
        <v>945</v>
      </c>
      <c r="P256" s="137">
        <f t="shared" si="21"/>
        <v>3000</v>
      </c>
    </row>
    <row r="257" spans="1:16" s="92" customFormat="1" x14ac:dyDescent="0.3">
      <c r="A257" s="113" t="s">
        <v>516</v>
      </c>
      <c r="B257" s="102">
        <v>44678</v>
      </c>
      <c r="C257" s="25" t="s">
        <v>736</v>
      </c>
      <c r="D257" s="25" t="s">
        <v>1122</v>
      </c>
      <c r="E257" s="57">
        <v>2</v>
      </c>
      <c r="F257" s="132">
        <v>3800</v>
      </c>
      <c r="G257" s="50">
        <f t="shared" si="20"/>
        <v>7600</v>
      </c>
      <c r="H257" s="103"/>
      <c r="I257" s="141"/>
      <c r="J257" s="104"/>
      <c r="K257" s="103"/>
      <c r="L257" s="103"/>
      <c r="M257" s="141">
        <f t="shared" si="23"/>
        <v>2</v>
      </c>
      <c r="N257" s="103"/>
      <c r="O257" s="103" t="s">
        <v>945</v>
      </c>
      <c r="P257" s="137">
        <f t="shared" si="21"/>
        <v>7600</v>
      </c>
    </row>
    <row r="258" spans="1:16" s="92" customFormat="1" x14ac:dyDescent="0.3">
      <c r="A258" s="113" t="s">
        <v>517</v>
      </c>
      <c r="B258" s="102">
        <v>44678</v>
      </c>
      <c r="C258" s="25" t="s">
        <v>738</v>
      </c>
      <c r="D258" s="25" t="s">
        <v>1122</v>
      </c>
      <c r="E258" s="57">
        <v>4</v>
      </c>
      <c r="F258" s="132">
        <v>3800</v>
      </c>
      <c r="G258" s="50">
        <f t="shared" si="20"/>
        <v>15200</v>
      </c>
      <c r="H258" s="103"/>
      <c r="I258" s="141"/>
      <c r="J258" s="104"/>
      <c r="K258" s="103"/>
      <c r="L258" s="103"/>
      <c r="M258" s="141">
        <f t="shared" si="23"/>
        <v>4</v>
      </c>
      <c r="N258" s="103"/>
      <c r="O258" s="103" t="s">
        <v>945</v>
      </c>
      <c r="P258" s="137">
        <f t="shared" si="21"/>
        <v>15200</v>
      </c>
    </row>
    <row r="259" spans="1:16" s="92" customFormat="1" x14ac:dyDescent="0.3">
      <c r="A259" s="113" t="s">
        <v>518</v>
      </c>
      <c r="B259" s="102">
        <v>44678</v>
      </c>
      <c r="C259" s="26" t="s">
        <v>751</v>
      </c>
      <c r="D259" s="25" t="s">
        <v>1122</v>
      </c>
      <c r="E259" s="57">
        <v>16</v>
      </c>
      <c r="F259" s="132">
        <v>3000</v>
      </c>
      <c r="G259" s="50">
        <f t="shared" si="20"/>
        <v>48000</v>
      </c>
      <c r="H259" s="103"/>
      <c r="I259" s="141"/>
      <c r="J259" s="104"/>
      <c r="K259" s="103"/>
      <c r="L259" s="103"/>
      <c r="M259" s="141">
        <f t="shared" si="23"/>
        <v>16</v>
      </c>
      <c r="N259" s="103"/>
      <c r="O259" s="103" t="s">
        <v>945</v>
      </c>
      <c r="P259" s="137">
        <f t="shared" si="21"/>
        <v>48000</v>
      </c>
    </row>
    <row r="260" spans="1:16" s="92" customFormat="1" x14ac:dyDescent="0.3">
      <c r="A260" s="113" t="s">
        <v>519</v>
      </c>
      <c r="B260" s="102">
        <v>44678</v>
      </c>
      <c r="C260" s="25" t="s">
        <v>845</v>
      </c>
      <c r="D260" s="25" t="s">
        <v>1122</v>
      </c>
      <c r="E260" s="38">
        <v>2</v>
      </c>
      <c r="F260" s="132">
        <v>200</v>
      </c>
      <c r="G260" s="50">
        <f t="shared" si="20"/>
        <v>400</v>
      </c>
      <c r="H260" s="103"/>
      <c r="I260" s="141"/>
      <c r="J260" s="104"/>
      <c r="K260" s="103"/>
      <c r="L260" s="103"/>
      <c r="M260" s="141">
        <f t="shared" si="23"/>
        <v>2</v>
      </c>
      <c r="N260" s="103"/>
      <c r="O260" s="103" t="s">
        <v>945</v>
      </c>
      <c r="P260" s="137">
        <f t="shared" si="21"/>
        <v>400</v>
      </c>
    </row>
    <row r="261" spans="1:16" s="8" customFormat="1" ht="15.75" x14ac:dyDescent="0.25">
      <c r="A261" s="113" t="s">
        <v>520</v>
      </c>
      <c r="B261" s="102">
        <v>44193</v>
      </c>
      <c r="C261" s="9" t="s">
        <v>740</v>
      </c>
      <c r="D261" s="25" t="s">
        <v>1122</v>
      </c>
      <c r="E261" s="30">
        <v>3</v>
      </c>
      <c r="F261" s="132">
        <v>75</v>
      </c>
      <c r="G261" s="50">
        <f>E261*F261</f>
        <v>225</v>
      </c>
      <c r="H261" s="103"/>
      <c r="I261" s="141"/>
      <c r="J261" s="104"/>
      <c r="K261" s="103"/>
      <c r="L261" s="103"/>
      <c r="M261" s="141">
        <f t="shared" si="23"/>
        <v>3</v>
      </c>
      <c r="N261" s="103"/>
      <c r="O261" s="103" t="s">
        <v>947</v>
      </c>
      <c r="P261" s="137">
        <f t="shared" si="21"/>
        <v>225</v>
      </c>
    </row>
    <row r="262" spans="1:16" s="8" customFormat="1" ht="15.75" x14ac:dyDescent="0.25">
      <c r="A262" s="113" t="s">
        <v>521</v>
      </c>
      <c r="B262" s="102">
        <v>44193</v>
      </c>
      <c r="C262" s="9" t="s">
        <v>739</v>
      </c>
      <c r="D262" s="25" t="s">
        <v>1122</v>
      </c>
      <c r="E262" s="30">
        <v>300</v>
      </c>
      <c r="F262" s="132">
        <v>29</v>
      </c>
      <c r="G262" s="50">
        <f>E262*F262</f>
        <v>8700</v>
      </c>
      <c r="H262" s="103"/>
      <c r="I262" s="141"/>
      <c r="J262" s="104"/>
      <c r="K262" s="103"/>
      <c r="L262" s="103"/>
      <c r="M262" s="141">
        <f t="shared" si="23"/>
        <v>300</v>
      </c>
      <c r="N262" s="103"/>
      <c r="O262" s="103" t="s">
        <v>947</v>
      </c>
      <c r="P262" s="137">
        <f t="shared" si="21"/>
        <v>8700</v>
      </c>
    </row>
    <row r="263" spans="1:16" s="8" customFormat="1" ht="15.75" x14ac:dyDescent="0.25">
      <c r="A263" s="113" t="s">
        <v>522</v>
      </c>
      <c r="B263" s="102">
        <v>44193</v>
      </c>
      <c r="C263" s="25" t="s">
        <v>826</v>
      </c>
      <c r="D263" s="25" t="s">
        <v>1122</v>
      </c>
      <c r="E263" s="38">
        <v>16</v>
      </c>
      <c r="F263" s="132">
        <v>143</v>
      </c>
      <c r="G263" s="50">
        <f>E263*F263</f>
        <v>2288</v>
      </c>
      <c r="H263" s="103"/>
      <c r="I263" s="141"/>
      <c r="J263" s="104"/>
      <c r="K263" s="103"/>
      <c r="L263" s="103"/>
      <c r="M263" s="141">
        <f t="shared" si="23"/>
        <v>16</v>
      </c>
      <c r="N263" s="103"/>
      <c r="O263" s="103" t="s">
        <v>946</v>
      </c>
      <c r="P263" s="137">
        <f t="shared" si="21"/>
        <v>2288</v>
      </c>
    </row>
    <row r="264" spans="1:16" s="8" customFormat="1" ht="15.75" x14ac:dyDescent="0.25">
      <c r="A264" s="113" t="s">
        <v>523</v>
      </c>
      <c r="B264" s="102">
        <v>44193</v>
      </c>
      <c r="C264" s="9" t="s">
        <v>741</v>
      </c>
      <c r="D264" s="25" t="s">
        <v>1122</v>
      </c>
      <c r="E264" s="56">
        <v>112</v>
      </c>
      <c r="F264" s="132">
        <v>8.5</v>
      </c>
      <c r="G264" s="50">
        <f t="shared" ref="G264:G271" si="24">E264*F264</f>
        <v>952</v>
      </c>
      <c r="H264" s="103"/>
      <c r="I264" s="141"/>
      <c r="J264" s="104"/>
      <c r="K264" s="103"/>
      <c r="L264" s="103"/>
      <c r="M264" s="141">
        <f t="shared" si="23"/>
        <v>112</v>
      </c>
      <c r="N264" s="103"/>
      <c r="O264" s="103" t="s">
        <v>947</v>
      </c>
      <c r="P264" s="137">
        <f t="shared" si="21"/>
        <v>952</v>
      </c>
    </row>
    <row r="265" spans="1:16" s="8" customFormat="1" ht="15.75" x14ac:dyDescent="0.25">
      <c r="A265" s="113" t="s">
        <v>524</v>
      </c>
      <c r="B265" s="102">
        <v>44193</v>
      </c>
      <c r="C265" s="9" t="s">
        <v>742</v>
      </c>
      <c r="D265" s="25" t="s">
        <v>1122</v>
      </c>
      <c r="E265" s="56">
        <v>24</v>
      </c>
      <c r="F265" s="132">
        <v>12</v>
      </c>
      <c r="G265" s="50">
        <f t="shared" si="24"/>
        <v>288</v>
      </c>
      <c r="H265" s="103"/>
      <c r="I265" s="141"/>
      <c r="J265" s="104"/>
      <c r="K265" s="103"/>
      <c r="L265" s="103"/>
      <c r="M265" s="141">
        <f t="shared" si="23"/>
        <v>24</v>
      </c>
      <c r="N265" s="103"/>
      <c r="O265" s="103" t="s">
        <v>947</v>
      </c>
      <c r="P265" s="137">
        <f t="shared" si="21"/>
        <v>288</v>
      </c>
    </row>
    <row r="266" spans="1:16" s="8" customFormat="1" ht="15.75" x14ac:dyDescent="0.25">
      <c r="A266" s="113" t="s">
        <v>525</v>
      </c>
      <c r="B266" s="102">
        <v>44193</v>
      </c>
      <c r="C266" s="9" t="s">
        <v>743</v>
      </c>
      <c r="D266" s="25" t="s">
        <v>1122</v>
      </c>
      <c r="E266" s="30">
        <v>34</v>
      </c>
      <c r="F266" s="132">
        <v>8</v>
      </c>
      <c r="G266" s="50">
        <f t="shared" si="24"/>
        <v>272</v>
      </c>
      <c r="H266" s="103"/>
      <c r="I266" s="141"/>
      <c r="J266" s="104"/>
      <c r="K266" s="103"/>
      <c r="L266" s="103"/>
      <c r="M266" s="141">
        <f t="shared" si="23"/>
        <v>34</v>
      </c>
      <c r="N266" s="103"/>
      <c r="O266" s="103" t="s">
        <v>947</v>
      </c>
      <c r="P266" s="137">
        <f t="shared" si="21"/>
        <v>272</v>
      </c>
    </row>
    <row r="267" spans="1:16" s="105" customFormat="1" ht="15.75" x14ac:dyDescent="0.25">
      <c r="A267" s="113" t="s">
        <v>526</v>
      </c>
      <c r="B267" s="107">
        <v>44852</v>
      </c>
      <c r="C267" s="9" t="s">
        <v>744</v>
      </c>
      <c r="D267" s="25" t="s">
        <v>1122</v>
      </c>
      <c r="E267" s="30">
        <v>1</v>
      </c>
      <c r="F267" s="132">
        <v>91.99</v>
      </c>
      <c r="G267" s="50">
        <f t="shared" si="24"/>
        <v>91.99</v>
      </c>
      <c r="H267" s="107">
        <v>44852</v>
      </c>
      <c r="I267" s="141">
        <v>5</v>
      </c>
      <c r="J267" s="104">
        <v>91.99</v>
      </c>
      <c r="K267" s="108">
        <f>+I267*J267</f>
        <v>459.95</v>
      </c>
      <c r="L267" s="103">
        <v>1</v>
      </c>
      <c r="M267" s="141">
        <f t="shared" si="23"/>
        <v>5</v>
      </c>
      <c r="N267" s="103" t="s">
        <v>1037</v>
      </c>
      <c r="O267" s="103" t="s">
        <v>947</v>
      </c>
      <c r="P267" s="137">
        <f t="shared" si="21"/>
        <v>459.95</v>
      </c>
    </row>
    <row r="268" spans="1:16" s="8" customFormat="1" ht="31.5" x14ac:dyDescent="0.25">
      <c r="A268" s="113" t="s">
        <v>527</v>
      </c>
      <c r="B268" s="107">
        <v>44851</v>
      </c>
      <c r="C268" s="9" t="s">
        <v>745</v>
      </c>
      <c r="D268" s="25" t="s">
        <v>1122</v>
      </c>
      <c r="E268" s="30">
        <v>1</v>
      </c>
      <c r="F268" s="132">
        <v>188.21</v>
      </c>
      <c r="G268" s="50">
        <f t="shared" si="24"/>
        <v>188.21</v>
      </c>
      <c r="H268" s="107">
        <v>44851</v>
      </c>
      <c r="I268" s="141">
        <v>20</v>
      </c>
      <c r="J268" s="104">
        <v>188.21</v>
      </c>
      <c r="K268" s="108">
        <f>+I268*J268</f>
        <v>3764.2000000000003</v>
      </c>
      <c r="L268" s="103">
        <v>1</v>
      </c>
      <c r="M268" s="141">
        <f t="shared" si="23"/>
        <v>20</v>
      </c>
      <c r="N268" s="121" t="s">
        <v>1006</v>
      </c>
      <c r="O268" s="103" t="s">
        <v>946</v>
      </c>
      <c r="P268" s="137">
        <f t="shared" si="21"/>
        <v>3764.2000000000003</v>
      </c>
    </row>
    <row r="269" spans="1:16" s="8" customFormat="1" ht="15.75" x14ac:dyDescent="0.25">
      <c r="A269" s="113" t="s">
        <v>528</v>
      </c>
      <c r="B269" s="103"/>
      <c r="C269" s="9" t="s">
        <v>747</v>
      </c>
      <c r="D269" s="25" t="s">
        <v>1122</v>
      </c>
      <c r="E269" s="30">
        <f>90+44</f>
        <v>134</v>
      </c>
      <c r="F269" s="132">
        <v>25.42</v>
      </c>
      <c r="G269" s="50">
        <f t="shared" si="24"/>
        <v>3406.28</v>
      </c>
      <c r="H269" s="103"/>
      <c r="I269" s="141"/>
      <c r="J269" s="104"/>
      <c r="K269" s="103"/>
      <c r="L269" s="103">
        <v>6</v>
      </c>
      <c r="M269" s="141">
        <f t="shared" si="23"/>
        <v>128</v>
      </c>
      <c r="N269" s="103"/>
      <c r="O269" s="103" t="s">
        <v>947</v>
      </c>
      <c r="P269" s="137">
        <f t="shared" si="21"/>
        <v>3253.76</v>
      </c>
    </row>
    <row r="270" spans="1:16" s="8" customFormat="1" ht="15.75" x14ac:dyDescent="0.25">
      <c r="A270" s="113" t="s">
        <v>529</v>
      </c>
      <c r="B270" s="107">
        <v>44852</v>
      </c>
      <c r="C270" s="9" t="s">
        <v>748</v>
      </c>
      <c r="D270" s="25" t="s">
        <v>1122</v>
      </c>
      <c r="E270" s="30">
        <v>31</v>
      </c>
      <c r="F270" s="132">
        <v>23.82</v>
      </c>
      <c r="G270" s="50">
        <f t="shared" si="24"/>
        <v>738.42</v>
      </c>
      <c r="H270" s="107">
        <v>44852</v>
      </c>
      <c r="I270" s="141">
        <f>10*12</f>
        <v>120</v>
      </c>
      <c r="J270" s="104">
        <v>23.82</v>
      </c>
      <c r="K270" s="108">
        <f>+I270*J270</f>
        <v>2858.4</v>
      </c>
      <c r="L270" s="103"/>
      <c r="M270" s="141">
        <f t="shared" si="23"/>
        <v>151</v>
      </c>
      <c r="N270" s="103" t="s">
        <v>1037</v>
      </c>
      <c r="O270" s="103" t="s">
        <v>947</v>
      </c>
      <c r="P270" s="137">
        <f t="shared" si="21"/>
        <v>3596.82</v>
      </c>
    </row>
    <row r="271" spans="1:16" s="8" customFormat="1" ht="15.75" x14ac:dyDescent="0.25">
      <c r="A271" s="113" t="s">
        <v>873</v>
      </c>
      <c r="B271" s="102">
        <v>44193</v>
      </c>
      <c r="C271" s="25" t="s">
        <v>785</v>
      </c>
      <c r="D271" s="25" t="s">
        <v>1122</v>
      </c>
      <c r="E271" s="38">
        <v>4</v>
      </c>
      <c r="F271" s="132">
        <v>45</v>
      </c>
      <c r="G271" s="50">
        <f t="shared" si="24"/>
        <v>180</v>
      </c>
      <c r="H271" s="103"/>
      <c r="I271" s="141"/>
      <c r="J271" s="104"/>
      <c r="K271" s="103"/>
      <c r="L271" s="103"/>
      <c r="M271" s="141">
        <f t="shared" si="23"/>
        <v>4</v>
      </c>
      <c r="N271" s="103"/>
      <c r="O271" s="103" t="s">
        <v>947</v>
      </c>
      <c r="P271" s="137">
        <f t="shared" si="21"/>
        <v>180</v>
      </c>
    </row>
    <row r="272" spans="1:16" s="8" customFormat="1" ht="15.75" x14ac:dyDescent="0.25">
      <c r="A272" s="113" t="s">
        <v>874</v>
      </c>
      <c r="B272" s="106" t="s">
        <v>105</v>
      </c>
      <c r="C272" s="9" t="s">
        <v>746</v>
      </c>
      <c r="D272" s="25" t="s">
        <v>1122</v>
      </c>
      <c r="E272" s="30">
        <v>7</v>
      </c>
      <c r="F272" s="133">
        <v>48</v>
      </c>
      <c r="G272" s="50">
        <f>E272*F272</f>
        <v>336</v>
      </c>
      <c r="H272" s="103"/>
      <c r="I272" s="141"/>
      <c r="J272" s="104"/>
      <c r="K272" s="103"/>
      <c r="L272" s="103">
        <f>3+2</f>
        <v>5</v>
      </c>
      <c r="M272" s="141">
        <f t="shared" si="23"/>
        <v>2</v>
      </c>
      <c r="N272" s="103"/>
      <c r="O272" s="103" t="s">
        <v>947</v>
      </c>
      <c r="P272" s="137">
        <f t="shared" si="21"/>
        <v>96</v>
      </c>
    </row>
    <row r="273" spans="1:16" s="8" customFormat="1" ht="15.75" x14ac:dyDescent="0.25">
      <c r="A273" s="113" t="s">
        <v>875</v>
      </c>
      <c r="B273" s="102"/>
      <c r="C273" s="25" t="s">
        <v>815</v>
      </c>
      <c r="D273" s="25" t="s">
        <v>1122</v>
      </c>
      <c r="E273" s="38">
        <v>6</v>
      </c>
      <c r="F273" s="132"/>
      <c r="G273" s="50"/>
      <c r="H273" s="103"/>
      <c r="I273" s="141"/>
      <c r="J273" s="104"/>
      <c r="K273" s="103"/>
      <c r="L273" s="103"/>
      <c r="M273" s="141">
        <f t="shared" si="23"/>
        <v>6</v>
      </c>
      <c r="N273" s="103"/>
      <c r="O273" s="103" t="s">
        <v>946</v>
      </c>
      <c r="P273" s="137">
        <f t="shared" si="21"/>
        <v>0</v>
      </c>
    </row>
    <row r="274" spans="1:16" s="92" customFormat="1" x14ac:dyDescent="0.3">
      <c r="A274" s="113" t="s">
        <v>876</v>
      </c>
      <c r="B274" s="102">
        <v>44193</v>
      </c>
      <c r="C274" s="26" t="s">
        <v>750</v>
      </c>
      <c r="D274" s="25" t="s">
        <v>1122</v>
      </c>
      <c r="E274" s="38">
        <v>20</v>
      </c>
      <c r="F274" s="132">
        <v>1449.14</v>
      </c>
      <c r="G274" s="50">
        <f t="shared" ref="G274:G286" si="25">E274*F274</f>
        <v>28982.800000000003</v>
      </c>
      <c r="H274" s="103"/>
      <c r="I274" s="141"/>
      <c r="J274" s="104"/>
      <c r="K274" s="103"/>
      <c r="L274" s="103"/>
      <c r="M274" s="141">
        <f t="shared" si="23"/>
        <v>20</v>
      </c>
      <c r="N274" s="103"/>
      <c r="O274" s="103" t="s">
        <v>945</v>
      </c>
      <c r="P274" s="137">
        <f t="shared" si="21"/>
        <v>28982.800000000003</v>
      </c>
    </row>
    <row r="275" spans="1:16" s="92" customFormat="1" x14ac:dyDescent="0.3">
      <c r="A275" s="113" t="s">
        <v>877</v>
      </c>
      <c r="B275" s="107">
        <v>45019</v>
      </c>
      <c r="C275" s="26" t="s">
        <v>771</v>
      </c>
      <c r="D275" s="25" t="s">
        <v>1122</v>
      </c>
      <c r="E275" s="38">
        <v>3</v>
      </c>
      <c r="F275" s="132">
        <v>3481</v>
      </c>
      <c r="G275" s="50">
        <f t="shared" si="25"/>
        <v>10443</v>
      </c>
      <c r="H275" s="107">
        <v>45019</v>
      </c>
      <c r="I275" s="141">
        <v>10</v>
      </c>
      <c r="J275" s="104">
        <v>3481</v>
      </c>
      <c r="K275" s="103">
        <f>+J275/10</f>
        <v>348.1</v>
      </c>
      <c r="L275" s="103"/>
      <c r="M275" s="141">
        <f t="shared" si="23"/>
        <v>13</v>
      </c>
      <c r="N275" s="103" t="s">
        <v>943</v>
      </c>
      <c r="O275" s="103" t="s">
        <v>945</v>
      </c>
      <c r="P275" s="137">
        <f t="shared" si="21"/>
        <v>45253</v>
      </c>
    </row>
    <row r="276" spans="1:16" s="8" customFormat="1" ht="15.75" x14ac:dyDescent="0.25">
      <c r="A276" s="113" t="s">
        <v>878</v>
      </c>
      <c r="B276" s="102">
        <v>44193</v>
      </c>
      <c r="C276" s="26" t="s">
        <v>754</v>
      </c>
      <c r="D276" s="25" t="s">
        <v>1122</v>
      </c>
      <c r="E276" s="38">
        <v>7</v>
      </c>
      <c r="F276" s="132">
        <v>38</v>
      </c>
      <c r="G276" s="50">
        <f t="shared" si="25"/>
        <v>266</v>
      </c>
      <c r="H276" s="103"/>
      <c r="I276" s="141"/>
      <c r="J276" s="104"/>
      <c r="K276" s="103"/>
      <c r="L276" s="103"/>
      <c r="M276" s="141">
        <f t="shared" si="23"/>
        <v>7</v>
      </c>
      <c r="N276" s="103"/>
      <c r="O276" s="103" t="s">
        <v>946</v>
      </c>
      <c r="P276" s="137">
        <f t="shared" si="21"/>
        <v>266</v>
      </c>
    </row>
    <row r="277" spans="1:16" s="8" customFormat="1" ht="15.75" x14ac:dyDescent="0.25">
      <c r="A277" s="113" t="s">
        <v>879</v>
      </c>
      <c r="B277" s="106" t="s">
        <v>105</v>
      </c>
      <c r="C277" s="26" t="s">
        <v>753</v>
      </c>
      <c r="D277" s="25" t="s">
        <v>1122</v>
      </c>
      <c r="E277" s="38">
        <v>12</v>
      </c>
      <c r="F277" s="132">
        <v>38</v>
      </c>
      <c r="G277" s="50">
        <f t="shared" si="25"/>
        <v>456</v>
      </c>
      <c r="H277" s="103"/>
      <c r="I277" s="141"/>
      <c r="J277" s="104"/>
      <c r="K277" s="103"/>
      <c r="L277" s="103"/>
      <c r="M277" s="141">
        <f t="shared" si="23"/>
        <v>12</v>
      </c>
      <c r="N277" s="103"/>
      <c r="O277" s="103" t="s">
        <v>946</v>
      </c>
      <c r="P277" s="137">
        <f t="shared" si="21"/>
        <v>456</v>
      </c>
    </row>
    <row r="278" spans="1:16" s="8" customFormat="1" ht="15.75" x14ac:dyDescent="0.25">
      <c r="A278" s="113" t="s">
        <v>880</v>
      </c>
      <c r="B278" s="102">
        <v>44193</v>
      </c>
      <c r="C278" s="26" t="s">
        <v>757</v>
      </c>
      <c r="D278" s="25" t="s">
        <v>1122</v>
      </c>
      <c r="E278" s="38">
        <v>1</v>
      </c>
      <c r="F278" s="132">
        <v>38</v>
      </c>
      <c r="G278" s="50">
        <f t="shared" si="25"/>
        <v>38</v>
      </c>
      <c r="H278" s="103"/>
      <c r="I278" s="141"/>
      <c r="J278" s="104"/>
      <c r="K278" s="103"/>
      <c r="L278" s="103"/>
      <c r="M278" s="141">
        <f t="shared" si="23"/>
        <v>1</v>
      </c>
      <c r="N278" s="103"/>
      <c r="O278" s="103" t="s">
        <v>946</v>
      </c>
      <c r="P278" s="137">
        <f t="shared" si="21"/>
        <v>38</v>
      </c>
    </row>
    <row r="279" spans="1:16" s="8" customFormat="1" ht="15.75" x14ac:dyDescent="0.25">
      <c r="A279" s="113" t="s">
        <v>881</v>
      </c>
      <c r="B279" s="102">
        <v>44193</v>
      </c>
      <c r="C279" s="26" t="s">
        <v>760</v>
      </c>
      <c r="D279" s="25" t="s">
        <v>1122</v>
      </c>
      <c r="E279" s="38">
        <v>1</v>
      </c>
      <c r="F279" s="132">
        <v>41</v>
      </c>
      <c r="G279" s="50">
        <f t="shared" si="25"/>
        <v>41</v>
      </c>
      <c r="H279" s="103"/>
      <c r="I279" s="141"/>
      <c r="J279" s="104"/>
      <c r="K279" s="103"/>
      <c r="L279" s="103"/>
      <c r="M279" s="141">
        <f t="shared" si="23"/>
        <v>1</v>
      </c>
      <c r="N279" s="103"/>
      <c r="O279" s="103" t="s">
        <v>946</v>
      </c>
      <c r="P279" s="137">
        <f t="shared" si="21"/>
        <v>41</v>
      </c>
    </row>
    <row r="280" spans="1:16" s="8" customFormat="1" ht="15.75" x14ac:dyDescent="0.25">
      <c r="A280" s="113" t="s">
        <v>882</v>
      </c>
      <c r="B280" s="102">
        <v>44193</v>
      </c>
      <c r="C280" s="26" t="s">
        <v>758</v>
      </c>
      <c r="D280" s="25" t="s">
        <v>1122</v>
      </c>
      <c r="E280" s="38">
        <v>1</v>
      </c>
      <c r="F280" s="132">
        <v>38</v>
      </c>
      <c r="G280" s="50">
        <f t="shared" si="25"/>
        <v>38</v>
      </c>
      <c r="H280" s="103"/>
      <c r="I280" s="141"/>
      <c r="J280" s="104"/>
      <c r="K280" s="103"/>
      <c r="L280" s="103"/>
      <c r="M280" s="141">
        <f t="shared" si="23"/>
        <v>1</v>
      </c>
      <c r="N280" s="103"/>
      <c r="O280" s="103" t="s">
        <v>946</v>
      </c>
      <c r="P280" s="137">
        <f t="shared" si="21"/>
        <v>38</v>
      </c>
    </row>
    <row r="281" spans="1:16" s="8" customFormat="1" ht="15.75" x14ac:dyDescent="0.25">
      <c r="A281" s="113" t="s">
        <v>883</v>
      </c>
      <c r="B281" s="102">
        <v>44193</v>
      </c>
      <c r="C281" s="26" t="s">
        <v>759</v>
      </c>
      <c r="D281" s="25" t="s">
        <v>1122</v>
      </c>
      <c r="E281" s="38">
        <v>1</v>
      </c>
      <c r="F281" s="132">
        <v>38</v>
      </c>
      <c r="G281" s="50">
        <f t="shared" si="25"/>
        <v>38</v>
      </c>
      <c r="H281" s="103"/>
      <c r="I281" s="141"/>
      <c r="J281" s="104"/>
      <c r="K281" s="103"/>
      <c r="L281" s="103"/>
      <c r="M281" s="141">
        <f t="shared" si="23"/>
        <v>1</v>
      </c>
      <c r="N281" s="103"/>
      <c r="O281" s="103" t="s">
        <v>946</v>
      </c>
      <c r="P281" s="137">
        <f t="shared" ref="P281:P344" si="26">+F281*M281</f>
        <v>38</v>
      </c>
    </row>
    <row r="282" spans="1:16" s="8" customFormat="1" ht="15.75" x14ac:dyDescent="0.25">
      <c r="A282" s="113" t="s">
        <v>884</v>
      </c>
      <c r="B282" s="106" t="s">
        <v>105</v>
      </c>
      <c r="C282" s="26" t="s">
        <v>755</v>
      </c>
      <c r="D282" s="25" t="s">
        <v>1122</v>
      </c>
      <c r="E282" s="38">
        <v>1</v>
      </c>
      <c r="F282" s="132">
        <v>38</v>
      </c>
      <c r="G282" s="50">
        <f t="shared" si="25"/>
        <v>38</v>
      </c>
      <c r="H282" s="103"/>
      <c r="I282" s="141"/>
      <c r="J282" s="104"/>
      <c r="K282" s="103"/>
      <c r="L282" s="103"/>
      <c r="M282" s="141">
        <f t="shared" si="23"/>
        <v>1</v>
      </c>
      <c r="N282" s="103"/>
      <c r="O282" s="103" t="s">
        <v>946</v>
      </c>
      <c r="P282" s="137">
        <f t="shared" si="26"/>
        <v>38</v>
      </c>
    </row>
    <row r="283" spans="1:16" s="8" customFormat="1" ht="15.75" x14ac:dyDescent="0.25">
      <c r="A283" s="113" t="s">
        <v>885</v>
      </c>
      <c r="B283" s="102">
        <v>44193</v>
      </c>
      <c r="C283" s="26" t="s">
        <v>756</v>
      </c>
      <c r="D283" s="25" t="s">
        <v>1122</v>
      </c>
      <c r="E283" s="38">
        <v>1</v>
      </c>
      <c r="F283" s="132">
        <v>38</v>
      </c>
      <c r="G283" s="50">
        <f t="shared" si="25"/>
        <v>38</v>
      </c>
      <c r="H283" s="103"/>
      <c r="I283" s="141"/>
      <c r="J283" s="104"/>
      <c r="K283" s="103"/>
      <c r="L283" s="103"/>
      <c r="M283" s="141">
        <f t="shared" si="23"/>
        <v>1</v>
      </c>
      <c r="N283" s="103"/>
      <c r="O283" s="103" t="s">
        <v>946</v>
      </c>
      <c r="P283" s="137">
        <f t="shared" si="26"/>
        <v>38</v>
      </c>
    </row>
    <row r="284" spans="1:16" s="8" customFormat="1" ht="15.75" x14ac:dyDescent="0.25">
      <c r="A284" s="113" t="s">
        <v>886</v>
      </c>
      <c r="B284" s="102">
        <v>44193</v>
      </c>
      <c r="C284" s="26" t="s">
        <v>762</v>
      </c>
      <c r="D284" s="25" t="s">
        <v>1122</v>
      </c>
      <c r="E284" s="38">
        <v>7</v>
      </c>
      <c r="F284" s="132">
        <v>537</v>
      </c>
      <c r="G284" s="50">
        <f t="shared" si="25"/>
        <v>3759</v>
      </c>
      <c r="H284" s="103"/>
      <c r="I284" s="141"/>
      <c r="J284" s="104"/>
      <c r="K284" s="103"/>
      <c r="L284" s="103"/>
      <c r="M284" s="141">
        <f t="shared" si="23"/>
        <v>7</v>
      </c>
      <c r="N284" s="103"/>
      <c r="O284" s="103" t="s">
        <v>946</v>
      </c>
      <c r="P284" s="137">
        <f t="shared" si="26"/>
        <v>3759</v>
      </c>
    </row>
    <row r="285" spans="1:16" s="8" customFormat="1" ht="15.75" x14ac:dyDescent="0.25">
      <c r="A285" s="113" t="s">
        <v>887</v>
      </c>
      <c r="B285" s="102">
        <v>44193</v>
      </c>
      <c r="C285" s="26" t="s">
        <v>761</v>
      </c>
      <c r="D285" s="25" t="s">
        <v>1122</v>
      </c>
      <c r="E285" s="38">
        <v>3</v>
      </c>
      <c r="F285" s="132">
        <v>537</v>
      </c>
      <c r="G285" s="50">
        <f t="shared" si="25"/>
        <v>1611</v>
      </c>
      <c r="H285" s="103"/>
      <c r="I285" s="141"/>
      <c r="J285" s="104"/>
      <c r="K285" s="103"/>
      <c r="L285" s="103"/>
      <c r="M285" s="141">
        <f t="shared" si="23"/>
        <v>3</v>
      </c>
      <c r="N285" s="103"/>
      <c r="O285" s="103" t="s">
        <v>946</v>
      </c>
      <c r="P285" s="137">
        <f t="shared" si="26"/>
        <v>1611</v>
      </c>
    </row>
    <row r="286" spans="1:16" s="8" customFormat="1" ht="15.75" x14ac:dyDescent="0.25">
      <c r="A286" s="113" t="s">
        <v>888</v>
      </c>
      <c r="B286" s="102">
        <v>44193</v>
      </c>
      <c r="C286" s="9" t="s">
        <v>763</v>
      </c>
      <c r="D286" s="25" t="s">
        <v>1122</v>
      </c>
      <c r="E286" s="30">
        <v>13</v>
      </c>
      <c r="F286" s="132">
        <v>13.87</v>
      </c>
      <c r="G286" s="50">
        <f t="shared" si="25"/>
        <v>180.31</v>
      </c>
      <c r="H286" s="103"/>
      <c r="I286" s="141"/>
      <c r="J286" s="104"/>
      <c r="K286" s="103"/>
      <c r="L286" s="103"/>
      <c r="M286" s="141">
        <f t="shared" si="23"/>
        <v>13</v>
      </c>
      <c r="N286" s="103"/>
      <c r="O286" s="103" t="s">
        <v>947</v>
      </c>
      <c r="P286" s="137">
        <f t="shared" si="26"/>
        <v>180.31</v>
      </c>
    </row>
    <row r="287" spans="1:16" s="8" customFormat="1" ht="15.75" x14ac:dyDescent="0.25">
      <c r="A287" s="113" t="s">
        <v>889</v>
      </c>
      <c r="B287" s="102"/>
      <c r="C287" s="25" t="s">
        <v>814</v>
      </c>
      <c r="D287" s="25" t="s">
        <v>1122</v>
      </c>
      <c r="E287" s="38">
        <v>5</v>
      </c>
      <c r="F287" s="132"/>
      <c r="G287" s="50"/>
      <c r="H287" s="103"/>
      <c r="I287" s="141"/>
      <c r="J287" s="104"/>
      <c r="K287" s="103"/>
      <c r="L287" s="103"/>
      <c r="M287" s="141">
        <f t="shared" si="23"/>
        <v>5</v>
      </c>
      <c r="N287" s="103"/>
      <c r="O287" s="103" t="s">
        <v>946</v>
      </c>
      <c r="P287" s="137">
        <f t="shared" si="26"/>
        <v>0</v>
      </c>
    </row>
    <row r="288" spans="1:16" s="8" customFormat="1" ht="15.75" x14ac:dyDescent="0.25">
      <c r="A288" s="113" t="s">
        <v>890</v>
      </c>
      <c r="B288" s="102"/>
      <c r="C288" s="25" t="s">
        <v>805</v>
      </c>
      <c r="D288" s="25" t="s">
        <v>1122</v>
      </c>
      <c r="E288" s="38">
        <v>9</v>
      </c>
      <c r="F288" s="132"/>
      <c r="G288" s="50"/>
      <c r="H288" s="103"/>
      <c r="I288" s="141"/>
      <c r="J288" s="104"/>
      <c r="K288" s="103"/>
      <c r="L288" s="103"/>
      <c r="M288" s="141">
        <f t="shared" si="23"/>
        <v>9</v>
      </c>
      <c r="N288" s="103"/>
      <c r="O288" s="103" t="s">
        <v>946</v>
      </c>
      <c r="P288" s="137">
        <f t="shared" si="26"/>
        <v>0</v>
      </c>
    </row>
    <row r="289" spans="1:16" s="105" customFormat="1" ht="15.75" x14ac:dyDescent="0.25">
      <c r="A289" s="113" t="s">
        <v>891</v>
      </c>
      <c r="B289" s="107">
        <v>44852</v>
      </c>
      <c r="C289" s="25" t="s">
        <v>784</v>
      </c>
      <c r="D289" s="25" t="s">
        <v>1122</v>
      </c>
      <c r="E289" s="38">
        <v>15</v>
      </c>
      <c r="F289" s="137">
        <v>25.52</v>
      </c>
      <c r="G289" s="108">
        <f>+E289*F289</f>
        <v>382.8</v>
      </c>
      <c r="H289" s="107">
        <v>44852</v>
      </c>
      <c r="I289" s="141">
        <v>15</v>
      </c>
      <c r="J289" s="104">
        <v>25.52</v>
      </c>
      <c r="K289" s="108">
        <f>+I289*J289</f>
        <v>382.8</v>
      </c>
      <c r="L289" s="103">
        <v>1</v>
      </c>
      <c r="M289" s="141">
        <f t="shared" si="23"/>
        <v>29</v>
      </c>
      <c r="N289" s="103" t="s">
        <v>1037</v>
      </c>
      <c r="O289" s="103" t="s">
        <v>947</v>
      </c>
      <c r="P289" s="137">
        <f t="shared" si="26"/>
        <v>740.08</v>
      </c>
    </row>
    <row r="290" spans="1:16" s="105" customFormat="1" ht="15.75" x14ac:dyDescent="0.25">
      <c r="A290" s="113" t="s">
        <v>892</v>
      </c>
      <c r="B290" s="102">
        <v>44729</v>
      </c>
      <c r="C290" s="25" t="s">
        <v>860</v>
      </c>
      <c r="D290" s="25" t="s">
        <v>1122</v>
      </c>
      <c r="E290" s="38">
        <v>12</v>
      </c>
      <c r="F290" s="132">
        <v>1637.5</v>
      </c>
      <c r="G290" s="50">
        <f>+E290*F290</f>
        <v>19650</v>
      </c>
      <c r="H290" s="103"/>
      <c r="I290" s="141"/>
      <c r="J290" s="104"/>
      <c r="K290" s="103"/>
      <c r="L290" s="103"/>
      <c r="M290" s="141">
        <f t="shared" si="23"/>
        <v>12</v>
      </c>
      <c r="N290" s="103"/>
      <c r="O290" s="103" t="s">
        <v>946</v>
      </c>
      <c r="P290" s="137">
        <f t="shared" si="26"/>
        <v>19650</v>
      </c>
    </row>
    <row r="291" spans="1:16" s="92" customFormat="1" x14ac:dyDescent="0.3">
      <c r="A291" s="113" t="s">
        <v>893</v>
      </c>
      <c r="B291" s="102">
        <v>44652</v>
      </c>
      <c r="C291" s="25" t="s">
        <v>859</v>
      </c>
      <c r="D291" s="25" t="s">
        <v>1122</v>
      </c>
      <c r="E291" s="38">
        <f>11+6+12+11</f>
        <v>40</v>
      </c>
      <c r="F291" s="132">
        <v>159</v>
      </c>
      <c r="G291" s="50">
        <f>+E291*F291</f>
        <v>6360</v>
      </c>
      <c r="H291" s="103"/>
      <c r="I291" s="141"/>
      <c r="J291" s="104"/>
      <c r="K291" s="103"/>
      <c r="L291" s="103">
        <f>3+1+1+1</f>
        <v>6</v>
      </c>
      <c r="M291" s="141">
        <f t="shared" si="23"/>
        <v>34</v>
      </c>
      <c r="N291" s="103"/>
      <c r="O291" s="103" t="s">
        <v>945</v>
      </c>
      <c r="P291" s="137">
        <f t="shared" si="26"/>
        <v>5406</v>
      </c>
    </row>
    <row r="292" spans="1:16" s="92" customFormat="1" x14ac:dyDescent="0.3">
      <c r="A292" s="113" t="s">
        <v>894</v>
      </c>
      <c r="B292" s="102">
        <v>44652</v>
      </c>
      <c r="C292" s="25" t="s">
        <v>858</v>
      </c>
      <c r="D292" s="25" t="s">
        <v>1122</v>
      </c>
      <c r="E292" s="38">
        <v>11</v>
      </c>
      <c r="F292" s="132"/>
      <c r="G292" s="50">
        <f>+E292*F292</f>
        <v>0</v>
      </c>
      <c r="H292" s="103"/>
      <c r="I292" s="141"/>
      <c r="J292" s="104"/>
      <c r="K292" s="103"/>
      <c r="L292" s="103"/>
      <c r="M292" s="141">
        <f t="shared" si="23"/>
        <v>11</v>
      </c>
      <c r="N292" s="103"/>
      <c r="O292" s="103" t="s">
        <v>945</v>
      </c>
      <c r="P292" s="137">
        <f t="shared" si="26"/>
        <v>0</v>
      </c>
    </row>
    <row r="293" spans="1:16" s="92" customFormat="1" x14ac:dyDescent="0.3">
      <c r="A293" s="113" t="s">
        <v>895</v>
      </c>
      <c r="B293" s="102">
        <v>44652</v>
      </c>
      <c r="C293" s="25" t="s">
        <v>920</v>
      </c>
      <c r="D293" s="25" t="s">
        <v>1122</v>
      </c>
      <c r="E293" s="38">
        <f>9+11+7</f>
        <v>27</v>
      </c>
      <c r="F293" s="132">
        <v>145</v>
      </c>
      <c r="G293" s="50">
        <f>+E293*F293</f>
        <v>3915</v>
      </c>
      <c r="H293" s="103"/>
      <c r="I293" s="141"/>
      <c r="J293" s="104"/>
      <c r="K293" s="103"/>
      <c r="L293" s="103">
        <v>2</v>
      </c>
      <c r="M293" s="141">
        <f t="shared" si="23"/>
        <v>25</v>
      </c>
      <c r="N293" s="103"/>
      <c r="O293" s="103" t="s">
        <v>945</v>
      </c>
      <c r="P293" s="137">
        <f t="shared" si="26"/>
        <v>3625</v>
      </c>
    </row>
    <row r="294" spans="1:16" s="8" customFormat="1" ht="15.75" x14ac:dyDescent="0.25">
      <c r="A294" s="113" t="s">
        <v>896</v>
      </c>
      <c r="B294" s="102"/>
      <c r="C294" s="25" t="s">
        <v>795</v>
      </c>
      <c r="D294" s="25" t="s">
        <v>1122</v>
      </c>
      <c r="E294" s="38">
        <v>29</v>
      </c>
      <c r="F294" s="132">
        <v>29.35</v>
      </c>
      <c r="G294" s="50">
        <f t="shared" ref="G294:G310" si="27">+E294*F294</f>
        <v>851.15000000000009</v>
      </c>
      <c r="H294" s="103"/>
      <c r="I294" s="141"/>
      <c r="J294" s="104"/>
      <c r="K294" s="103"/>
      <c r="L294" s="103"/>
      <c r="M294" s="141">
        <f t="shared" si="23"/>
        <v>29</v>
      </c>
      <c r="N294" s="103"/>
      <c r="O294" s="103" t="s">
        <v>946</v>
      </c>
      <c r="P294" s="137">
        <f t="shared" si="26"/>
        <v>851.15000000000009</v>
      </c>
    </row>
    <row r="295" spans="1:16" s="8" customFormat="1" ht="15.75" x14ac:dyDescent="0.25">
      <c r="A295" s="113" t="s">
        <v>897</v>
      </c>
      <c r="B295" s="102"/>
      <c r="C295" s="25" t="s">
        <v>843</v>
      </c>
      <c r="D295" s="25" t="s">
        <v>1122</v>
      </c>
      <c r="E295" s="38">
        <v>8</v>
      </c>
      <c r="F295" s="132"/>
      <c r="G295" s="50">
        <f t="shared" si="27"/>
        <v>0</v>
      </c>
      <c r="H295" s="103"/>
      <c r="I295" s="141"/>
      <c r="J295" s="104"/>
      <c r="K295" s="103"/>
      <c r="L295" s="103"/>
      <c r="M295" s="141">
        <f t="shared" si="23"/>
        <v>8</v>
      </c>
      <c r="N295" s="103"/>
      <c r="O295" s="103" t="s">
        <v>946</v>
      </c>
      <c r="P295" s="137">
        <f t="shared" si="26"/>
        <v>0</v>
      </c>
    </row>
    <row r="296" spans="1:16" s="8" customFormat="1" ht="15.75" x14ac:dyDescent="0.25">
      <c r="A296" s="113" t="s">
        <v>898</v>
      </c>
      <c r="B296" s="102"/>
      <c r="C296" s="25" t="s">
        <v>793</v>
      </c>
      <c r="D296" s="25" t="s">
        <v>1122</v>
      </c>
      <c r="E296" s="38">
        <f>3+1</f>
        <v>4</v>
      </c>
      <c r="F296" s="132"/>
      <c r="G296" s="50">
        <f t="shared" si="27"/>
        <v>0</v>
      </c>
      <c r="H296" s="103"/>
      <c r="I296" s="141"/>
      <c r="J296" s="104"/>
      <c r="K296" s="103"/>
      <c r="L296" s="103">
        <v>1</v>
      </c>
      <c r="M296" s="141">
        <f t="shared" si="23"/>
        <v>3</v>
      </c>
      <c r="N296" s="103"/>
      <c r="O296" s="103" t="s">
        <v>946</v>
      </c>
      <c r="P296" s="137">
        <f t="shared" si="26"/>
        <v>0</v>
      </c>
    </row>
    <row r="297" spans="1:16" s="8" customFormat="1" ht="15.75" x14ac:dyDescent="0.25">
      <c r="A297" s="113" t="s">
        <v>899</v>
      </c>
      <c r="B297" s="102"/>
      <c r="C297" s="25" t="s">
        <v>842</v>
      </c>
      <c r="D297" s="25" t="s">
        <v>1122</v>
      </c>
      <c r="E297" s="38">
        <v>2</v>
      </c>
      <c r="F297" s="132"/>
      <c r="G297" s="50">
        <f t="shared" si="27"/>
        <v>0</v>
      </c>
      <c r="H297" s="103"/>
      <c r="I297" s="141"/>
      <c r="J297" s="104"/>
      <c r="K297" s="103"/>
      <c r="L297" s="103"/>
      <c r="M297" s="141">
        <f t="shared" si="23"/>
        <v>2</v>
      </c>
      <c r="N297" s="103"/>
      <c r="O297" s="103" t="s">
        <v>946</v>
      </c>
      <c r="P297" s="137">
        <f t="shared" si="26"/>
        <v>0</v>
      </c>
    </row>
    <row r="298" spans="1:16" s="8" customFormat="1" ht="15.75" x14ac:dyDescent="0.25">
      <c r="A298" s="113" t="s">
        <v>900</v>
      </c>
      <c r="B298" s="102">
        <v>44193</v>
      </c>
      <c r="C298" s="25" t="s">
        <v>841</v>
      </c>
      <c r="D298" s="25" t="s">
        <v>1122</v>
      </c>
      <c r="E298" s="38">
        <v>1</v>
      </c>
      <c r="F298" s="132">
        <v>18.86</v>
      </c>
      <c r="G298" s="50">
        <f t="shared" si="27"/>
        <v>18.86</v>
      </c>
      <c r="H298" s="103"/>
      <c r="I298" s="141"/>
      <c r="J298" s="104"/>
      <c r="K298" s="103"/>
      <c r="L298" s="103"/>
      <c r="M298" s="141">
        <f t="shared" si="23"/>
        <v>1</v>
      </c>
      <c r="N298" s="103"/>
      <c r="O298" s="103" t="s">
        <v>946</v>
      </c>
      <c r="P298" s="137">
        <f t="shared" si="26"/>
        <v>18.86</v>
      </c>
    </row>
    <row r="299" spans="1:16" s="8" customFormat="1" ht="15.75" x14ac:dyDescent="0.25">
      <c r="A299" s="113" t="s">
        <v>901</v>
      </c>
      <c r="B299" s="102">
        <v>44193</v>
      </c>
      <c r="C299" s="25" t="s">
        <v>848</v>
      </c>
      <c r="D299" s="25" t="s">
        <v>1122</v>
      </c>
      <c r="E299" s="38">
        <v>1</v>
      </c>
      <c r="F299" s="132"/>
      <c r="G299" s="50">
        <f t="shared" si="27"/>
        <v>0</v>
      </c>
      <c r="H299" s="103"/>
      <c r="I299" s="141"/>
      <c r="J299" s="104"/>
      <c r="K299" s="103"/>
      <c r="L299" s="103"/>
      <c r="M299" s="141">
        <f t="shared" si="23"/>
        <v>1</v>
      </c>
      <c r="N299" s="103"/>
      <c r="O299" s="103" t="s">
        <v>946</v>
      </c>
      <c r="P299" s="137">
        <f t="shared" si="26"/>
        <v>0</v>
      </c>
    </row>
    <row r="300" spans="1:16" s="8" customFormat="1" ht="15.75" x14ac:dyDescent="0.25">
      <c r="A300" s="113" t="s">
        <v>902</v>
      </c>
      <c r="B300" s="102">
        <v>44193</v>
      </c>
      <c r="C300" s="25" t="s">
        <v>839</v>
      </c>
      <c r="D300" s="25" t="s">
        <v>1122</v>
      </c>
      <c r="E300" s="38">
        <v>7</v>
      </c>
      <c r="F300" s="132"/>
      <c r="G300" s="50">
        <f t="shared" si="27"/>
        <v>0</v>
      </c>
      <c r="H300" s="103"/>
      <c r="I300" s="141"/>
      <c r="J300" s="104"/>
      <c r="K300" s="103"/>
      <c r="L300" s="103"/>
      <c r="M300" s="141">
        <f t="shared" si="23"/>
        <v>7</v>
      </c>
      <c r="N300" s="103"/>
      <c r="O300" s="103" t="s">
        <v>946</v>
      </c>
      <c r="P300" s="137">
        <f t="shared" si="26"/>
        <v>0</v>
      </c>
    </row>
    <row r="301" spans="1:16" s="8" customFormat="1" ht="15.75" x14ac:dyDescent="0.25">
      <c r="A301" s="113" t="s">
        <v>903</v>
      </c>
      <c r="B301" s="102">
        <v>44193</v>
      </c>
      <c r="C301" s="25" t="s">
        <v>867</v>
      </c>
      <c r="D301" s="25" t="s">
        <v>1122</v>
      </c>
      <c r="E301" s="38">
        <v>6</v>
      </c>
      <c r="F301" s="132">
        <v>176</v>
      </c>
      <c r="G301" s="50">
        <f t="shared" si="27"/>
        <v>1056</v>
      </c>
      <c r="H301" s="103"/>
      <c r="I301" s="141"/>
      <c r="J301" s="104"/>
      <c r="K301" s="103"/>
      <c r="L301" s="103"/>
      <c r="M301" s="141">
        <f t="shared" si="23"/>
        <v>6</v>
      </c>
      <c r="N301" s="103"/>
      <c r="O301" s="103" t="s">
        <v>947</v>
      </c>
      <c r="P301" s="137">
        <f t="shared" si="26"/>
        <v>1056</v>
      </c>
    </row>
    <row r="302" spans="1:16" s="8" customFormat="1" ht="15.75" x14ac:dyDescent="0.25">
      <c r="A302" s="113" t="s">
        <v>904</v>
      </c>
      <c r="B302" s="102">
        <v>44193</v>
      </c>
      <c r="C302" s="25" t="s">
        <v>798</v>
      </c>
      <c r="D302" s="25" t="s">
        <v>1122</v>
      </c>
      <c r="E302" s="38">
        <v>3</v>
      </c>
      <c r="F302" s="132">
        <v>234</v>
      </c>
      <c r="G302" s="50">
        <f t="shared" si="27"/>
        <v>702</v>
      </c>
      <c r="H302" s="103"/>
      <c r="I302" s="141"/>
      <c r="J302" s="104"/>
      <c r="K302" s="103"/>
      <c r="L302" s="103"/>
      <c r="M302" s="141">
        <f t="shared" si="23"/>
        <v>3</v>
      </c>
      <c r="N302" s="103"/>
      <c r="O302" s="103" t="s">
        <v>946</v>
      </c>
      <c r="P302" s="137">
        <f t="shared" si="26"/>
        <v>702</v>
      </c>
    </row>
    <row r="303" spans="1:16" s="92" customFormat="1" x14ac:dyDescent="0.3">
      <c r="A303" s="113" t="s">
        <v>905</v>
      </c>
      <c r="B303" s="107">
        <v>44755</v>
      </c>
      <c r="C303" s="25" t="s">
        <v>764</v>
      </c>
      <c r="D303" s="25" t="s">
        <v>1122</v>
      </c>
      <c r="E303" s="38">
        <v>0</v>
      </c>
      <c r="F303" s="132">
        <v>50.84</v>
      </c>
      <c r="G303" s="50">
        <f t="shared" si="27"/>
        <v>0</v>
      </c>
      <c r="H303" s="107">
        <v>44755</v>
      </c>
      <c r="I303" s="141">
        <v>25</v>
      </c>
      <c r="J303" s="104">
        <v>50.84</v>
      </c>
      <c r="K303" s="108">
        <f>+I303*J303</f>
        <v>1271</v>
      </c>
      <c r="L303" s="38">
        <f>1+1+2+1+1+2+2+3</f>
        <v>13</v>
      </c>
      <c r="M303" s="141">
        <f t="shared" si="23"/>
        <v>12</v>
      </c>
      <c r="N303" s="103" t="s">
        <v>928</v>
      </c>
      <c r="O303" s="103" t="s">
        <v>945</v>
      </c>
      <c r="P303" s="137">
        <f t="shared" si="26"/>
        <v>610.08000000000004</v>
      </c>
    </row>
    <row r="304" spans="1:16" s="8" customFormat="1" ht="15.75" x14ac:dyDescent="0.25">
      <c r="A304" s="113" t="s">
        <v>906</v>
      </c>
      <c r="B304" s="102"/>
      <c r="C304" s="25" t="s">
        <v>799</v>
      </c>
      <c r="D304" s="25" t="s">
        <v>1122</v>
      </c>
      <c r="E304" s="38">
        <v>120</v>
      </c>
      <c r="F304" s="132"/>
      <c r="G304" s="50">
        <f t="shared" si="27"/>
        <v>0</v>
      </c>
      <c r="H304" s="103"/>
      <c r="I304" s="141"/>
      <c r="J304" s="104"/>
      <c r="K304" s="103"/>
      <c r="L304" s="103"/>
      <c r="M304" s="141">
        <f t="shared" ref="M304:M367" si="28">+E304+I304-L304</f>
        <v>120</v>
      </c>
      <c r="N304" s="103"/>
      <c r="O304" s="103" t="s">
        <v>946</v>
      </c>
      <c r="P304" s="137">
        <f t="shared" si="26"/>
        <v>0</v>
      </c>
    </row>
    <row r="305" spans="1:16" s="8" customFormat="1" ht="15.75" x14ac:dyDescent="0.25">
      <c r="A305" s="113" t="s">
        <v>907</v>
      </c>
      <c r="B305" s="102"/>
      <c r="C305" s="25" t="s">
        <v>824</v>
      </c>
      <c r="D305" s="25" t="s">
        <v>1122</v>
      </c>
      <c r="E305" s="38">
        <v>15</v>
      </c>
      <c r="F305" s="132"/>
      <c r="G305" s="50">
        <f t="shared" si="27"/>
        <v>0</v>
      </c>
      <c r="H305" s="107"/>
      <c r="I305" s="141"/>
      <c r="J305" s="104"/>
      <c r="K305" s="108"/>
      <c r="L305" s="108">
        <v>2</v>
      </c>
      <c r="M305" s="141">
        <f t="shared" si="28"/>
        <v>13</v>
      </c>
      <c r="N305" s="103"/>
      <c r="O305" s="103" t="s">
        <v>946</v>
      </c>
      <c r="P305" s="137">
        <f t="shared" si="26"/>
        <v>0</v>
      </c>
    </row>
    <row r="306" spans="1:16" s="8" customFormat="1" ht="15.75" x14ac:dyDescent="0.25">
      <c r="A306" s="113" t="s">
        <v>908</v>
      </c>
      <c r="B306" s="102"/>
      <c r="C306" s="25" t="s">
        <v>837</v>
      </c>
      <c r="D306" s="25" t="s">
        <v>1122</v>
      </c>
      <c r="E306" s="38">
        <v>9</v>
      </c>
      <c r="F306" s="132"/>
      <c r="G306" s="50">
        <f t="shared" si="27"/>
        <v>0</v>
      </c>
      <c r="H306" s="103"/>
      <c r="I306" s="141"/>
      <c r="J306" s="104"/>
      <c r="K306" s="103"/>
      <c r="L306" s="103"/>
      <c r="M306" s="141">
        <f t="shared" si="28"/>
        <v>9</v>
      </c>
      <c r="N306" s="103"/>
      <c r="O306" s="103" t="s">
        <v>946</v>
      </c>
      <c r="P306" s="137">
        <f t="shared" si="26"/>
        <v>0</v>
      </c>
    </row>
    <row r="307" spans="1:16" s="8" customFormat="1" ht="15.75" x14ac:dyDescent="0.25">
      <c r="A307" s="113" t="s">
        <v>909</v>
      </c>
      <c r="B307" s="102"/>
      <c r="C307" s="25" t="s">
        <v>792</v>
      </c>
      <c r="D307" s="25" t="s">
        <v>1122</v>
      </c>
      <c r="E307" s="38">
        <v>19</v>
      </c>
      <c r="F307" s="132"/>
      <c r="G307" s="50">
        <f t="shared" si="27"/>
        <v>0</v>
      </c>
      <c r="H307" s="103"/>
      <c r="I307" s="141"/>
      <c r="J307" s="104"/>
      <c r="K307" s="103"/>
      <c r="L307" s="103">
        <v>1</v>
      </c>
      <c r="M307" s="141">
        <f t="shared" si="28"/>
        <v>18</v>
      </c>
      <c r="N307" s="103"/>
      <c r="O307" s="103" t="s">
        <v>946</v>
      </c>
      <c r="P307" s="137">
        <f t="shared" si="26"/>
        <v>0</v>
      </c>
    </row>
    <row r="308" spans="1:16" s="8" customFormat="1" ht="15.75" x14ac:dyDescent="0.25">
      <c r="A308" s="113" t="s">
        <v>910</v>
      </c>
      <c r="B308" s="102"/>
      <c r="C308" s="25" t="s">
        <v>329</v>
      </c>
      <c r="D308" s="25" t="s">
        <v>1122</v>
      </c>
      <c r="E308" s="38">
        <v>21</v>
      </c>
      <c r="F308" s="132"/>
      <c r="G308" s="50">
        <f t="shared" si="27"/>
        <v>0</v>
      </c>
      <c r="H308" s="103"/>
      <c r="I308" s="141"/>
      <c r="J308" s="104"/>
      <c r="K308" s="103"/>
      <c r="L308" s="103"/>
      <c r="M308" s="141">
        <f t="shared" si="28"/>
        <v>21</v>
      </c>
      <c r="N308" s="103"/>
      <c r="O308" s="103" t="s">
        <v>946</v>
      </c>
      <c r="P308" s="137">
        <f t="shared" si="26"/>
        <v>0</v>
      </c>
    </row>
    <row r="309" spans="1:16" s="8" customFormat="1" ht="15.75" x14ac:dyDescent="0.25">
      <c r="A309" s="113" t="s">
        <v>911</v>
      </c>
      <c r="B309" s="102"/>
      <c r="C309" s="25" t="s">
        <v>330</v>
      </c>
      <c r="D309" s="25" t="s">
        <v>1122</v>
      </c>
      <c r="E309" s="38">
        <f>2+18</f>
        <v>20</v>
      </c>
      <c r="F309" s="132"/>
      <c r="G309" s="50">
        <f t="shared" si="27"/>
        <v>0</v>
      </c>
      <c r="H309" s="103"/>
      <c r="I309" s="141"/>
      <c r="J309" s="104"/>
      <c r="K309" s="103"/>
      <c r="L309" s="103"/>
      <c r="M309" s="141">
        <f t="shared" si="28"/>
        <v>20</v>
      </c>
      <c r="N309" s="103"/>
      <c r="O309" s="103" t="s">
        <v>946</v>
      </c>
      <c r="P309" s="137">
        <f t="shared" si="26"/>
        <v>0</v>
      </c>
    </row>
    <row r="310" spans="1:16" s="8" customFormat="1" ht="15.75" x14ac:dyDescent="0.25">
      <c r="A310" s="113" t="s">
        <v>912</v>
      </c>
      <c r="B310" s="102">
        <v>44193</v>
      </c>
      <c r="C310" s="25" t="s">
        <v>836</v>
      </c>
      <c r="D310" s="25" t="s">
        <v>1122</v>
      </c>
      <c r="E310" s="38">
        <v>19</v>
      </c>
      <c r="F310" s="132">
        <v>30</v>
      </c>
      <c r="G310" s="50">
        <f t="shared" si="27"/>
        <v>570</v>
      </c>
      <c r="H310" s="103"/>
      <c r="I310" s="141"/>
      <c r="J310" s="104"/>
      <c r="K310" s="103"/>
      <c r="L310" s="103"/>
      <c r="M310" s="141">
        <f t="shared" si="28"/>
        <v>19</v>
      </c>
      <c r="N310" s="103"/>
      <c r="O310" s="103" t="s">
        <v>946</v>
      </c>
      <c r="P310" s="137">
        <f t="shared" si="26"/>
        <v>570</v>
      </c>
    </row>
    <row r="311" spans="1:16" s="8" customFormat="1" ht="15.75" x14ac:dyDescent="0.25">
      <c r="A311" s="113" t="s">
        <v>530</v>
      </c>
      <c r="B311" s="102">
        <v>45020</v>
      </c>
      <c r="C311" s="25" t="s">
        <v>810</v>
      </c>
      <c r="D311" s="25" t="s">
        <v>1122</v>
      </c>
      <c r="E311" s="38">
        <v>20</v>
      </c>
      <c r="F311" s="132">
        <v>413</v>
      </c>
      <c r="G311" s="50">
        <f>+E311*F311</f>
        <v>8260</v>
      </c>
      <c r="H311" s="103"/>
      <c r="I311" s="141"/>
      <c r="J311" s="104"/>
      <c r="K311" s="103"/>
      <c r="L311" s="103"/>
      <c r="M311" s="141">
        <f t="shared" si="28"/>
        <v>20</v>
      </c>
      <c r="N311" s="103"/>
      <c r="O311" s="103" t="s">
        <v>946</v>
      </c>
      <c r="P311" s="137">
        <f t="shared" si="26"/>
        <v>8260</v>
      </c>
    </row>
    <row r="312" spans="1:16" s="8" customFormat="1" ht="15.75" x14ac:dyDescent="0.25">
      <c r="A312" s="113" t="s">
        <v>916</v>
      </c>
      <c r="B312" s="102"/>
      <c r="C312" s="25" t="s">
        <v>836</v>
      </c>
      <c r="D312" s="25" t="s">
        <v>1122</v>
      </c>
      <c r="E312" s="38">
        <v>19</v>
      </c>
      <c r="F312" s="132"/>
      <c r="G312" s="50"/>
      <c r="H312" s="103"/>
      <c r="I312" s="141"/>
      <c r="J312" s="104"/>
      <c r="K312" s="103"/>
      <c r="L312" s="103"/>
      <c r="M312" s="141">
        <f t="shared" si="28"/>
        <v>19</v>
      </c>
      <c r="N312" s="103"/>
      <c r="O312" s="103" t="s">
        <v>946</v>
      </c>
      <c r="P312" s="137">
        <f t="shared" si="26"/>
        <v>0</v>
      </c>
    </row>
    <row r="313" spans="1:16" s="92" customFormat="1" x14ac:dyDescent="0.3">
      <c r="A313" s="113" t="s">
        <v>917</v>
      </c>
      <c r="B313" s="102"/>
      <c r="C313" s="25" t="s">
        <v>918</v>
      </c>
      <c r="D313" s="25" t="s">
        <v>1122</v>
      </c>
      <c r="E313" s="38">
        <v>5</v>
      </c>
      <c r="F313" s="132"/>
      <c r="G313" s="50"/>
      <c r="H313" s="103"/>
      <c r="I313" s="141"/>
      <c r="J313" s="104"/>
      <c r="K313" s="103"/>
      <c r="L313" s="103"/>
      <c r="M313" s="141">
        <f t="shared" si="28"/>
        <v>5</v>
      </c>
      <c r="N313" s="103"/>
      <c r="O313" s="103" t="s">
        <v>945</v>
      </c>
      <c r="P313" s="137">
        <f t="shared" si="26"/>
        <v>0</v>
      </c>
    </row>
    <row r="314" spans="1:16" s="92" customFormat="1" x14ac:dyDescent="0.3">
      <c r="A314" s="113" t="s">
        <v>921</v>
      </c>
      <c r="B314" s="102"/>
      <c r="C314" s="25" t="s">
        <v>919</v>
      </c>
      <c r="D314" s="25" t="s">
        <v>1122</v>
      </c>
      <c r="E314" s="38">
        <f>12+10+11</f>
        <v>33</v>
      </c>
      <c r="F314" s="132">
        <v>150</v>
      </c>
      <c r="G314" s="50"/>
      <c r="H314" s="103"/>
      <c r="I314" s="141"/>
      <c r="J314" s="104"/>
      <c r="K314" s="103"/>
      <c r="L314" s="103"/>
      <c r="M314" s="141">
        <f t="shared" si="28"/>
        <v>33</v>
      </c>
      <c r="N314" s="103"/>
      <c r="O314" s="103" t="s">
        <v>945</v>
      </c>
      <c r="P314" s="137">
        <f t="shared" si="26"/>
        <v>4950</v>
      </c>
    </row>
    <row r="315" spans="1:16" s="92" customFormat="1" x14ac:dyDescent="0.3">
      <c r="A315" s="113" t="s">
        <v>922</v>
      </c>
      <c r="B315" s="102"/>
      <c r="C315" s="25" t="s">
        <v>926</v>
      </c>
      <c r="D315" s="25" t="s">
        <v>1122</v>
      </c>
      <c r="E315" s="38">
        <v>1</v>
      </c>
      <c r="F315" s="132"/>
      <c r="G315" s="50"/>
      <c r="H315" s="103"/>
      <c r="I315" s="141"/>
      <c r="J315" s="104"/>
      <c r="K315" s="103"/>
      <c r="L315" s="103"/>
      <c r="M315" s="141">
        <f t="shared" si="28"/>
        <v>1</v>
      </c>
      <c r="N315" s="103"/>
      <c r="O315" s="103" t="s">
        <v>945</v>
      </c>
      <c r="P315" s="137">
        <f t="shared" si="26"/>
        <v>0</v>
      </c>
    </row>
    <row r="316" spans="1:16" s="92" customFormat="1" x14ac:dyDescent="0.3">
      <c r="A316" s="113" t="s">
        <v>923</v>
      </c>
      <c r="B316" s="107">
        <v>45019</v>
      </c>
      <c r="C316" s="25" t="s">
        <v>930</v>
      </c>
      <c r="D316" s="25" t="s">
        <v>1122</v>
      </c>
      <c r="E316" s="38"/>
      <c r="F316" s="132">
        <v>128.91999999999999</v>
      </c>
      <c r="G316" s="50"/>
      <c r="H316" s="107">
        <v>45019</v>
      </c>
      <c r="I316" s="141">
        <v>50</v>
      </c>
      <c r="J316" s="104">
        <v>128.91999999999999</v>
      </c>
      <c r="K316" s="103">
        <f>+J316*I316</f>
        <v>6445.9999999999991</v>
      </c>
      <c r="L316" s="103">
        <f>2+2+2+2+2+3</f>
        <v>13</v>
      </c>
      <c r="M316" s="141">
        <f t="shared" si="28"/>
        <v>37</v>
      </c>
      <c r="N316" s="103"/>
      <c r="O316" s="103" t="s">
        <v>945</v>
      </c>
      <c r="P316" s="137">
        <f t="shared" si="26"/>
        <v>4770.04</v>
      </c>
    </row>
    <row r="317" spans="1:16" s="8" customFormat="1" ht="15.75" x14ac:dyDescent="0.25">
      <c r="A317" s="113" t="s">
        <v>932</v>
      </c>
      <c r="B317" s="102"/>
      <c r="C317" s="25" t="s">
        <v>931</v>
      </c>
      <c r="D317" s="25" t="s">
        <v>1122</v>
      </c>
      <c r="E317" s="38"/>
      <c r="F317" s="132"/>
      <c r="G317" s="50"/>
      <c r="H317" s="103"/>
      <c r="I317" s="141"/>
      <c r="J317" s="104"/>
      <c r="K317" s="103"/>
      <c r="L317" s="103">
        <f>1+1</f>
        <v>2</v>
      </c>
      <c r="M317" s="141">
        <f t="shared" si="28"/>
        <v>-2</v>
      </c>
      <c r="N317" s="103"/>
      <c r="O317" s="103" t="s">
        <v>947</v>
      </c>
      <c r="P317" s="137">
        <f t="shared" si="26"/>
        <v>0</v>
      </c>
    </row>
    <row r="318" spans="1:16" s="8" customFormat="1" ht="15.75" x14ac:dyDescent="0.25">
      <c r="A318" s="113" t="s">
        <v>933</v>
      </c>
      <c r="B318" s="102"/>
      <c r="C318" s="68" t="s">
        <v>934</v>
      </c>
      <c r="D318" s="25" t="s">
        <v>1122</v>
      </c>
      <c r="E318" s="38"/>
      <c r="F318" s="132"/>
      <c r="G318" s="50"/>
      <c r="H318" s="103"/>
      <c r="I318" s="141"/>
      <c r="J318" s="104"/>
      <c r="K318" s="103"/>
      <c r="L318" s="103">
        <f>1+1+15+1</f>
        <v>18</v>
      </c>
      <c r="M318" s="141">
        <f t="shared" si="28"/>
        <v>-18</v>
      </c>
      <c r="N318" s="103"/>
      <c r="O318" s="103" t="s">
        <v>946</v>
      </c>
      <c r="P318" s="137">
        <f t="shared" si="26"/>
        <v>0</v>
      </c>
    </row>
    <row r="319" spans="1:16" s="8" customFormat="1" ht="15.75" x14ac:dyDescent="0.25">
      <c r="A319" s="113" t="s">
        <v>936</v>
      </c>
      <c r="B319" s="102">
        <v>44193</v>
      </c>
      <c r="C319" s="25" t="s">
        <v>613</v>
      </c>
      <c r="D319" s="25" t="s">
        <v>1122</v>
      </c>
      <c r="E319" s="38">
        <v>25</v>
      </c>
      <c r="F319" s="132">
        <v>5.78</v>
      </c>
      <c r="G319" s="50">
        <f>+E319*F319</f>
        <v>144.5</v>
      </c>
      <c r="H319" s="103"/>
      <c r="I319" s="141"/>
      <c r="J319" s="104"/>
      <c r="K319" s="103"/>
      <c r="L319" s="103">
        <v>1</v>
      </c>
      <c r="M319" s="141">
        <f t="shared" si="28"/>
        <v>24</v>
      </c>
      <c r="N319" s="103"/>
      <c r="O319" s="103" t="s">
        <v>946</v>
      </c>
      <c r="P319" s="137">
        <f t="shared" si="26"/>
        <v>138.72</v>
      </c>
    </row>
    <row r="320" spans="1:16" s="8" customFormat="1" ht="15.75" x14ac:dyDescent="0.25">
      <c r="A320" s="113" t="s">
        <v>937</v>
      </c>
      <c r="B320" s="102"/>
      <c r="C320" s="25" t="s">
        <v>935</v>
      </c>
      <c r="D320" s="25" t="s">
        <v>1122</v>
      </c>
      <c r="E320" s="38"/>
      <c r="F320" s="132"/>
      <c r="G320" s="50"/>
      <c r="H320" s="103"/>
      <c r="I320" s="141"/>
      <c r="J320" s="104"/>
      <c r="K320" s="103"/>
      <c r="L320" s="103">
        <v>2</v>
      </c>
      <c r="M320" s="141">
        <f t="shared" si="28"/>
        <v>-2</v>
      </c>
      <c r="N320" s="103"/>
      <c r="O320" s="103" t="s">
        <v>946</v>
      </c>
      <c r="P320" s="137">
        <f t="shared" si="26"/>
        <v>0</v>
      </c>
    </row>
    <row r="321" spans="1:16" s="8" customFormat="1" ht="15.75" x14ac:dyDescent="0.25">
      <c r="A321" s="113" t="s">
        <v>938</v>
      </c>
      <c r="B321" s="102"/>
      <c r="C321" s="25" t="s">
        <v>939</v>
      </c>
      <c r="D321" s="25" t="s">
        <v>1122</v>
      </c>
      <c r="E321" s="38"/>
      <c r="F321" s="132"/>
      <c r="G321" s="50"/>
      <c r="H321" s="103"/>
      <c r="I321" s="141"/>
      <c r="J321" s="104"/>
      <c r="K321" s="103"/>
      <c r="L321" s="103">
        <v>1</v>
      </c>
      <c r="M321" s="141">
        <f t="shared" si="28"/>
        <v>-1</v>
      </c>
      <c r="N321" s="103"/>
      <c r="O321" s="103" t="s">
        <v>946</v>
      </c>
      <c r="P321" s="137">
        <f t="shared" si="26"/>
        <v>0</v>
      </c>
    </row>
    <row r="322" spans="1:16" s="8" customFormat="1" ht="15.75" x14ac:dyDescent="0.25">
      <c r="A322" s="113" t="s">
        <v>941</v>
      </c>
      <c r="B322" s="102"/>
      <c r="C322" s="25" t="s">
        <v>940</v>
      </c>
      <c r="D322" s="25" t="s">
        <v>1122</v>
      </c>
      <c r="E322" s="38"/>
      <c r="F322" s="132"/>
      <c r="G322" s="50"/>
      <c r="H322" s="103"/>
      <c r="I322" s="141"/>
      <c r="J322" s="104"/>
      <c r="K322" s="103"/>
      <c r="L322" s="103">
        <v>1</v>
      </c>
      <c r="M322" s="141">
        <f t="shared" si="28"/>
        <v>-1</v>
      </c>
      <c r="N322" s="103"/>
      <c r="O322" s="103" t="s">
        <v>946</v>
      </c>
      <c r="P322" s="137">
        <f t="shared" si="26"/>
        <v>0</v>
      </c>
    </row>
    <row r="323" spans="1:16" s="8" customFormat="1" ht="15.75" x14ac:dyDescent="0.25">
      <c r="A323" s="113" t="s">
        <v>948</v>
      </c>
      <c r="B323" s="107">
        <v>45019</v>
      </c>
      <c r="C323" s="25" t="s">
        <v>942</v>
      </c>
      <c r="D323" s="25" t="s">
        <v>1122</v>
      </c>
      <c r="E323" s="38">
        <v>967</v>
      </c>
      <c r="F323" s="132">
        <v>58.51</v>
      </c>
      <c r="G323" s="50"/>
      <c r="H323" s="107">
        <v>45019</v>
      </c>
      <c r="I323" s="141">
        <v>360</v>
      </c>
      <c r="J323" s="104">
        <v>58.51</v>
      </c>
      <c r="K323" s="104">
        <f>+J323*I323</f>
        <v>21063.599999999999</v>
      </c>
      <c r="L323" s="103">
        <v>36</v>
      </c>
      <c r="M323" s="141">
        <f t="shared" si="28"/>
        <v>1291</v>
      </c>
      <c r="N323" s="103"/>
      <c r="O323" s="103" t="s">
        <v>946</v>
      </c>
      <c r="P323" s="137">
        <f t="shared" si="26"/>
        <v>75536.41</v>
      </c>
    </row>
    <row r="324" spans="1:16" s="8" customFormat="1" ht="15.75" x14ac:dyDescent="0.25">
      <c r="A324" s="113" t="s">
        <v>953</v>
      </c>
      <c r="B324" s="102"/>
      <c r="C324" s="25" t="s">
        <v>949</v>
      </c>
      <c r="D324" s="25" t="s">
        <v>1122</v>
      </c>
      <c r="E324" s="38"/>
      <c r="F324" s="132"/>
      <c r="G324" s="50"/>
      <c r="H324" s="103"/>
      <c r="I324" s="141"/>
      <c r="J324" s="104"/>
      <c r="K324" s="104">
        <f t="shared" ref="K324:K325" si="29">+J324*I324</f>
        <v>0</v>
      </c>
      <c r="L324" s="103">
        <v>1</v>
      </c>
      <c r="M324" s="141">
        <f t="shared" si="28"/>
        <v>-1</v>
      </c>
      <c r="N324" s="103"/>
      <c r="O324" s="103" t="s">
        <v>946</v>
      </c>
      <c r="P324" s="137">
        <f t="shared" si="26"/>
        <v>0</v>
      </c>
    </row>
    <row r="325" spans="1:16" s="92" customFormat="1" x14ac:dyDescent="0.3">
      <c r="A325" s="113" t="s">
        <v>954</v>
      </c>
      <c r="B325" s="102"/>
      <c r="C325" s="25" t="s">
        <v>952</v>
      </c>
      <c r="D325" s="25" t="s">
        <v>1122</v>
      </c>
      <c r="E325" s="38"/>
      <c r="F325" s="132"/>
      <c r="G325" s="50"/>
      <c r="H325" s="103"/>
      <c r="I325" s="141"/>
      <c r="J325" s="104"/>
      <c r="K325" s="104">
        <f t="shared" si="29"/>
        <v>0</v>
      </c>
      <c r="L325" s="103">
        <f>1+1+2</f>
        <v>4</v>
      </c>
      <c r="M325" s="141">
        <f t="shared" si="28"/>
        <v>-4</v>
      </c>
      <c r="N325" s="103"/>
      <c r="O325" s="103" t="s">
        <v>945</v>
      </c>
      <c r="P325" s="137">
        <f t="shared" si="26"/>
        <v>0</v>
      </c>
    </row>
    <row r="326" spans="1:16" s="92" customFormat="1" x14ac:dyDescent="0.3">
      <c r="A326" s="113" t="s">
        <v>957</v>
      </c>
      <c r="B326" s="102">
        <v>45019</v>
      </c>
      <c r="C326" s="25" t="s">
        <v>958</v>
      </c>
      <c r="D326" s="25" t="s">
        <v>1122</v>
      </c>
      <c r="E326" s="38"/>
      <c r="F326" s="132">
        <v>41.3</v>
      </c>
      <c r="G326" s="50"/>
      <c r="H326" s="107">
        <v>45019</v>
      </c>
      <c r="I326" s="141">
        <v>120</v>
      </c>
      <c r="J326" s="104">
        <v>41.3</v>
      </c>
      <c r="K326" s="104">
        <f>+J326*I326</f>
        <v>4956</v>
      </c>
      <c r="L326" s="103">
        <f>1+1+2+2+1+1+4</f>
        <v>12</v>
      </c>
      <c r="M326" s="141">
        <f t="shared" si="28"/>
        <v>108</v>
      </c>
      <c r="N326" s="103"/>
      <c r="O326" s="103" t="s">
        <v>945</v>
      </c>
      <c r="P326" s="137">
        <f t="shared" si="26"/>
        <v>4460.3999999999996</v>
      </c>
    </row>
    <row r="327" spans="1:16" s="105" customFormat="1" ht="15.75" x14ac:dyDescent="0.25">
      <c r="A327" s="113" t="s">
        <v>972</v>
      </c>
      <c r="B327" s="107">
        <v>44852</v>
      </c>
      <c r="C327" s="25" t="s">
        <v>959</v>
      </c>
      <c r="D327" s="25" t="s">
        <v>1122</v>
      </c>
      <c r="E327" s="38"/>
      <c r="F327" s="132">
        <v>19.329999999999998</v>
      </c>
      <c r="G327" s="50"/>
      <c r="H327" s="107">
        <v>44852</v>
      </c>
      <c r="I327" s="141">
        <v>20</v>
      </c>
      <c r="J327" s="104">
        <v>19.329999999999998</v>
      </c>
      <c r="K327" s="108">
        <f>+I327*J327</f>
        <v>386.59999999999997</v>
      </c>
      <c r="L327" s="103">
        <f>1+1+2+2</f>
        <v>6</v>
      </c>
      <c r="M327" s="141">
        <f t="shared" si="28"/>
        <v>14</v>
      </c>
      <c r="N327" s="103" t="s">
        <v>1037</v>
      </c>
      <c r="O327" s="103" t="s">
        <v>947</v>
      </c>
      <c r="P327" s="137">
        <f t="shared" si="26"/>
        <v>270.62</v>
      </c>
    </row>
    <row r="328" spans="1:16" s="105" customFormat="1" ht="15.75" x14ac:dyDescent="0.25">
      <c r="A328" s="113" t="s">
        <v>973</v>
      </c>
      <c r="B328" s="107">
        <v>44852</v>
      </c>
      <c r="C328" s="25" t="s">
        <v>1036</v>
      </c>
      <c r="D328" s="25" t="s">
        <v>1122</v>
      </c>
      <c r="E328" s="38"/>
      <c r="F328" s="132">
        <v>145.80000000000001</v>
      </c>
      <c r="G328" s="50"/>
      <c r="H328" s="107">
        <v>44852</v>
      </c>
      <c r="I328" s="141">
        <v>10</v>
      </c>
      <c r="J328" s="104">
        <v>145.80000000000001</v>
      </c>
      <c r="K328" s="108">
        <f>+I328*J328</f>
        <v>1458</v>
      </c>
      <c r="L328" s="103">
        <f>1+1+2+1+1</f>
        <v>6</v>
      </c>
      <c r="M328" s="141">
        <f t="shared" si="28"/>
        <v>4</v>
      </c>
      <c r="N328" s="103" t="s">
        <v>1037</v>
      </c>
      <c r="O328" s="103" t="s">
        <v>947</v>
      </c>
      <c r="P328" s="137">
        <f t="shared" si="26"/>
        <v>583.20000000000005</v>
      </c>
    </row>
    <row r="329" spans="1:16" s="105" customFormat="1" ht="15.75" x14ac:dyDescent="0.25">
      <c r="A329" s="113" t="s">
        <v>974</v>
      </c>
      <c r="B329" s="107">
        <v>44852</v>
      </c>
      <c r="C329" s="25" t="s">
        <v>1040</v>
      </c>
      <c r="D329" s="25" t="s">
        <v>1122</v>
      </c>
      <c r="E329" s="38"/>
      <c r="F329" s="132">
        <v>97.59</v>
      </c>
      <c r="G329" s="50"/>
      <c r="H329" s="107">
        <v>44852</v>
      </c>
      <c r="I329" s="141">
        <v>30</v>
      </c>
      <c r="J329" s="104">
        <v>97.59</v>
      </c>
      <c r="K329" s="108">
        <f>+I329*J329</f>
        <v>2927.7000000000003</v>
      </c>
      <c r="L329" s="103">
        <f>1+1+2+4</f>
        <v>8</v>
      </c>
      <c r="M329" s="141">
        <f t="shared" si="28"/>
        <v>22</v>
      </c>
      <c r="N329" s="103" t="s">
        <v>1037</v>
      </c>
      <c r="O329" s="103" t="s">
        <v>947</v>
      </c>
      <c r="P329" s="137">
        <f t="shared" si="26"/>
        <v>2146.98</v>
      </c>
    </row>
    <row r="330" spans="1:16" s="92" customFormat="1" x14ac:dyDescent="0.3">
      <c r="A330" s="113" t="s">
        <v>975</v>
      </c>
      <c r="B330" s="102"/>
      <c r="C330" s="25" t="s">
        <v>960</v>
      </c>
      <c r="D330" s="25" t="s">
        <v>1122</v>
      </c>
      <c r="E330" s="38"/>
      <c r="F330" s="132"/>
      <c r="G330" s="50"/>
      <c r="H330" s="103"/>
      <c r="I330" s="141"/>
      <c r="J330" s="104"/>
      <c r="K330" s="103"/>
      <c r="L330" s="103">
        <v>2</v>
      </c>
      <c r="M330" s="141">
        <f t="shared" si="28"/>
        <v>-2</v>
      </c>
      <c r="N330" s="103"/>
      <c r="O330" s="103" t="s">
        <v>946</v>
      </c>
      <c r="P330" s="137">
        <f t="shared" si="26"/>
        <v>0</v>
      </c>
    </row>
    <row r="331" spans="1:16" s="92" customFormat="1" ht="32.25" x14ac:dyDescent="0.3">
      <c r="A331" s="113" t="s">
        <v>976</v>
      </c>
      <c r="B331" s="107">
        <v>44851</v>
      </c>
      <c r="C331" s="25" t="s">
        <v>961</v>
      </c>
      <c r="D331" s="25" t="s">
        <v>1122</v>
      </c>
      <c r="E331" s="38"/>
      <c r="F331" s="132">
        <v>672.78</v>
      </c>
      <c r="G331" s="50"/>
      <c r="H331" s="107">
        <v>44851</v>
      </c>
      <c r="I331" s="141">
        <v>25</v>
      </c>
      <c r="J331" s="104">
        <v>672.78</v>
      </c>
      <c r="K331" s="108">
        <f>+I331*J331</f>
        <v>16819.5</v>
      </c>
      <c r="L331" s="103">
        <f>1+1</f>
        <v>2</v>
      </c>
      <c r="M331" s="141">
        <f t="shared" si="28"/>
        <v>23</v>
      </c>
      <c r="N331" s="121" t="s">
        <v>1006</v>
      </c>
      <c r="O331" s="103" t="s">
        <v>946</v>
      </c>
      <c r="P331" s="137">
        <f>+F331*M331</f>
        <v>15473.939999999999</v>
      </c>
    </row>
    <row r="332" spans="1:16" s="92" customFormat="1" x14ac:dyDescent="0.3">
      <c r="A332" s="113" t="s">
        <v>977</v>
      </c>
      <c r="B332" s="107">
        <v>44852</v>
      </c>
      <c r="C332" s="25" t="s">
        <v>962</v>
      </c>
      <c r="D332" s="25" t="s">
        <v>1122</v>
      </c>
      <c r="E332" s="38"/>
      <c r="F332" s="132">
        <v>1713.36</v>
      </c>
      <c r="G332" s="50"/>
      <c r="H332" s="107">
        <v>44852</v>
      </c>
      <c r="I332" s="141">
        <v>12</v>
      </c>
      <c r="J332" s="104">
        <f>1452+261.36</f>
        <v>1713.3600000000001</v>
      </c>
      <c r="K332" s="108">
        <f>+I332*J332</f>
        <v>20560.32</v>
      </c>
      <c r="L332" s="103">
        <v>1</v>
      </c>
      <c r="M332" s="141">
        <f t="shared" si="28"/>
        <v>11</v>
      </c>
      <c r="N332" s="103"/>
      <c r="O332" s="103" t="s">
        <v>946</v>
      </c>
      <c r="P332" s="137">
        <f t="shared" si="26"/>
        <v>18846.96</v>
      </c>
    </row>
    <row r="333" spans="1:16" s="92" customFormat="1" x14ac:dyDescent="0.3">
      <c r="A333" s="113" t="s">
        <v>978</v>
      </c>
      <c r="B333" s="107">
        <v>44852</v>
      </c>
      <c r="C333" s="25" t="s">
        <v>963</v>
      </c>
      <c r="D333" s="25" t="s">
        <v>1122</v>
      </c>
      <c r="E333" s="38"/>
      <c r="F333" s="132">
        <v>4967.8</v>
      </c>
      <c r="G333" s="50"/>
      <c r="H333" s="107">
        <v>44852</v>
      </c>
      <c r="I333" s="141">
        <v>15</v>
      </c>
      <c r="J333" s="104">
        <f>4210+757.8</f>
        <v>4967.8</v>
      </c>
      <c r="K333" s="108">
        <f>+I333*J333</f>
        <v>74517</v>
      </c>
      <c r="L333" s="103"/>
      <c r="M333" s="141">
        <f t="shared" si="28"/>
        <v>15</v>
      </c>
      <c r="N333" s="103"/>
      <c r="O333" s="103" t="s">
        <v>946</v>
      </c>
      <c r="P333" s="137">
        <f t="shared" si="26"/>
        <v>74517</v>
      </c>
    </row>
    <row r="334" spans="1:16" s="92" customFormat="1" x14ac:dyDescent="0.3">
      <c r="A334" s="113" t="s">
        <v>979</v>
      </c>
      <c r="B334" s="107">
        <v>44852</v>
      </c>
      <c r="C334" s="25" t="s">
        <v>964</v>
      </c>
      <c r="D334" s="25" t="s">
        <v>1122</v>
      </c>
      <c r="E334" s="38"/>
      <c r="F334" s="132">
        <v>3776</v>
      </c>
      <c r="G334" s="50"/>
      <c r="H334" s="107">
        <v>44852</v>
      </c>
      <c r="I334" s="141">
        <v>16</v>
      </c>
      <c r="J334" s="104">
        <f>3200+576</f>
        <v>3776</v>
      </c>
      <c r="K334" s="108">
        <f>+I334*J334</f>
        <v>60416</v>
      </c>
      <c r="L334" s="103"/>
      <c r="M334" s="141">
        <f t="shared" si="28"/>
        <v>16</v>
      </c>
      <c r="N334" s="103"/>
      <c r="O334" s="103" t="s">
        <v>946</v>
      </c>
      <c r="P334" s="137">
        <f t="shared" si="26"/>
        <v>60416</v>
      </c>
    </row>
    <row r="335" spans="1:16" s="92" customFormat="1" x14ac:dyDescent="0.3">
      <c r="A335" s="113" t="s">
        <v>980</v>
      </c>
      <c r="B335" s="107">
        <v>44852</v>
      </c>
      <c r="C335" s="25" t="s">
        <v>965</v>
      </c>
      <c r="D335" s="25" t="s">
        <v>1122</v>
      </c>
      <c r="E335" s="38"/>
      <c r="F335" s="132">
        <v>2254.98</v>
      </c>
      <c r="G335" s="50"/>
      <c r="H335" s="107">
        <v>44852</v>
      </c>
      <c r="I335" s="141">
        <v>5</v>
      </c>
      <c r="J335" s="104">
        <f>1911+343.98</f>
        <v>2254.98</v>
      </c>
      <c r="K335" s="108">
        <f t="shared" ref="K335:K345" si="30">+I335*J335</f>
        <v>11274.9</v>
      </c>
      <c r="L335" s="103"/>
      <c r="M335" s="141">
        <f t="shared" si="28"/>
        <v>5</v>
      </c>
      <c r="N335" s="103"/>
      <c r="O335" s="103" t="s">
        <v>946</v>
      </c>
      <c r="P335" s="137">
        <f t="shared" si="26"/>
        <v>11274.9</v>
      </c>
    </row>
    <row r="336" spans="1:16" s="92" customFormat="1" x14ac:dyDescent="0.3">
      <c r="A336" s="113" t="s">
        <v>981</v>
      </c>
      <c r="B336" s="107">
        <v>44852</v>
      </c>
      <c r="C336" s="25" t="s">
        <v>966</v>
      </c>
      <c r="D336" s="25" t="s">
        <v>1122</v>
      </c>
      <c r="E336" s="38"/>
      <c r="F336" s="132">
        <v>3776</v>
      </c>
      <c r="G336" s="50"/>
      <c r="H336" s="107">
        <v>44852</v>
      </c>
      <c r="I336" s="141">
        <v>20</v>
      </c>
      <c r="J336" s="104">
        <f>3200+576</f>
        <v>3776</v>
      </c>
      <c r="K336" s="108">
        <f t="shared" si="30"/>
        <v>75520</v>
      </c>
      <c r="L336" s="103">
        <v>1</v>
      </c>
      <c r="M336" s="141">
        <f t="shared" si="28"/>
        <v>19</v>
      </c>
      <c r="N336" s="103"/>
      <c r="O336" s="103" t="s">
        <v>946</v>
      </c>
      <c r="P336" s="137">
        <f t="shared" si="26"/>
        <v>71744</v>
      </c>
    </row>
    <row r="337" spans="1:16" s="92" customFormat="1" x14ac:dyDescent="0.3">
      <c r="A337" s="113" t="s">
        <v>982</v>
      </c>
      <c r="B337" s="107">
        <v>44852</v>
      </c>
      <c r="C337" s="25" t="s">
        <v>967</v>
      </c>
      <c r="D337" s="25" t="s">
        <v>1122</v>
      </c>
      <c r="E337" s="38"/>
      <c r="F337" s="132">
        <v>5664</v>
      </c>
      <c r="G337" s="50"/>
      <c r="H337" s="107">
        <v>44852</v>
      </c>
      <c r="I337" s="141">
        <v>10</v>
      </c>
      <c r="J337" s="104">
        <f>4800+864</f>
        <v>5664</v>
      </c>
      <c r="K337" s="108">
        <f t="shared" si="30"/>
        <v>56640</v>
      </c>
      <c r="L337" s="103"/>
      <c r="M337" s="141">
        <f t="shared" si="28"/>
        <v>10</v>
      </c>
      <c r="N337" s="103"/>
      <c r="O337" s="103" t="s">
        <v>946</v>
      </c>
      <c r="P337" s="137">
        <f t="shared" si="26"/>
        <v>56640</v>
      </c>
    </row>
    <row r="338" spans="1:16" s="92" customFormat="1" x14ac:dyDescent="0.3">
      <c r="A338" s="113" t="s">
        <v>983</v>
      </c>
      <c r="B338" s="107">
        <v>44852</v>
      </c>
      <c r="C338" s="25" t="s">
        <v>968</v>
      </c>
      <c r="D338" s="25" t="s">
        <v>1122</v>
      </c>
      <c r="E338" s="38"/>
      <c r="F338" s="132">
        <f>2050+369</f>
        <v>2419</v>
      </c>
      <c r="G338" s="50"/>
      <c r="H338" s="107">
        <v>44852</v>
      </c>
      <c r="I338" s="141">
        <v>35</v>
      </c>
      <c r="J338" s="104">
        <f>2050+369</f>
        <v>2419</v>
      </c>
      <c r="K338" s="108">
        <f t="shared" si="30"/>
        <v>84665</v>
      </c>
      <c r="L338" s="103">
        <v>1</v>
      </c>
      <c r="M338" s="141">
        <f t="shared" si="28"/>
        <v>34</v>
      </c>
      <c r="N338" s="103"/>
      <c r="O338" s="103" t="s">
        <v>946</v>
      </c>
      <c r="P338" s="137">
        <f t="shared" si="26"/>
        <v>82246</v>
      </c>
    </row>
    <row r="339" spans="1:16" s="92" customFormat="1" x14ac:dyDescent="0.3">
      <c r="A339" s="113" t="s">
        <v>984</v>
      </c>
      <c r="B339" s="107">
        <v>44852</v>
      </c>
      <c r="C339" s="25" t="s">
        <v>969</v>
      </c>
      <c r="D339" s="25" t="s">
        <v>1122</v>
      </c>
      <c r="E339" s="38"/>
      <c r="F339" s="132">
        <f>3737+672.66</f>
        <v>4409.66</v>
      </c>
      <c r="G339" s="50"/>
      <c r="H339" s="107">
        <v>44852</v>
      </c>
      <c r="I339" s="141">
        <v>5</v>
      </c>
      <c r="J339" s="104">
        <f>3737+672.66</f>
        <v>4409.66</v>
      </c>
      <c r="K339" s="108">
        <f t="shared" si="30"/>
        <v>22048.3</v>
      </c>
      <c r="L339" s="103"/>
      <c r="M339" s="141">
        <f t="shared" si="28"/>
        <v>5</v>
      </c>
      <c r="N339" s="103"/>
      <c r="O339" s="103" t="s">
        <v>946</v>
      </c>
      <c r="P339" s="137">
        <f t="shared" si="26"/>
        <v>22048.3</v>
      </c>
    </row>
    <row r="340" spans="1:16" s="92" customFormat="1" x14ac:dyDescent="0.3">
      <c r="A340" s="113" t="s">
        <v>985</v>
      </c>
      <c r="B340" s="107">
        <v>44862</v>
      </c>
      <c r="C340" s="25" t="s">
        <v>994</v>
      </c>
      <c r="D340" s="25" t="s">
        <v>1122</v>
      </c>
      <c r="E340" s="38"/>
      <c r="F340" s="132">
        <f>8750+1575</f>
        <v>10325</v>
      </c>
      <c r="G340" s="50"/>
      <c r="H340" s="107">
        <v>44862</v>
      </c>
      <c r="I340" s="141">
        <v>40</v>
      </c>
      <c r="J340" s="104">
        <f>8750+1575</f>
        <v>10325</v>
      </c>
      <c r="K340" s="108">
        <f t="shared" si="30"/>
        <v>413000</v>
      </c>
      <c r="L340" s="103">
        <v>17</v>
      </c>
      <c r="M340" s="141">
        <f t="shared" si="28"/>
        <v>23</v>
      </c>
      <c r="N340" s="103"/>
      <c r="O340" s="103" t="s">
        <v>946</v>
      </c>
      <c r="P340" s="137">
        <f t="shared" si="26"/>
        <v>237475</v>
      </c>
    </row>
    <row r="341" spans="1:16" s="92" customFormat="1" x14ac:dyDescent="0.3">
      <c r="A341" s="113" t="s">
        <v>986</v>
      </c>
      <c r="B341" s="107">
        <v>44862</v>
      </c>
      <c r="C341" s="25" t="s">
        <v>995</v>
      </c>
      <c r="D341" s="25" t="s">
        <v>1122</v>
      </c>
      <c r="E341" s="38"/>
      <c r="F341" s="132">
        <f>1311+235.98</f>
        <v>1546.98</v>
      </c>
      <c r="G341" s="50"/>
      <c r="H341" s="107">
        <v>44862</v>
      </c>
      <c r="I341" s="141">
        <v>4</v>
      </c>
      <c r="J341" s="104">
        <f>1311+235.98</f>
        <v>1546.98</v>
      </c>
      <c r="K341" s="108">
        <f t="shared" si="30"/>
        <v>6187.92</v>
      </c>
      <c r="L341" s="103"/>
      <c r="M341" s="141">
        <f t="shared" si="28"/>
        <v>4</v>
      </c>
      <c r="N341" s="103"/>
      <c r="O341" s="103" t="s">
        <v>946</v>
      </c>
      <c r="P341" s="137">
        <f t="shared" si="26"/>
        <v>6187.92</v>
      </c>
    </row>
    <row r="342" spans="1:16" s="92" customFormat="1" x14ac:dyDescent="0.3">
      <c r="A342" s="113" t="s">
        <v>987</v>
      </c>
      <c r="B342" s="103"/>
      <c r="C342" s="25" t="s">
        <v>295</v>
      </c>
      <c r="D342" s="25" t="s">
        <v>1122</v>
      </c>
      <c r="E342" s="38"/>
      <c r="F342" s="132"/>
      <c r="G342" s="50"/>
      <c r="H342" s="103"/>
      <c r="I342" s="141"/>
      <c r="J342" s="104"/>
      <c r="K342" s="108">
        <f t="shared" si="30"/>
        <v>0</v>
      </c>
      <c r="L342" s="103">
        <v>1</v>
      </c>
      <c r="M342" s="141">
        <f t="shared" si="28"/>
        <v>-1</v>
      </c>
      <c r="N342" s="103"/>
      <c r="O342" s="103" t="s">
        <v>946</v>
      </c>
      <c r="P342" s="137">
        <f t="shared" si="26"/>
        <v>0</v>
      </c>
    </row>
    <row r="343" spans="1:16" s="92" customFormat="1" x14ac:dyDescent="0.3">
      <c r="A343" s="113" t="s">
        <v>988</v>
      </c>
      <c r="B343" s="107">
        <v>45020</v>
      </c>
      <c r="C343" s="25" t="s">
        <v>970</v>
      </c>
      <c r="D343" s="25" t="s">
        <v>1122</v>
      </c>
      <c r="E343" s="38"/>
      <c r="F343" s="132">
        <v>4012</v>
      </c>
      <c r="G343" s="50"/>
      <c r="H343" s="107">
        <v>45020</v>
      </c>
      <c r="I343" s="141">
        <v>2</v>
      </c>
      <c r="J343" s="104">
        <v>4012</v>
      </c>
      <c r="K343" s="108">
        <f t="shared" si="30"/>
        <v>8024</v>
      </c>
      <c r="L343" s="103">
        <f>2+2</f>
        <v>4</v>
      </c>
      <c r="M343" s="141">
        <f t="shared" si="28"/>
        <v>-2</v>
      </c>
      <c r="N343" s="103"/>
      <c r="O343" s="103" t="s">
        <v>946</v>
      </c>
      <c r="P343" s="137">
        <f t="shared" si="26"/>
        <v>-8024</v>
      </c>
    </row>
    <row r="344" spans="1:16" s="92" customFormat="1" x14ac:dyDescent="0.3">
      <c r="A344" s="113" t="s">
        <v>989</v>
      </c>
      <c r="B344" s="107">
        <v>44903</v>
      </c>
      <c r="C344" s="25" t="s">
        <v>971</v>
      </c>
      <c r="D344" s="25" t="s">
        <v>1122</v>
      </c>
      <c r="E344" s="38"/>
      <c r="F344" s="132">
        <v>118.15</v>
      </c>
      <c r="G344" s="50"/>
      <c r="H344" s="107">
        <v>44903</v>
      </c>
      <c r="I344" s="141">
        <f>2*12</f>
        <v>24</v>
      </c>
      <c r="J344" s="104">
        <v>118.15</v>
      </c>
      <c r="K344" s="108">
        <f t="shared" si="30"/>
        <v>2835.6000000000004</v>
      </c>
      <c r="L344" s="103">
        <f>3+3</f>
        <v>6</v>
      </c>
      <c r="M344" s="141">
        <f t="shared" si="28"/>
        <v>18</v>
      </c>
      <c r="N344" s="103"/>
      <c r="O344" s="103" t="s">
        <v>946</v>
      </c>
      <c r="P344" s="137">
        <f t="shared" si="26"/>
        <v>2126.7000000000003</v>
      </c>
    </row>
    <row r="345" spans="1:16" s="92" customFormat="1" ht="32.25" x14ac:dyDescent="0.3">
      <c r="A345" s="113" t="s">
        <v>990</v>
      </c>
      <c r="B345" s="107">
        <v>44851</v>
      </c>
      <c r="C345" s="123" t="s">
        <v>996</v>
      </c>
      <c r="D345" s="25" t="s">
        <v>1122</v>
      </c>
      <c r="E345" s="38"/>
      <c r="F345" s="132">
        <v>240.72</v>
      </c>
      <c r="G345" s="50"/>
      <c r="H345" s="107">
        <v>44851</v>
      </c>
      <c r="I345" s="141">
        <v>30</v>
      </c>
      <c r="J345" s="104">
        <v>240.72</v>
      </c>
      <c r="K345" s="108">
        <f t="shared" si="30"/>
        <v>7221.6</v>
      </c>
      <c r="L345" s="103"/>
      <c r="M345" s="141">
        <f t="shared" si="28"/>
        <v>30</v>
      </c>
      <c r="N345" s="121" t="s">
        <v>1006</v>
      </c>
      <c r="O345" s="103" t="s">
        <v>946</v>
      </c>
      <c r="P345" s="137">
        <f t="shared" ref="P345:P408" si="31">+F345*M345</f>
        <v>7221.6</v>
      </c>
    </row>
    <row r="346" spans="1:16" s="92" customFormat="1" ht="32.25" x14ac:dyDescent="0.3">
      <c r="A346" s="113" t="s">
        <v>991</v>
      </c>
      <c r="B346" s="107">
        <v>44851</v>
      </c>
      <c r="C346" s="25" t="s">
        <v>997</v>
      </c>
      <c r="D346" s="25" t="s">
        <v>1122</v>
      </c>
      <c r="E346" s="38"/>
      <c r="F346" s="132">
        <v>40.119999999999997</v>
      </c>
      <c r="G346" s="50"/>
      <c r="H346" s="107">
        <v>44851</v>
      </c>
      <c r="I346" s="141">
        <v>10</v>
      </c>
      <c r="J346" s="104">
        <v>40.119999999999997</v>
      </c>
      <c r="K346" s="108">
        <f>+I346*J346</f>
        <v>401.2</v>
      </c>
      <c r="L346" s="103"/>
      <c r="M346" s="141">
        <f t="shared" si="28"/>
        <v>10</v>
      </c>
      <c r="N346" s="121" t="s">
        <v>1006</v>
      </c>
      <c r="O346" s="103" t="s">
        <v>946</v>
      </c>
      <c r="P346" s="137">
        <f t="shared" si="31"/>
        <v>401.2</v>
      </c>
    </row>
    <row r="347" spans="1:16" s="92" customFormat="1" ht="32.25" x14ac:dyDescent="0.3">
      <c r="A347" s="113" t="s">
        <v>992</v>
      </c>
      <c r="B347" s="107">
        <v>44851</v>
      </c>
      <c r="C347" s="25" t="s">
        <v>998</v>
      </c>
      <c r="D347" s="25" t="s">
        <v>1122</v>
      </c>
      <c r="E347" s="38"/>
      <c r="F347" s="132">
        <v>141.6</v>
      </c>
      <c r="G347" s="50"/>
      <c r="H347" s="107">
        <v>44851</v>
      </c>
      <c r="I347" s="141">
        <v>25</v>
      </c>
      <c r="J347" s="104">
        <v>141.6</v>
      </c>
      <c r="K347" s="108">
        <f t="shared" ref="K347:K365" si="32">+I347*J347</f>
        <v>3540</v>
      </c>
      <c r="L347" s="103"/>
      <c r="M347" s="141">
        <f t="shared" si="28"/>
        <v>25</v>
      </c>
      <c r="N347" s="121" t="s">
        <v>1006</v>
      </c>
      <c r="O347" s="103" t="s">
        <v>946</v>
      </c>
      <c r="P347" s="137">
        <f t="shared" si="31"/>
        <v>3540</v>
      </c>
    </row>
    <row r="348" spans="1:16" s="92" customFormat="1" ht="32.25" x14ac:dyDescent="0.3">
      <c r="A348" s="113" t="s">
        <v>993</v>
      </c>
      <c r="B348" s="107">
        <v>44851</v>
      </c>
      <c r="C348" s="25" t="s">
        <v>999</v>
      </c>
      <c r="D348" s="25" t="s">
        <v>1122</v>
      </c>
      <c r="E348" s="38"/>
      <c r="F348" s="132">
        <v>1443.73</v>
      </c>
      <c r="G348" s="50"/>
      <c r="H348" s="107">
        <v>44851</v>
      </c>
      <c r="I348" s="141">
        <v>4</v>
      </c>
      <c r="J348" s="104">
        <v>1443.73</v>
      </c>
      <c r="K348" s="104">
        <f t="shared" si="32"/>
        <v>5774.92</v>
      </c>
      <c r="L348" s="103"/>
      <c r="M348" s="141">
        <f t="shared" si="28"/>
        <v>4</v>
      </c>
      <c r="N348" s="121" t="s">
        <v>1006</v>
      </c>
      <c r="O348" s="103" t="s">
        <v>946</v>
      </c>
      <c r="P348" s="137">
        <f t="shared" si="31"/>
        <v>5774.92</v>
      </c>
    </row>
    <row r="349" spans="1:16" s="92" customFormat="1" ht="32.25" x14ac:dyDescent="0.3">
      <c r="A349" s="113" t="s">
        <v>1015</v>
      </c>
      <c r="B349" s="107">
        <v>44851</v>
      </c>
      <c r="C349" s="25" t="s">
        <v>1000</v>
      </c>
      <c r="D349" s="25" t="s">
        <v>1122</v>
      </c>
      <c r="E349" s="38"/>
      <c r="F349" s="132">
        <v>1177.05</v>
      </c>
      <c r="G349" s="50"/>
      <c r="H349" s="107">
        <v>44851</v>
      </c>
      <c r="I349" s="141">
        <v>10</v>
      </c>
      <c r="J349" s="104">
        <v>1177.05</v>
      </c>
      <c r="K349" s="104">
        <f t="shared" si="32"/>
        <v>11770.5</v>
      </c>
      <c r="L349" s="103"/>
      <c r="M349" s="141">
        <f t="shared" si="28"/>
        <v>10</v>
      </c>
      <c r="N349" s="121" t="s">
        <v>1006</v>
      </c>
      <c r="O349" s="103" t="s">
        <v>946</v>
      </c>
      <c r="P349" s="137">
        <f t="shared" si="31"/>
        <v>11770.5</v>
      </c>
    </row>
    <row r="350" spans="1:16" s="92" customFormat="1" ht="32.25" x14ac:dyDescent="0.3">
      <c r="A350" s="113" t="s">
        <v>1016</v>
      </c>
      <c r="B350" s="107">
        <v>44851</v>
      </c>
      <c r="C350" s="25" t="s">
        <v>1001</v>
      </c>
      <c r="D350" s="25" t="s">
        <v>1122</v>
      </c>
      <c r="E350" s="38"/>
      <c r="F350" s="132">
        <v>1330.45</v>
      </c>
      <c r="G350" s="50"/>
      <c r="H350" s="107">
        <v>44851</v>
      </c>
      <c r="I350" s="141">
        <v>4</v>
      </c>
      <c r="J350" s="104">
        <v>1330.45</v>
      </c>
      <c r="K350" s="104">
        <f t="shared" si="32"/>
        <v>5321.8</v>
      </c>
      <c r="L350" s="103"/>
      <c r="M350" s="141">
        <f t="shared" si="28"/>
        <v>4</v>
      </c>
      <c r="N350" s="121" t="s">
        <v>1006</v>
      </c>
      <c r="O350" s="103" t="s">
        <v>946</v>
      </c>
      <c r="P350" s="137">
        <f t="shared" si="31"/>
        <v>5321.8</v>
      </c>
    </row>
    <row r="351" spans="1:16" s="92" customFormat="1" ht="32.25" x14ac:dyDescent="0.3">
      <c r="A351" s="113" t="s">
        <v>1017</v>
      </c>
      <c r="B351" s="107">
        <v>44851</v>
      </c>
      <c r="C351" s="25" t="s">
        <v>1002</v>
      </c>
      <c r="D351" s="25" t="s">
        <v>1122</v>
      </c>
      <c r="E351" s="38"/>
      <c r="F351" s="132">
        <v>676.14</v>
      </c>
      <c r="G351" s="50"/>
      <c r="H351" s="107">
        <v>44851</v>
      </c>
      <c r="I351" s="141">
        <v>4</v>
      </c>
      <c r="J351" s="104">
        <v>676.14</v>
      </c>
      <c r="K351" s="104">
        <f t="shared" si="32"/>
        <v>2704.56</v>
      </c>
      <c r="L351" s="103"/>
      <c r="M351" s="141">
        <f t="shared" si="28"/>
        <v>4</v>
      </c>
      <c r="N351" s="121" t="s">
        <v>1006</v>
      </c>
      <c r="O351" s="103" t="s">
        <v>946</v>
      </c>
      <c r="P351" s="137">
        <f t="shared" si="31"/>
        <v>2704.56</v>
      </c>
    </row>
    <row r="352" spans="1:16" s="92" customFormat="1" ht="32.25" x14ac:dyDescent="0.3">
      <c r="A352" s="113" t="s">
        <v>1018</v>
      </c>
      <c r="B352" s="107">
        <v>44851</v>
      </c>
      <c r="C352" s="25" t="s">
        <v>1003</v>
      </c>
      <c r="D352" s="25" t="s">
        <v>1122</v>
      </c>
      <c r="E352" s="38"/>
      <c r="F352" s="132">
        <v>693.84</v>
      </c>
      <c r="G352" s="50"/>
      <c r="H352" s="107">
        <v>44851</v>
      </c>
      <c r="I352" s="141">
        <v>4</v>
      </c>
      <c r="J352" s="104">
        <v>693.84</v>
      </c>
      <c r="K352" s="104">
        <f t="shared" si="32"/>
        <v>2775.36</v>
      </c>
      <c r="L352" s="103"/>
      <c r="M352" s="141">
        <f t="shared" si="28"/>
        <v>4</v>
      </c>
      <c r="N352" s="121" t="s">
        <v>1006</v>
      </c>
      <c r="O352" s="103" t="s">
        <v>946</v>
      </c>
      <c r="P352" s="137">
        <f t="shared" si="31"/>
        <v>2775.36</v>
      </c>
    </row>
    <row r="353" spans="1:16" customFormat="1" ht="31.5" x14ac:dyDescent="0.25">
      <c r="A353" s="113" t="s">
        <v>1019</v>
      </c>
      <c r="B353" s="107">
        <v>44851</v>
      </c>
      <c r="C353" s="25" t="s">
        <v>1004</v>
      </c>
      <c r="D353" s="25" t="s">
        <v>1122</v>
      </c>
      <c r="E353" s="38"/>
      <c r="F353" s="132">
        <v>1632.53</v>
      </c>
      <c r="G353" s="50"/>
      <c r="H353" s="107">
        <v>44851</v>
      </c>
      <c r="I353" s="141">
        <v>4</v>
      </c>
      <c r="J353" s="104">
        <v>1632.53</v>
      </c>
      <c r="K353" s="104">
        <f t="shared" si="32"/>
        <v>6530.12</v>
      </c>
      <c r="L353" s="117"/>
      <c r="M353" s="141">
        <f t="shared" si="28"/>
        <v>4</v>
      </c>
      <c r="N353" s="121" t="s">
        <v>1006</v>
      </c>
      <c r="O353" s="117" t="s">
        <v>946</v>
      </c>
      <c r="P353" s="137">
        <f t="shared" si="31"/>
        <v>6530.12</v>
      </c>
    </row>
    <row r="354" spans="1:16" s="2" customFormat="1" ht="31.5" x14ac:dyDescent="0.25">
      <c r="A354" s="113" t="s">
        <v>1020</v>
      </c>
      <c r="B354" s="107">
        <v>44851</v>
      </c>
      <c r="C354" s="25" t="s">
        <v>1005</v>
      </c>
      <c r="D354" s="25" t="s">
        <v>1122</v>
      </c>
      <c r="E354" s="38"/>
      <c r="F354" s="132">
        <v>3268.6</v>
      </c>
      <c r="G354" s="50"/>
      <c r="H354" s="107">
        <v>44851</v>
      </c>
      <c r="I354" s="141">
        <v>1</v>
      </c>
      <c r="J354" s="104">
        <v>3268.6</v>
      </c>
      <c r="K354" s="104">
        <f t="shared" si="32"/>
        <v>3268.6</v>
      </c>
      <c r="L354" s="117"/>
      <c r="M354" s="141">
        <f t="shared" si="28"/>
        <v>1</v>
      </c>
      <c r="N354" s="121" t="s">
        <v>1006</v>
      </c>
      <c r="O354" s="117" t="s">
        <v>946</v>
      </c>
      <c r="P354" s="137">
        <f t="shared" si="31"/>
        <v>3268.6</v>
      </c>
    </row>
    <row r="355" spans="1:16" ht="32.25" x14ac:dyDescent="0.3">
      <c r="A355" s="113" t="s">
        <v>1021</v>
      </c>
      <c r="B355" s="107">
        <v>44851</v>
      </c>
      <c r="C355" s="25" t="s">
        <v>1007</v>
      </c>
      <c r="D355" s="25" t="s">
        <v>1122</v>
      </c>
      <c r="E355" s="38"/>
      <c r="F355" s="132">
        <v>3908.16</v>
      </c>
      <c r="G355" s="50"/>
      <c r="H355" s="107">
        <v>44851</v>
      </c>
      <c r="I355" s="141">
        <v>15</v>
      </c>
      <c r="J355" s="104">
        <v>3908.16</v>
      </c>
      <c r="K355" s="104">
        <f t="shared" si="32"/>
        <v>58622.399999999994</v>
      </c>
      <c r="L355" s="117"/>
      <c r="M355" s="141">
        <f t="shared" si="28"/>
        <v>15</v>
      </c>
      <c r="N355" s="121" t="s">
        <v>1006</v>
      </c>
      <c r="O355" s="117" t="s">
        <v>946</v>
      </c>
      <c r="P355" s="137">
        <f t="shared" si="31"/>
        <v>58622.399999999994</v>
      </c>
    </row>
    <row r="356" spans="1:16" ht="23.25" customHeight="1" x14ac:dyDescent="0.3">
      <c r="A356" s="113" t="s">
        <v>1022</v>
      </c>
      <c r="B356" s="107">
        <v>44851</v>
      </c>
      <c r="C356" s="25" t="s">
        <v>1008</v>
      </c>
      <c r="D356" s="25" t="s">
        <v>1122</v>
      </c>
      <c r="E356" s="38"/>
      <c r="F356" s="132">
        <v>1711</v>
      </c>
      <c r="G356" s="50"/>
      <c r="H356" s="107">
        <v>44851</v>
      </c>
      <c r="I356" s="141">
        <v>20</v>
      </c>
      <c r="J356" s="104">
        <v>1711</v>
      </c>
      <c r="K356" s="104">
        <f t="shared" si="32"/>
        <v>34220</v>
      </c>
      <c r="L356" s="117">
        <v>1</v>
      </c>
      <c r="M356" s="141">
        <f t="shared" si="28"/>
        <v>19</v>
      </c>
      <c r="N356" s="121" t="s">
        <v>1006</v>
      </c>
      <c r="O356" s="117" t="s">
        <v>946</v>
      </c>
      <c r="P356" s="137">
        <f t="shared" si="31"/>
        <v>32509</v>
      </c>
    </row>
    <row r="357" spans="1:16" ht="32.25" x14ac:dyDescent="0.3">
      <c r="A357" s="113" t="s">
        <v>1023</v>
      </c>
      <c r="B357" s="107">
        <v>44851</v>
      </c>
      <c r="C357" s="25" t="s">
        <v>1009</v>
      </c>
      <c r="D357" s="25" t="s">
        <v>1122</v>
      </c>
      <c r="E357" s="38"/>
      <c r="F357" s="132">
        <v>1165.8399999999999</v>
      </c>
      <c r="G357" s="50"/>
      <c r="H357" s="107">
        <v>44851</v>
      </c>
      <c r="I357" s="141">
        <v>5</v>
      </c>
      <c r="J357" s="104">
        <v>1165.8399999999999</v>
      </c>
      <c r="K357" s="104">
        <f t="shared" si="32"/>
        <v>5829.2</v>
      </c>
      <c r="L357" s="117"/>
      <c r="M357" s="141">
        <f t="shared" si="28"/>
        <v>5</v>
      </c>
      <c r="N357" s="121" t="s">
        <v>1006</v>
      </c>
      <c r="O357" s="117" t="s">
        <v>946</v>
      </c>
      <c r="P357" s="137">
        <f t="shared" si="31"/>
        <v>5829.2</v>
      </c>
    </row>
    <row r="358" spans="1:16" ht="23.25" customHeight="1" x14ac:dyDescent="0.3">
      <c r="A358" s="113" t="s">
        <v>1024</v>
      </c>
      <c r="B358" s="107">
        <v>44851</v>
      </c>
      <c r="C358" s="25" t="s">
        <v>1010</v>
      </c>
      <c r="D358" s="25" t="s">
        <v>1122</v>
      </c>
      <c r="E358" s="38"/>
      <c r="F358" s="132">
        <v>4399.04</v>
      </c>
      <c r="G358" s="50"/>
      <c r="H358" s="107">
        <v>44851</v>
      </c>
      <c r="I358" s="141">
        <v>5</v>
      </c>
      <c r="J358" s="104">
        <v>4399.04</v>
      </c>
      <c r="K358" s="104">
        <f t="shared" si="32"/>
        <v>21995.200000000001</v>
      </c>
      <c r="L358" s="117"/>
      <c r="M358" s="141">
        <f t="shared" si="28"/>
        <v>5</v>
      </c>
      <c r="N358" s="121" t="s">
        <v>1006</v>
      </c>
      <c r="O358" s="117" t="s">
        <v>946</v>
      </c>
      <c r="P358" s="137">
        <f t="shared" si="31"/>
        <v>21995.200000000001</v>
      </c>
    </row>
    <row r="359" spans="1:16" ht="32.25" x14ac:dyDescent="0.3">
      <c r="A359" s="113" t="s">
        <v>1025</v>
      </c>
      <c r="B359" s="107">
        <v>44851</v>
      </c>
      <c r="C359" s="25" t="s">
        <v>1011</v>
      </c>
      <c r="D359" s="25" t="s">
        <v>1122</v>
      </c>
      <c r="E359" s="38"/>
      <c r="F359" s="132">
        <v>4399.04</v>
      </c>
      <c r="G359" s="50"/>
      <c r="H359" s="107">
        <v>44851</v>
      </c>
      <c r="I359" s="145">
        <v>5</v>
      </c>
      <c r="J359" s="118">
        <v>4399.04</v>
      </c>
      <c r="K359" s="118">
        <f t="shared" si="32"/>
        <v>21995.200000000001</v>
      </c>
      <c r="L359" s="117"/>
      <c r="M359" s="141">
        <f t="shared" si="28"/>
        <v>5</v>
      </c>
      <c r="N359" s="121" t="s">
        <v>1006</v>
      </c>
      <c r="O359" s="117" t="s">
        <v>946</v>
      </c>
      <c r="P359" s="137">
        <f t="shared" si="31"/>
        <v>21995.200000000001</v>
      </c>
    </row>
    <row r="360" spans="1:16" ht="32.25" x14ac:dyDescent="0.3">
      <c r="A360" s="113" t="s">
        <v>1026</v>
      </c>
      <c r="B360" s="107">
        <v>44851</v>
      </c>
      <c r="C360" s="25" t="s">
        <v>1012</v>
      </c>
      <c r="D360" s="25" t="s">
        <v>1122</v>
      </c>
      <c r="E360" s="38"/>
      <c r="F360" s="132">
        <v>4399.04</v>
      </c>
      <c r="G360" s="50"/>
      <c r="H360" s="107">
        <v>44851</v>
      </c>
      <c r="I360" s="145">
        <v>5</v>
      </c>
      <c r="J360" s="118">
        <v>4399.04</v>
      </c>
      <c r="K360" s="118">
        <f t="shared" si="32"/>
        <v>21995.200000000001</v>
      </c>
      <c r="L360" s="117"/>
      <c r="M360" s="141">
        <f t="shared" si="28"/>
        <v>5</v>
      </c>
      <c r="N360" s="121" t="s">
        <v>1006</v>
      </c>
      <c r="O360" s="117" t="s">
        <v>946</v>
      </c>
      <c r="P360" s="137">
        <f t="shared" si="31"/>
        <v>21995.200000000001</v>
      </c>
    </row>
    <row r="361" spans="1:16" ht="32.25" x14ac:dyDescent="0.3">
      <c r="A361" s="113" t="s">
        <v>1027</v>
      </c>
      <c r="B361" s="107">
        <v>44851</v>
      </c>
      <c r="C361" s="25" t="s">
        <v>1013</v>
      </c>
      <c r="D361" s="25" t="s">
        <v>1122</v>
      </c>
      <c r="E361" s="38"/>
      <c r="F361" s="132">
        <v>1869.12</v>
      </c>
      <c r="G361" s="50"/>
      <c r="H361" s="107">
        <v>44851</v>
      </c>
      <c r="I361" s="145">
        <v>12</v>
      </c>
      <c r="J361" s="118">
        <v>1869.12</v>
      </c>
      <c r="K361" s="118">
        <f t="shared" si="32"/>
        <v>22429.439999999999</v>
      </c>
      <c r="L361" s="117"/>
      <c r="M361" s="141">
        <f t="shared" si="28"/>
        <v>12</v>
      </c>
      <c r="N361" s="121" t="s">
        <v>1006</v>
      </c>
      <c r="O361" s="117" t="s">
        <v>946</v>
      </c>
      <c r="P361" s="137">
        <f t="shared" si="31"/>
        <v>22429.439999999999</v>
      </c>
    </row>
    <row r="362" spans="1:16" ht="32.25" x14ac:dyDescent="0.3">
      <c r="A362" s="113" t="s">
        <v>1028</v>
      </c>
      <c r="B362" s="107">
        <v>44851</v>
      </c>
      <c r="C362" s="25" t="s">
        <v>1014</v>
      </c>
      <c r="D362" s="25" t="s">
        <v>1122</v>
      </c>
      <c r="E362" s="38"/>
      <c r="F362" s="132">
        <v>41.3</v>
      </c>
      <c r="G362" s="50"/>
      <c r="H362" s="107">
        <v>44851</v>
      </c>
      <c r="I362" s="145">
        <v>30</v>
      </c>
      <c r="J362" s="118">
        <v>41.3</v>
      </c>
      <c r="K362" s="118">
        <f t="shared" si="32"/>
        <v>1239</v>
      </c>
      <c r="L362" s="117"/>
      <c r="M362" s="141">
        <f t="shared" si="28"/>
        <v>30</v>
      </c>
      <c r="N362" s="121" t="s">
        <v>1006</v>
      </c>
      <c r="O362" s="117" t="s">
        <v>946</v>
      </c>
      <c r="P362" s="137">
        <f t="shared" si="31"/>
        <v>1239</v>
      </c>
    </row>
    <row r="363" spans="1:16" s="105" customFormat="1" ht="15.75" x14ac:dyDescent="0.25">
      <c r="A363" s="113" t="s">
        <v>1029</v>
      </c>
      <c r="B363" s="107">
        <v>44852</v>
      </c>
      <c r="C363" s="25" t="s">
        <v>1038</v>
      </c>
      <c r="D363" s="25" t="s">
        <v>1122</v>
      </c>
      <c r="E363" s="38"/>
      <c r="F363" s="132">
        <v>18.77</v>
      </c>
      <c r="G363" s="50"/>
      <c r="H363" s="107">
        <v>44852</v>
      </c>
      <c r="I363" s="141">
        <v>10</v>
      </c>
      <c r="J363" s="104">
        <v>18.77</v>
      </c>
      <c r="K363" s="104">
        <f t="shared" si="32"/>
        <v>187.7</v>
      </c>
      <c r="L363" s="103"/>
      <c r="M363" s="141">
        <f t="shared" si="28"/>
        <v>10</v>
      </c>
      <c r="N363" s="121" t="s">
        <v>1037</v>
      </c>
      <c r="O363" s="103" t="s">
        <v>947</v>
      </c>
      <c r="P363" s="137">
        <f t="shared" si="31"/>
        <v>187.7</v>
      </c>
    </row>
    <row r="364" spans="1:16" s="105" customFormat="1" ht="15.75" x14ac:dyDescent="0.25">
      <c r="A364" s="113" t="s">
        <v>1030</v>
      </c>
      <c r="B364" s="107">
        <v>44852</v>
      </c>
      <c r="C364" s="25" t="s">
        <v>1041</v>
      </c>
      <c r="D364" s="25" t="s">
        <v>1122</v>
      </c>
      <c r="E364" s="38"/>
      <c r="F364" s="132">
        <v>44.55</v>
      </c>
      <c r="G364" s="50"/>
      <c r="H364" s="107">
        <v>44852</v>
      </c>
      <c r="I364" s="141">
        <v>40</v>
      </c>
      <c r="J364" s="104">
        <v>44.55</v>
      </c>
      <c r="K364" s="104">
        <f t="shared" si="32"/>
        <v>1782</v>
      </c>
      <c r="L364" s="103">
        <v>4</v>
      </c>
      <c r="M364" s="141">
        <f t="shared" si="28"/>
        <v>36</v>
      </c>
      <c r="N364" s="121" t="s">
        <v>1037</v>
      </c>
      <c r="O364" s="103" t="s">
        <v>947</v>
      </c>
      <c r="P364" s="137">
        <f t="shared" si="31"/>
        <v>1603.8</v>
      </c>
    </row>
    <row r="365" spans="1:16" s="105" customFormat="1" ht="15.75" x14ac:dyDescent="0.25">
      <c r="A365" s="113" t="s">
        <v>1031</v>
      </c>
      <c r="B365" s="107">
        <v>44851</v>
      </c>
      <c r="C365" s="25" t="s">
        <v>1042</v>
      </c>
      <c r="D365" s="25" t="s">
        <v>1122</v>
      </c>
      <c r="E365" s="38"/>
      <c r="F365" s="132">
        <v>650</v>
      </c>
      <c r="G365" s="50"/>
      <c r="H365" s="107">
        <v>44851</v>
      </c>
      <c r="I365" s="141">
        <v>2</v>
      </c>
      <c r="J365" s="104">
        <v>650</v>
      </c>
      <c r="K365" s="104">
        <f t="shared" si="32"/>
        <v>1300</v>
      </c>
      <c r="L365" s="103"/>
      <c r="M365" s="141">
        <f t="shared" si="28"/>
        <v>2</v>
      </c>
      <c r="N365" s="121" t="s">
        <v>1037</v>
      </c>
      <c r="O365" s="103" t="s">
        <v>947</v>
      </c>
      <c r="P365" s="137">
        <f t="shared" si="31"/>
        <v>1300</v>
      </c>
    </row>
    <row r="366" spans="1:16" s="105" customFormat="1" ht="15.75" x14ac:dyDescent="0.25">
      <c r="A366" s="113" t="s">
        <v>1032</v>
      </c>
      <c r="B366" s="107">
        <v>44852</v>
      </c>
      <c r="C366" s="25" t="s">
        <v>1043</v>
      </c>
      <c r="D366" s="25" t="s">
        <v>1122</v>
      </c>
      <c r="E366" s="38"/>
      <c r="F366" s="132">
        <v>27</v>
      </c>
      <c r="G366" s="50"/>
      <c r="H366" s="107">
        <v>44852</v>
      </c>
      <c r="I366" s="141">
        <f>10*12</f>
        <v>120</v>
      </c>
      <c r="J366" s="104">
        <v>27</v>
      </c>
      <c r="K366" s="104">
        <f>+J366*I366</f>
        <v>3240</v>
      </c>
      <c r="L366" s="103"/>
      <c r="M366" s="141">
        <f t="shared" si="28"/>
        <v>120</v>
      </c>
      <c r="N366" s="121" t="s">
        <v>1037</v>
      </c>
      <c r="O366" s="103" t="s">
        <v>947</v>
      </c>
      <c r="P366" s="137">
        <f t="shared" si="31"/>
        <v>3240</v>
      </c>
    </row>
    <row r="367" spans="1:16" s="105" customFormat="1" ht="15.75" x14ac:dyDescent="0.25">
      <c r="A367" s="113" t="s">
        <v>1033</v>
      </c>
      <c r="B367" s="107">
        <v>44852</v>
      </c>
      <c r="C367" s="25" t="s">
        <v>1044</v>
      </c>
      <c r="D367" s="25" t="s">
        <v>1122</v>
      </c>
      <c r="E367" s="38"/>
      <c r="F367" s="132">
        <v>45.89</v>
      </c>
      <c r="G367" s="50"/>
      <c r="H367" s="107">
        <v>44852</v>
      </c>
      <c r="I367" s="141">
        <v>120</v>
      </c>
      <c r="J367" s="104">
        <v>45.89</v>
      </c>
      <c r="K367" s="104">
        <f>+J367*I367</f>
        <v>5506.8</v>
      </c>
      <c r="L367" s="103"/>
      <c r="M367" s="141">
        <f t="shared" si="28"/>
        <v>120</v>
      </c>
      <c r="N367" s="121" t="s">
        <v>1037</v>
      </c>
      <c r="O367" s="103" t="s">
        <v>947</v>
      </c>
      <c r="P367" s="137">
        <f t="shared" si="31"/>
        <v>5506.8</v>
      </c>
    </row>
    <row r="368" spans="1:16" s="105" customFormat="1" ht="15.75" x14ac:dyDescent="0.25">
      <c r="A368" s="113" t="s">
        <v>1034</v>
      </c>
      <c r="B368" s="107">
        <v>44852</v>
      </c>
      <c r="C368" s="25" t="s">
        <v>1045</v>
      </c>
      <c r="D368" s="25" t="s">
        <v>1122</v>
      </c>
      <c r="E368" s="38"/>
      <c r="F368" s="132">
        <v>51.33</v>
      </c>
      <c r="G368" s="50"/>
      <c r="H368" s="107">
        <v>44852</v>
      </c>
      <c r="I368" s="141">
        <v>120</v>
      </c>
      <c r="J368" s="104">
        <v>51.33</v>
      </c>
      <c r="K368" s="104">
        <f t="shared" ref="K368:K383" si="33">+J368*I368</f>
        <v>6159.5999999999995</v>
      </c>
      <c r="L368" s="103"/>
      <c r="M368" s="141">
        <f t="shared" ref="M368:M422" si="34">+E368+I368-L368</f>
        <v>120</v>
      </c>
      <c r="N368" s="121" t="s">
        <v>1037</v>
      </c>
      <c r="O368" s="103" t="s">
        <v>947</v>
      </c>
      <c r="P368" s="137">
        <f t="shared" si="31"/>
        <v>6159.5999999999995</v>
      </c>
    </row>
    <row r="369" spans="1:16" s="105" customFormat="1" ht="15.75" x14ac:dyDescent="0.25">
      <c r="A369" s="113" t="s">
        <v>1057</v>
      </c>
      <c r="B369" s="107">
        <v>44852</v>
      </c>
      <c r="C369" s="25" t="s">
        <v>1046</v>
      </c>
      <c r="D369" s="25" t="s">
        <v>1122</v>
      </c>
      <c r="E369" s="38"/>
      <c r="F369" s="132">
        <v>127.65</v>
      </c>
      <c r="G369" s="50"/>
      <c r="H369" s="107">
        <v>44852</v>
      </c>
      <c r="I369" s="141">
        <v>120</v>
      </c>
      <c r="J369" s="104">
        <v>127.65</v>
      </c>
      <c r="K369" s="104">
        <f t="shared" si="33"/>
        <v>15318</v>
      </c>
      <c r="L369" s="103"/>
      <c r="M369" s="141">
        <f t="shared" si="34"/>
        <v>120</v>
      </c>
      <c r="N369" s="121" t="s">
        <v>1037</v>
      </c>
      <c r="O369" s="103" t="s">
        <v>947</v>
      </c>
      <c r="P369" s="137">
        <f t="shared" si="31"/>
        <v>15318</v>
      </c>
    </row>
    <row r="370" spans="1:16" s="105" customFormat="1" ht="15.75" x14ac:dyDescent="0.25">
      <c r="A370" s="113" t="s">
        <v>1058</v>
      </c>
      <c r="B370" s="107">
        <v>44852</v>
      </c>
      <c r="C370" s="25" t="s">
        <v>1047</v>
      </c>
      <c r="D370" s="25" t="s">
        <v>1122</v>
      </c>
      <c r="E370" s="38"/>
      <c r="F370" s="132">
        <v>5442.16</v>
      </c>
      <c r="G370" s="50"/>
      <c r="H370" s="107">
        <v>44852</v>
      </c>
      <c r="I370" s="141">
        <v>5</v>
      </c>
      <c r="J370" s="104">
        <v>5442.16</v>
      </c>
      <c r="K370" s="104">
        <f t="shared" si="33"/>
        <v>27210.799999999999</v>
      </c>
      <c r="L370" s="103"/>
      <c r="M370" s="141">
        <f t="shared" si="34"/>
        <v>5</v>
      </c>
      <c r="N370" s="121" t="s">
        <v>1037</v>
      </c>
      <c r="O370" s="103" t="s">
        <v>947</v>
      </c>
      <c r="P370" s="137">
        <f t="shared" si="31"/>
        <v>27210.799999999999</v>
      </c>
    </row>
    <row r="371" spans="1:16" s="105" customFormat="1" ht="15.75" x14ac:dyDescent="0.25">
      <c r="A371" s="113" t="s">
        <v>1059</v>
      </c>
      <c r="B371" s="107">
        <v>44852</v>
      </c>
      <c r="C371" s="25" t="s">
        <v>1048</v>
      </c>
      <c r="D371" s="25" t="s">
        <v>1122</v>
      </c>
      <c r="E371" s="38"/>
      <c r="F371" s="132">
        <v>5330</v>
      </c>
      <c r="G371" s="50"/>
      <c r="H371" s="107">
        <v>44852</v>
      </c>
      <c r="I371" s="141">
        <v>1</v>
      </c>
      <c r="J371" s="104">
        <v>5330</v>
      </c>
      <c r="K371" s="104">
        <f t="shared" si="33"/>
        <v>5330</v>
      </c>
      <c r="L371" s="103">
        <v>1</v>
      </c>
      <c r="M371" s="141">
        <f t="shared" si="34"/>
        <v>0</v>
      </c>
      <c r="N371" s="121" t="s">
        <v>1037</v>
      </c>
      <c r="O371" s="103" t="s">
        <v>947</v>
      </c>
      <c r="P371" s="137">
        <f t="shared" si="31"/>
        <v>0</v>
      </c>
    </row>
    <row r="372" spans="1:16" s="105" customFormat="1" ht="15.75" x14ac:dyDescent="0.25">
      <c r="A372" s="113" t="s">
        <v>1060</v>
      </c>
      <c r="B372" s="107">
        <v>44852</v>
      </c>
      <c r="C372" s="25" t="s">
        <v>1049</v>
      </c>
      <c r="D372" s="25" t="s">
        <v>1122</v>
      </c>
      <c r="E372" s="38"/>
      <c r="F372" s="132">
        <v>678.24</v>
      </c>
      <c r="G372" s="50"/>
      <c r="H372" s="107">
        <v>44852</v>
      </c>
      <c r="I372" s="141">
        <v>5</v>
      </c>
      <c r="J372" s="104">
        <v>678.24</v>
      </c>
      <c r="K372" s="104">
        <f t="shared" si="33"/>
        <v>3391.2</v>
      </c>
      <c r="L372" s="103"/>
      <c r="M372" s="141">
        <f t="shared" si="34"/>
        <v>5</v>
      </c>
      <c r="N372" s="121" t="s">
        <v>1037</v>
      </c>
      <c r="O372" s="103" t="s">
        <v>947</v>
      </c>
      <c r="P372" s="137">
        <f t="shared" si="31"/>
        <v>3391.2</v>
      </c>
    </row>
    <row r="373" spans="1:16" s="105" customFormat="1" ht="15.75" x14ac:dyDescent="0.25">
      <c r="A373" s="113" t="s">
        <v>1061</v>
      </c>
      <c r="B373" s="107">
        <v>44852</v>
      </c>
      <c r="C373" s="25" t="s">
        <v>1050</v>
      </c>
      <c r="D373" s="25" t="s">
        <v>1122</v>
      </c>
      <c r="E373" s="38"/>
      <c r="F373" s="132">
        <v>678.24</v>
      </c>
      <c r="G373" s="50"/>
      <c r="H373" s="107">
        <v>44852</v>
      </c>
      <c r="I373" s="141">
        <v>5</v>
      </c>
      <c r="J373" s="104">
        <v>678.24</v>
      </c>
      <c r="K373" s="104">
        <f t="shared" si="33"/>
        <v>3391.2</v>
      </c>
      <c r="L373" s="103"/>
      <c r="M373" s="141">
        <f t="shared" si="34"/>
        <v>5</v>
      </c>
      <c r="N373" s="121" t="s">
        <v>1037</v>
      </c>
      <c r="O373" s="103" t="s">
        <v>947</v>
      </c>
      <c r="P373" s="137">
        <f t="shared" si="31"/>
        <v>3391.2</v>
      </c>
    </row>
    <row r="374" spans="1:16" s="105" customFormat="1" ht="15.75" x14ac:dyDescent="0.25">
      <c r="A374" s="113" t="s">
        <v>1062</v>
      </c>
      <c r="B374" s="107">
        <v>44852</v>
      </c>
      <c r="C374" s="25" t="s">
        <v>1051</v>
      </c>
      <c r="D374" s="25" t="s">
        <v>1122</v>
      </c>
      <c r="E374" s="38"/>
      <c r="F374" s="132">
        <v>511</v>
      </c>
      <c r="G374" s="50"/>
      <c r="H374" s="107">
        <v>44852</v>
      </c>
      <c r="I374" s="141">
        <v>3</v>
      </c>
      <c r="J374" s="104">
        <v>511</v>
      </c>
      <c r="K374" s="104">
        <f t="shared" si="33"/>
        <v>1533</v>
      </c>
      <c r="L374" s="103">
        <v>1</v>
      </c>
      <c r="M374" s="141">
        <f t="shared" si="34"/>
        <v>2</v>
      </c>
      <c r="N374" s="121" t="s">
        <v>1037</v>
      </c>
      <c r="O374" s="103" t="s">
        <v>947</v>
      </c>
      <c r="P374" s="137">
        <f t="shared" si="31"/>
        <v>1022</v>
      </c>
    </row>
    <row r="375" spans="1:16" s="105" customFormat="1" ht="15.75" x14ac:dyDescent="0.25">
      <c r="A375" s="113" t="s">
        <v>1063</v>
      </c>
      <c r="B375" s="107">
        <v>44852</v>
      </c>
      <c r="C375" s="25" t="s">
        <v>1052</v>
      </c>
      <c r="D375" s="25" t="s">
        <v>1122</v>
      </c>
      <c r="E375" s="38"/>
      <c r="F375" s="132">
        <v>511</v>
      </c>
      <c r="G375" s="50"/>
      <c r="H375" s="107">
        <v>44852</v>
      </c>
      <c r="I375" s="141">
        <v>3</v>
      </c>
      <c r="J375" s="104">
        <v>511</v>
      </c>
      <c r="K375" s="104">
        <f t="shared" si="33"/>
        <v>1533</v>
      </c>
      <c r="L375" s="103"/>
      <c r="M375" s="141">
        <f t="shared" si="34"/>
        <v>3</v>
      </c>
      <c r="N375" s="121" t="s">
        <v>1037</v>
      </c>
      <c r="O375" s="103" t="s">
        <v>947</v>
      </c>
      <c r="P375" s="137">
        <f t="shared" si="31"/>
        <v>1533</v>
      </c>
    </row>
    <row r="376" spans="1:16" s="105" customFormat="1" ht="15.75" x14ac:dyDescent="0.25">
      <c r="A376" s="113" t="s">
        <v>1064</v>
      </c>
      <c r="B376" s="107">
        <v>44852</v>
      </c>
      <c r="C376" s="25" t="s">
        <v>1053</v>
      </c>
      <c r="D376" s="25" t="s">
        <v>1122</v>
      </c>
      <c r="E376" s="38"/>
      <c r="F376" s="132">
        <v>511</v>
      </c>
      <c r="G376" s="50"/>
      <c r="H376" s="107">
        <v>44852</v>
      </c>
      <c r="I376" s="141">
        <v>3</v>
      </c>
      <c r="J376" s="104">
        <v>511</v>
      </c>
      <c r="K376" s="104">
        <f t="shared" si="33"/>
        <v>1533</v>
      </c>
      <c r="L376" s="103"/>
      <c r="M376" s="141">
        <f t="shared" si="34"/>
        <v>3</v>
      </c>
      <c r="N376" s="121" t="s">
        <v>1037</v>
      </c>
      <c r="O376" s="103" t="s">
        <v>947</v>
      </c>
      <c r="P376" s="137">
        <f t="shared" si="31"/>
        <v>1533</v>
      </c>
    </row>
    <row r="377" spans="1:16" s="105" customFormat="1" ht="15.75" x14ac:dyDescent="0.25">
      <c r="A377" s="113" t="s">
        <v>1065</v>
      </c>
      <c r="B377" s="107">
        <v>44852</v>
      </c>
      <c r="C377" s="25" t="s">
        <v>1054</v>
      </c>
      <c r="D377" s="25" t="s">
        <v>1122</v>
      </c>
      <c r="E377" s="38"/>
      <c r="F377" s="132">
        <v>511</v>
      </c>
      <c r="G377" s="50"/>
      <c r="H377" s="107">
        <v>44852</v>
      </c>
      <c r="I377" s="141">
        <v>3</v>
      </c>
      <c r="J377" s="104">
        <v>511</v>
      </c>
      <c r="K377" s="104">
        <f t="shared" si="33"/>
        <v>1533</v>
      </c>
      <c r="L377" s="103"/>
      <c r="M377" s="141">
        <f t="shared" si="34"/>
        <v>3</v>
      </c>
      <c r="N377" s="121" t="s">
        <v>1037</v>
      </c>
      <c r="O377" s="103" t="s">
        <v>947</v>
      </c>
      <c r="P377" s="137">
        <f t="shared" si="31"/>
        <v>1533</v>
      </c>
    </row>
    <row r="378" spans="1:16" s="105" customFormat="1" ht="15.75" x14ac:dyDescent="0.25">
      <c r="A378" s="113" t="s">
        <v>1066</v>
      </c>
      <c r="B378" s="107">
        <v>44852</v>
      </c>
      <c r="C378" s="25" t="s">
        <v>1055</v>
      </c>
      <c r="D378" s="25" t="s">
        <v>1122</v>
      </c>
      <c r="E378" s="38"/>
      <c r="F378" s="132">
        <v>3.32</v>
      </c>
      <c r="G378" s="50"/>
      <c r="H378" s="107">
        <v>44852</v>
      </c>
      <c r="I378" s="141">
        <v>20</v>
      </c>
      <c r="J378" s="104">
        <v>3.32</v>
      </c>
      <c r="K378" s="104">
        <f t="shared" si="33"/>
        <v>66.399999999999991</v>
      </c>
      <c r="L378" s="103"/>
      <c r="M378" s="141">
        <f t="shared" si="34"/>
        <v>20</v>
      </c>
      <c r="N378" s="121" t="s">
        <v>1037</v>
      </c>
      <c r="O378" s="103" t="s">
        <v>947</v>
      </c>
      <c r="P378" s="137">
        <f t="shared" si="31"/>
        <v>66.399999999999991</v>
      </c>
    </row>
    <row r="379" spans="1:16" s="105" customFormat="1" ht="15.75" x14ac:dyDescent="0.25">
      <c r="A379" s="113" t="s">
        <v>1067</v>
      </c>
      <c r="B379" s="107">
        <v>44852</v>
      </c>
      <c r="C379" s="25" t="s">
        <v>1056</v>
      </c>
      <c r="D379" s="25" t="s">
        <v>1122</v>
      </c>
      <c r="E379" s="38"/>
      <c r="F379" s="132">
        <v>64.900000000000006</v>
      </c>
      <c r="G379" s="50"/>
      <c r="H379" s="107">
        <v>44852</v>
      </c>
      <c r="I379" s="141">
        <v>5</v>
      </c>
      <c r="J379" s="104">
        <v>64.900000000000006</v>
      </c>
      <c r="K379" s="104">
        <f t="shared" si="33"/>
        <v>324.5</v>
      </c>
      <c r="L379" s="103"/>
      <c r="M379" s="141">
        <f t="shared" si="34"/>
        <v>5</v>
      </c>
      <c r="N379" s="121" t="s">
        <v>1037</v>
      </c>
      <c r="O379" s="103" t="s">
        <v>947</v>
      </c>
      <c r="P379" s="137">
        <f t="shared" si="31"/>
        <v>324.5</v>
      </c>
    </row>
    <row r="380" spans="1:16" s="105" customFormat="1" ht="15.75" x14ac:dyDescent="0.25">
      <c r="A380" s="113" t="s">
        <v>1067</v>
      </c>
      <c r="B380" s="107">
        <v>44852</v>
      </c>
      <c r="C380" s="25" t="s">
        <v>1056</v>
      </c>
      <c r="D380" s="25" t="s">
        <v>1122</v>
      </c>
      <c r="E380" s="38"/>
      <c r="F380" s="132">
        <v>64.900000000000006</v>
      </c>
      <c r="G380" s="50"/>
      <c r="H380" s="107">
        <v>44852</v>
      </c>
      <c r="I380" s="141">
        <v>5</v>
      </c>
      <c r="J380" s="104">
        <v>64.900000000000006</v>
      </c>
      <c r="K380" s="104">
        <f t="shared" si="33"/>
        <v>324.5</v>
      </c>
      <c r="L380" s="103"/>
      <c r="M380" s="141">
        <f t="shared" si="34"/>
        <v>5</v>
      </c>
      <c r="N380" s="121" t="s">
        <v>1037</v>
      </c>
      <c r="O380" s="103" t="s">
        <v>947</v>
      </c>
      <c r="P380" s="137">
        <f t="shared" si="31"/>
        <v>324.5</v>
      </c>
    </row>
    <row r="381" spans="1:16" s="105" customFormat="1" ht="15.75" x14ac:dyDescent="0.25">
      <c r="A381" s="113" t="s">
        <v>1068</v>
      </c>
      <c r="B381" s="107">
        <v>44865</v>
      </c>
      <c r="C381" s="25" t="s">
        <v>1077</v>
      </c>
      <c r="D381" s="25" t="s">
        <v>1122</v>
      </c>
      <c r="E381" s="38"/>
      <c r="F381" s="132">
        <v>8720.2000000000007</v>
      </c>
      <c r="G381" s="50"/>
      <c r="H381" s="107">
        <v>44865</v>
      </c>
      <c r="I381" s="141">
        <v>6</v>
      </c>
      <c r="J381" s="104">
        <v>8720.2000000000007</v>
      </c>
      <c r="K381" s="104">
        <f t="shared" si="33"/>
        <v>52321.200000000004</v>
      </c>
      <c r="L381" s="103"/>
      <c r="M381" s="141">
        <f t="shared" si="34"/>
        <v>6</v>
      </c>
      <c r="N381" s="121" t="s">
        <v>1078</v>
      </c>
      <c r="O381" s="103" t="s">
        <v>947</v>
      </c>
      <c r="P381" s="137">
        <f t="shared" si="31"/>
        <v>52321.200000000004</v>
      </c>
    </row>
    <row r="382" spans="1:16" s="105" customFormat="1" ht="15.75" x14ac:dyDescent="0.25">
      <c r="A382" s="113" t="s">
        <v>1073</v>
      </c>
      <c r="B382" s="107">
        <v>44865</v>
      </c>
      <c r="C382" s="25" t="s">
        <v>1079</v>
      </c>
      <c r="D382" s="25" t="s">
        <v>1122</v>
      </c>
      <c r="E382" s="38"/>
      <c r="F382" s="132">
        <v>7729</v>
      </c>
      <c r="G382" s="50"/>
      <c r="H382" s="107">
        <v>44865</v>
      </c>
      <c r="I382" s="141">
        <v>5</v>
      </c>
      <c r="J382" s="104">
        <v>7729</v>
      </c>
      <c r="K382" s="104">
        <f t="shared" si="33"/>
        <v>38645</v>
      </c>
      <c r="L382" s="103"/>
      <c r="M382" s="141">
        <f t="shared" si="34"/>
        <v>5</v>
      </c>
      <c r="N382" s="121" t="s">
        <v>1078</v>
      </c>
      <c r="O382" s="103" t="s">
        <v>947</v>
      </c>
      <c r="P382" s="137">
        <f t="shared" si="31"/>
        <v>38645</v>
      </c>
    </row>
    <row r="383" spans="1:16" s="105" customFormat="1" ht="15.75" x14ac:dyDescent="0.25">
      <c r="A383" s="113" t="s">
        <v>1074</v>
      </c>
      <c r="B383" s="107">
        <v>44865</v>
      </c>
      <c r="C383" s="25" t="s">
        <v>1080</v>
      </c>
      <c r="D383" s="25" t="s">
        <v>1122</v>
      </c>
      <c r="E383" s="38"/>
      <c r="F383" s="132">
        <v>4897</v>
      </c>
      <c r="G383" s="50"/>
      <c r="H383" s="107">
        <v>44865</v>
      </c>
      <c r="I383" s="141">
        <v>10</v>
      </c>
      <c r="J383" s="104">
        <v>4897</v>
      </c>
      <c r="K383" s="104">
        <f t="shared" si="33"/>
        <v>48970</v>
      </c>
      <c r="L383" s="103"/>
      <c r="M383" s="141">
        <f t="shared" si="34"/>
        <v>10</v>
      </c>
      <c r="N383" s="121" t="s">
        <v>1078</v>
      </c>
      <c r="O383" s="103" t="s">
        <v>947</v>
      </c>
      <c r="P383" s="137">
        <f t="shared" si="31"/>
        <v>48970</v>
      </c>
    </row>
    <row r="384" spans="1:16" s="105" customFormat="1" ht="15.75" x14ac:dyDescent="0.25">
      <c r="A384" s="113" t="s">
        <v>1075</v>
      </c>
      <c r="B384" s="107">
        <v>44879</v>
      </c>
      <c r="C384" s="25" t="s">
        <v>1072</v>
      </c>
      <c r="D384" s="25" t="s">
        <v>1122</v>
      </c>
      <c r="E384" s="38"/>
      <c r="F384" s="132">
        <v>3717</v>
      </c>
      <c r="G384" s="50"/>
      <c r="H384" s="107">
        <v>44879</v>
      </c>
      <c r="I384" s="141">
        <v>10</v>
      </c>
      <c r="J384" s="104">
        <v>3717</v>
      </c>
      <c r="K384" s="104">
        <f>+J384*I384</f>
        <v>37170</v>
      </c>
      <c r="L384" s="103"/>
      <c r="M384" s="141">
        <f t="shared" si="34"/>
        <v>10</v>
      </c>
      <c r="N384" s="121"/>
      <c r="O384" s="103" t="s">
        <v>946</v>
      </c>
      <c r="P384" s="137">
        <f t="shared" si="31"/>
        <v>37170</v>
      </c>
    </row>
    <row r="385" spans="1:16" s="105" customFormat="1" ht="15.75" x14ac:dyDescent="0.25">
      <c r="A385" s="113" t="s">
        <v>1076</v>
      </c>
      <c r="B385" s="102"/>
      <c r="C385" s="25" t="s">
        <v>1070</v>
      </c>
      <c r="D385" s="25" t="s">
        <v>1122</v>
      </c>
      <c r="E385" s="38"/>
      <c r="F385" s="132"/>
      <c r="G385" s="50"/>
      <c r="H385" s="107"/>
      <c r="I385" s="141"/>
      <c r="J385" s="104"/>
      <c r="K385" s="104"/>
      <c r="L385" s="103">
        <v>1</v>
      </c>
      <c r="M385" s="141">
        <f t="shared" si="34"/>
        <v>-1</v>
      </c>
      <c r="N385" s="121"/>
      <c r="O385" s="103" t="s">
        <v>947</v>
      </c>
      <c r="P385" s="137">
        <f t="shared" si="31"/>
        <v>0</v>
      </c>
    </row>
    <row r="386" spans="1:16" s="105" customFormat="1" ht="15.75" x14ac:dyDescent="0.25">
      <c r="A386" s="113" t="s">
        <v>1081</v>
      </c>
      <c r="B386" s="102"/>
      <c r="C386" s="25" t="s">
        <v>1071</v>
      </c>
      <c r="D386" s="25" t="s">
        <v>1122</v>
      </c>
      <c r="E386" s="38"/>
      <c r="F386" s="132"/>
      <c r="G386" s="50"/>
      <c r="H386" s="107"/>
      <c r="I386" s="141"/>
      <c r="J386" s="104"/>
      <c r="K386" s="104"/>
      <c r="L386" s="103">
        <v>1</v>
      </c>
      <c r="M386" s="141">
        <f t="shared" si="34"/>
        <v>-1</v>
      </c>
      <c r="N386" s="121"/>
      <c r="O386" s="103" t="s">
        <v>947</v>
      </c>
      <c r="P386" s="137">
        <f t="shared" si="31"/>
        <v>0</v>
      </c>
    </row>
    <row r="387" spans="1:16" s="105" customFormat="1" ht="15.75" x14ac:dyDescent="0.25">
      <c r="A387" s="113" t="s">
        <v>1082</v>
      </c>
      <c r="B387" s="102"/>
      <c r="C387" s="25" t="s">
        <v>1069</v>
      </c>
      <c r="D387" s="25" t="s">
        <v>1122</v>
      </c>
      <c r="E387" s="38"/>
      <c r="F387" s="132"/>
      <c r="G387" s="50"/>
      <c r="H387" s="107"/>
      <c r="I387" s="141"/>
      <c r="J387" s="104"/>
      <c r="K387" s="104"/>
      <c r="L387" s="103">
        <v>1</v>
      </c>
      <c r="M387" s="141">
        <f t="shared" si="34"/>
        <v>-1</v>
      </c>
      <c r="N387" s="121"/>
      <c r="O387" s="103" t="s">
        <v>946</v>
      </c>
      <c r="P387" s="137">
        <f t="shared" si="31"/>
        <v>0</v>
      </c>
    </row>
    <row r="388" spans="1:16" s="105" customFormat="1" ht="31.5" x14ac:dyDescent="0.25">
      <c r="A388" s="113" t="s">
        <v>1083</v>
      </c>
      <c r="B388" s="107">
        <v>44903</v>
      </c>
      <c r="C388" s="25" t="s">
        <v>1084</v>
      </c>
      <c r="D388" s="25" t="s">
        <v>1122</v>
      </c>
      <c r="E388" s="38"/>
      <c r="F388" s="132">
        <v>81.13</v>
      </c>
      <c r="G388" s="50"/>
      <c r="H388" s="107">
        <v>44903</v>
      </c>
      <c r="I388" s="141">
        <f>25*12</f>
        <v>300</v>
      </c>
      <c r="J388" s="104">
        <v>81.13</v>
      </c>
      <c r="K388" s="104">
        <f>+J388*I388</f>
        <v>24339</v>
      </c>
      <c r="L388" s="103">
        <f>8+2+24+36+24</f>
        <v>94</v>
      </c>
      <c r="M388" s="141">
        <f t="shared" si="34"/>
        <v>206</v>
      </c>
      <c r="N388" s="121" t="s">
        <v>1006</v>
      </c>
      <c r="O388" s="103" t="s">
        <v>945</v>
      </c>
      <c r="P388" s="137">
        <f t="shared" si="31"/>
        <v>16712.78</v>
      </c>
    </row>
    <row r="389" spans="1:16" s="105" customFormat="1" ht="31.5" x14ac:dyDescent="0.25">
      <c r="A389" s="113" t="s">
        <v>1099</v>
      </c>
      <c r="B389" s="107">
        <v>44903</v>
      </c>
      <c r="C389" s="25" t="s">
        <v>1085</v>
      </c>
      <c r="D389" s="25" t="s">
        <v>1122</v>
      </c>
      <c r="E389" s="38"/>
      <c r="F389" s="132">
        <v>81.13</v>
      </c>
      <c r="G389" s="50"/>
      <c r="H389" s="107">
        <v>44903</v>
      </c>
      <c r="I389" s="141">
        <f>40*6</f>
        <v>240</v>
      </c>
      <c r="J389" s="104">
        <v>81.13</v>
      </c>
      <c r="K389" s="104">
        <f t="shared" ref="K389:K424" si="35">+J389*I389</f>
        <v>19471.199999999997</v>
      </c>
      <c r="L389" s="103">
        <f>4+4+8+8</f>
        <v>24</v>
      </c>
      <c r="M389" s="141">
        <f t="shared" si="34"/>
        <v>216</v>
      </c>
      <c r="N389" s="121" t="s">
        <v>1006</v>
      </c>
      <c r="O389" s="103" t="s">
        <v>945</v>
      </c>
      <c r="P389" s="137">
        <f t="shared" si="31"/>
        <v>17524.079999999998</v>
      </c>
    </row>
    <row r="390" spans="1:16" s="105" customFormat="1" ht="15.75" x14ac:dyDescent="0.25">
      <c r="A390" s="113" t="s">
        <v>1100</v>
      </c>
      <c r="B390" s="107">
        <v>45019</v>
      </c>
      <c r="C390" s="25" t="s">
        <v>1086</v>
      </c>
      <c r="D390" s="25" t="s">
        <v>1122</v>
      </c>
      <c r="E390" s="38"/>
      <c r="F390" s="132">
        <v>454.3</v>
      </c>
      <c r="G390" s="50"/>
      <c r="H390" s="107"/>
      <c r="I390" s="141">
        <f>80+15</f>
        <v>95</v>
      </c>
      <c r="J390" s="104">
        <v>454.3</v>
      </c>
      <c r="K390" s="104">
        <f t="shared" si="35"/>
        <v>43158.5</v>
      </c>
      <c r="L390" s="103">
        <f>8+4+2</f>
        <v>14</v>
      </c>
      <c r="M390" s="141">
        <f t="shared" si="34"/>
        <v>81</v>
      </c>
      <c r="N390" s="121"/>
      <c r="O390" s="103" t="s">
        <v>945</v>
      </c>
      <c r="P390" s="137">
        <f t="shared" si="31"/>
        <v>36798.300000000003</v>
      </c>
    </row>
    <row r="391" spans="1:16" s="105" customFormat="1" ht="31.5" x14ac:dyDescent="0.25">
      <c r="A391" s="113" t="s">
        <v>1101</v>
      </c>
      <c r="B391" s="107">
        <v>44903</v>
      </c>
      <c r="C391" s="25" t="s">
        <v>1087</v>
      </c>
      <c r="D391" s="25" t="s">
        <v>1122</v>
      </c>
      <c r="E391" s="38"/>
      <c r="F391" s="132">
        <v>116.53</v>
      </c>
      <c r="G391" s="50"/>
      <c r="H391" s="107">
        <v>44903</v>
      </c>
      <c r="I391" s="141">
        <f>20*4</f>
        <v>80</v>
      </c>
      <c r="J391" s="104">
        <v>116.53</v>
      </c>
      <c r="K391" s="104">
        <f t="shared" si="35"/>
        <v>9322.4</v>
      </c>
      <c r="L391" s="103">
        <f>9+1+2+4+1</f>
        <v>17</v>
      </c>
      <c r="M391" s="141">
        <f t="shared" si="34"/>
        <v>63</v>
      </c>
      <c r="N391" s="121" t="s">
        <v>1006</v>
      </c>
      <c r="O391" s="103" t="s">
        <v>945</v>
      </c>
      <c r="P391" s="137">
        <f t="shared" si="31"/>
        <v>7341.39</v>
      </c>
    </row>
    <row r="392" spans="1:16" s="105" customFormat="1" ht="31.5" x14ac:dyDescent="0.25">
      <c r="A392" s="113" t="s">
        <v>1102</v>
      </c>
      <c r="B392" s="107">
        <v>44903</v>
      </c>
      <c r="C392" s="25" t="s">
        <v>1088</v>
      </c>
      <c r="D392" s="25" t="s">
        <v>1122</v>
      </c>
      <c r="E392" s="38"/>
      <c r="F392" s="132">
        <v>101.33</v>
      </c>
      <c r="G392" s="50"/>
      <c r="H392" s="107">
        <v>44903</v>
      </c>
      <c r="I392" s="141">
        <f>2*12</f>
        <v>24</v>
      </c>
      <c r="J392" s="104">
        <v>101.33</v>
      </c>
      <c r="K392" s="104">
        <f t="shared" si="35"/>
        <v>2431.92</v>
      </c>
      <c r="L392" s="103"/>
      <c r="M392" s="141">
        <f t="shared" si="34"/>
        <v>24</v>
      </c>
      <c r="N392" s="121" t="s">
        <v>1006</v>
      </c>
      <c r="O392" s="103" t="s">
        <v>945</v>
      </c>
      <c r="P392" s="137">
        <f t="shared" si="31"/>
        <v>2431.92</v>
      </c>
    </row>
    <row r="393" spans="1:16" s="105" customFormat="1" ht="31.5" x14ac:dyDescent="0.25">
      <c r="A393" s="113" t="s">
        <v>1103</v>
      </c>
      <c r="B393" s="107">
        <v>44903</v>
      </c>
      <c r="C393" s="25" t="s">
        <v>1089</v>
      </c>
      <c r="D393" s="25" t="s">
        <v>1122</v>
      </c>
      <c r="E393" s="38"/>
      <c r="F393" s="132">
        <v>101.33</v>
      </c>
      <c r="G393" s="50"/>
      <c r="H393" s="107">
        <v>44903</v>
      </c>
      <c r="I393" s="141">
        <f>2*12</f>
        <v>24</v>
      </c>
      <c r="J393" s="104">
        <v>101.33</v>
      </c>
      <c r="K393" s="104">
        <f t="shared" si="35"/>
        <v>2431.92</v>
      </c>
      <c r="L393" s="103"/>
      <c r="M393" s="141">
        <f t="shared" si="34"/>
        <v>24</v>
      </c>
      <c r="N393" s="121" t="s">
        <v>1006</v>
      </c>
      <c r="O393" s="103" t="s">
        <v>945</v>
      </c>
      <c r="P393" s="137">
        <f t="shared" si="31"/>
        <v>2431.92</v>
      </c>
    </row>
    <row r="394" spans="1:16" s="105" customFormat="1" ht="31.5" x14ac:dyDescent="0.25">
      <c r="A394" s="113" t="s">
        <v>1104</v>
      </c>
      <c r="B394" s="107">
        <v>44903</v>
      </c>
      <c r="C394" s="25" t="s">
        <v>1090</v>
      </c>
      <c r="D394" s="25" t="s">
        <v>1122</v>
      </c>
      <c r="E394" s="38"/>
      <c r="F394" s="132">
        <v>79.010000000000005</v>
      </c>
      <c r="G394" s="50"/>
      <c r="H394" s="107">
        <v>44903</v>
      </c>
      <c r="I394" s="141">
        <v>24</v>
      </c>
      <c r="J394" s="104">
        <v>79.010000000000005</v>
      </c>
      <c r="K394" s="104">
        <f t="shared" si="35"/>
        <v>1896.2400000000002</v>
      </c>
      <c r="L394" s="103"/>
      <c r="M394" s="141">
        <f t="shared" si="34"/>
        <v>24</v>
      </c>
      <c r="N394" s="121" t="s">
        <v>1006</v>
      </c>
      <c r="O394" s="103" t="s">
        <v>945</v>
      </c>
      <c r="P394" s="137">
        <f t="shared" si="31"/>
        <v>1896.2400000000002</v>
      </c>
    </row>
    <row r="395" spans="1:16" s="105" customFormat="1" ht="31.5" x14ac:dyDescent="0.25">
      <c r="A395" s="113" t="s">
        <v>1105</v>
      </c>
      <c r="B395" s="107">
        <v>44903</v>
      </c>
      <c r="C395" s="25" t="s">
        <v>1091</v>
      </c>
      <c r="D395" s="25" t="s">
        <v>1122</v>
      </c>
      <c r="E395" s="38"/>
      <c r="F395" s="132">
        <v>67.7</v>
      </c>
      <c r="G395" s="50"/>
      <c r="H395" s="107">
        <v>44903</v>
      </c>
      <c r="I395" s="141">
        <v>24</v>
      </c>
      <c r="J395" s="104">
        <v>67.7</v>
      </c>
      <c r="K395" s="104">
        <f t="shared" si="35"/>
        <v>1624.8000000000002</v>
      </c>
      <c r="L395" s="103"/>
      <c r="M395" s="141">
        <f t="shared" si="34"/>
        <v>24</v>
      </c>
      <c r="N395" s="121" t="s">
        <v>1006</v>
      </c>
      <c r="O395" s="103" t="s">
        <v>945</v>
      </c>
      <c r="P395" s="137">
        <f t="shared" si="31"/>
        <v>1624.8000000000002</v>
      </c>
    </row>
    <row r="396" spans="1:16" s="105" customFormat="1" ht="31.5" x14ac:dyDescent="0.25">
      <c r="A396" s="113" t="s">
        <v>1106</v>
      </c>
      <c r="B396" s="107">
        <v>44903</v>
      </c>
      <c r="C396" s="25" t="s">
        <v>1092</v>
      </c>
      <c r="D396" s="25" t="s">
        <v>1122</v>
      </c>
      <c r="E396" s="38"/>
      <c r="F396" s="132">
        <v>195.83</v>
      </c>
      <c r="G396" s="50"/>
      <c r="H396" s="107">
        <v>44903</v>
      </c>
      <c r="I396" s="141">
        <v>24</v>
      </c>
      <c r="J396" s="104">
        <v>195.83</v>
      </c>
      <c r="K396" s="104">
        <f t="shared" si="35"/>
        <v>4699.92</v>
      </c>
      <c r="L396" s="103"/>
      <c r="M396" s="141">
        <f t="shared" si="34"/>
        <v>24</v>
      </c>
      <c r="N396" s="121" t="s">
        <v>1006</v>
      </c>
      <c r="O396" s="103" t="s">
        <v>945</v>
      </c>
      <c r="P396" s="137">
        <f t="shared" si="31"/>
        <v>4699.92</v>
      </c>
    </row>
    <row r="397" spans="1:16" s="105" customFormat="1" ht="31.5" x14ac:dyDescent="0.25">
      <c r="A397" s="113" t="s">
        <v>1107</v>
      </c>
      <c r="B397" s="107">
        <v>44903</v>
      </c>
      <c r="C397" s="25" t="s">
        <v>1093</v>
      </c>
      <c r="D397" s="25" t="s">
        <v>1122</v>
      </c>
      <c r="E397" s="38"/>
      <c r="F397" s="132">
        <v>126.8</v>
      </c>
      <c r="G397" s="50"/>
      <c r="H397" s="107">
        <v>44903</v>
      </c>
      <c r="I397" s="141">
        <v>24</v>
      </c>
      <c r="J397" s="104">
        <v>126.8</v>
      </c>
      <c r="K397" s="104">
        <f t="shared" si="35"/>
        <v>3043.2</v>
      </c>
      <c r="L397" s="103"/>
      <c r="M397" s="141">
        <f t="shared" si="34"/>
        <v>24</v>
      </c>
      <c r="N397" s="121" t="s">
        <v>1006</v>
      </c>
      <c r="O397" s="103" t="s">
        <v>945</v>
      </c>
      <c r="P397" s="137">
        <f t="shared" si="31"/>
        <v>3043.2</v>
      </c>
    </row>
    <row r="398" spans="1:16" s="105" customFormat="1" ht="31.5" x14ac:dyDescent="0.25">
      <c r="A398" s="113" t="s">
        <v>1108</v>
      </c>
      <c r="B398" s="107">
        <v>44903</v>
      </c>
      <c r="C398" s="25" t="s">
        <v>1094</v>
      </c>
      <c r="D398" s="25" t="s">
        <v>1122</v>
      </c>
      <c r="E398" s="38"/>
      <c r="F398" s="132">
        <v>129.85</v>
      </c>
      <c r="G398" s="50"/>
      <c r="H398" s="107">
        <v>44903</v>
      </c>
      <c r="I398" s="141">
        <v>24</v>
      </c>
      <c r="J398" s="104">
        <v>129.85</v>
      </c>
      <c r="K398" s="104">
        <f t="shared" si="35"/>
        <v>3116.3999999999996</v>
      </c>
      <c r="L398" s="103"/>
      <c r="M398" s="141">
        <f t="shared" si="34"/>
        <v>24</v>
      </c>
      <c r="N398" s="121" t="s">
        <v>1006</v>
      </c>
      <c r="O398" s="103" t="s">
        <v>945</v>
      </c>
      <c r="P398" s="137">
        <f t="shared" si="31"/>
        <v>3116.3999999999996</v>
      </c>
    </row>
    <row r="399" spans="1:16" s="105" customFormat="1" ht="31.5" x14ac:dyDescent="0.25">
      <c r="A399" s="113" t="s">
        <v>1109</v>
      </c>
      <c r="B399" s="107">
        <v>44903</v>
      </c>
      <c r="C399" s="25" t="s">
        <v>1095</v>
      </c>
      <c r="D399" s="25" t="s">
        <v>1122</v>
      </c>
      <c r="E399" s="38"/>
      <c r="F399" s="132">
        <v>1606.5</v>
      </c>
      <c r="G399" s="50"/>
      <c r="H399" s="107">
        <v>44903</v>
      </c>
      <c r="I399" s="141">
        <v>4</v>
      </c>
      <c r="J399" s="104">
        <v>1606.5</v>
      </c>
      <c r="K399" s="104">
        <f t="shared" si="35"/>
        <v>6426</v>
      </c>
      <c r="L399" s="103"/>
      <c r="M399" s="141">
        <f t="shared" si="34"/>
        <v>4</v>
      </c>
      <c r="N399" s="121" t="s">
        <v>1006</v>
      </c>
      <c r="O399" s="103" t="s">
        <v>945</v>
      </c>
      <c r="P399" s="137">
        <f t="shared" si="31"/>
        <v>6426</v>
      </c>
    </row>
    <row r="400" spans="1:16" s="105" customFormat="1" ht="31.5" x14ac:dyDescent="0.25">
      <c r="A400" s="113" t="s">
        <v>1110</v>
      </c>
      <c r="B400" s="107">
        <v>44903</v>
      </c>
      <c r="C400" s="25" t="s">
        <v>1096</v>
      </c>
      <c r="D400" s="25" t="s">
        <v>1122</v>
      </c>
      <c r="E400" s="38"/>
      <c r="F400" s="132">
        <v>134.13</v>
      </c>
      <c r="G400" s="50"/>
      <c r="H400" s="107">
        <v>44903</v>
      </c>
      <c r="I400" s="141">
        <v>24</v>
      </c>
      <c r="J400" s="104">
        <v>134.13</v>
      </c>
      <c r="K400" s="104">
        <f t="shared" si="35"/>
        <v>3219.12</v>
      </c>
      <c r="L400" s="103"/>
      <c r="M400" s="141">
        <f t="shared" si="34"/>
        <v>24</v>
      </c>
      <c r="N400" s="121" t="s">
        <v>1006</v>
      </c>
      <c r="O400" s="103" t="s">
        <v>945</v>
      </c>
      <c r="P400" s="137">
        <f t="shared" si="31"/>
        <v>3219.12</v>
      </c>
    </row>
    <row r="401" spans="1:16" s="105" customFormat="1" ht="31.5" x14ac:dyDescent="0.25">
      <c r="A401" s="113" t="s">
        <v>1111</v>
      </c>
      <c r="B401" s="107">
        <v>44903</v>
      </c>
      <c r="C401" s="25" t="s">
        <v>1097</v>
      </c>
      <c r="D401" s="25" t="s">
        <v>1122</v>
      </c>
      <c r="E401" s="38"/>
      <c r="F401" s="132">
        <v>147.35</v>
      </c>
      <c r="G401" s="50"/>
      <c r="H401" s="107">
        <v>44903</v>
      </c>
      <c r="I401" s="141">
        <v>24</v>
      </c>
      <c r="J401" s="104">
        <v>147.35</v>
      </c>
      <c r="K401" s="104">
        <f t="shared" si="35"/>
        <v>3536.3999999999996</v>
      </c>
      <c r="L401" s="103"/>
      <c r="M401" s="141">
        <f t="shared" si="34"/>
        <v>24</v>
      </c>
      <c r="N401" s="121" t="s">
        <v>1006</v>
      </c>
      <c r="O401" s="103" t="s">
        <v>945</v>
      </c>
      <c r="P401" s="137">
        <f t="shared" si="31"/>
        <v>3536.3999999999996</v>
      </c>
    </row>
    <row r="402" spans="1:16" s="105" customFormat="1" ht="31.5" x14ac:dyDescent="0.25">
      <c r="A402" s="113" t="s">
        <v>1112</v>
      </c>
      <c r="B402" s="107">
        <v>44903</v>
      </c>
      <c r="C402" s="25" t="s">
        <v>1098</v>
      </c>
      <c r="D402" s="25" t="s">
        <v>1122</v>
      </c>
      <c r="E402" s="38"/>
      <c r="F402" s="132">
        <v>1100.5</v>
      </c>
      <c r="G402" s="50"/>
      <c r="H402" s="107">
        <v>44903</v>
      </c>
      <c r="I402" s="141">
        <v>2</v>
      </c>
      <c r="J402" s="104">
        <v>1100.5</v>
      </c>
      <c r="K402" s="104">
        <f t="shared" si="35"/>
        <v>2201</v>
      </c>
      <c r="L402" s="103"/>
      <c r="M402" s="141">
        <f t="shared" si="34"/>
        <v>2</v>
      </c>
      <c r="N402" s="121" t="s">
        <v>1006</v>
      </c>
      <c r="O402" s="103" t="s">
        <v>945</v>
      </c>
      <c r="P402" s="137">
        <f t="shared" si="31"/>
        <v>2201</v>
      </c>
    </row>
    <row r="403" spans="1:16" s="105" customFormat="1" ht="15.75" x14ac:dyDescent="0.25">
      <c r="A403" s="113" t="s">
        <v>1119</v>
      </c>
      <c r="B403" s="102"/>
      <c r="C403" s="25" t="s">
        <v>1114</v>
      </c>
      <c r="D403" s="25" t="s">
        <v>1122</v>
      </c>
      <c r="E403" s="38"/>
      <c r="F403" s="132"/>
      <c r="G403" s="50"/>
      <c r="H403" s="107"/>
      <c r="I403" s="141"/>
      <c r="J403" s="104"/>
      <c r="K403" s="104">
        <f t="shared" si="35"/>
        <v>0</v>
      </c>
      <c r="L403" s="103">
        <v>22</v>
      </c>
      <c r="M403" s="141">
        <f t="shared" si="34"/>
        <v>-22</v>
      </c>
      <c r="N403" s="121"/>
      <c r="O403" s="103" t="s">
        <v>946</v>
      </c>
      <c r="P403" s="137">
        <f t="shared" si="31"/>
        <v>0</v>
      </c>
    </row>
    <row r="404" spans="1:16" s="105" customFormat="1" ht="31.5" x14ac:dyDescent="0.25">
      <c r="A404" s="113" t="s">
        <v>1124</v>
      </c>
      <c r="B404" s="102">
        <v>45020</v>
      </c>
      <c r="C404" s="25" t="s">
        <v>1129</v>
      </c>
      <c r="D404" s="25" t="s">
        <v>1122</v>
      </c>
      <c r="E404" s="103">
        <v>50</v>
      </c>
      <c r="F404" s="132"/>
      <c r="G404" s="50"/>
      <c r="H404" s="107"/>
      <c r="I404" s="141"/>
      <c r="J404" s="104"/>
      <c r="K404" s="104">
        <f t="shared" si="35"/>
        <v>0</v>
      </c>
      <c r="L404" s="103"/>
      <c r="M404" s="141">
        <f t="shared" si="34"/>
        <v>50</v>
      </c>
      <c r="N404" s="121" t="s">
        <v>1132</v>
      </c>
      <c r="O404" s="103" t="s">
        <v>946</v>
      </c>
      <c r="P404" s="137">
        <f t="shared" si="31"/>
        <v>0</v>
      </c>
    </row>
    <row r="405" spans="1:16" s="105" customFormat="1" ht="31.5" x14ac:dyDescent="0.25">
      <c r="A405" s="113" t="s">
        <v>1125</v>
      </c>
      <c r="B405" s="102">
        <v>45020</v>
      </c>
      <c r="C405" s="25" t="s">
        <v>1130</v>
      </c>
      <c r="D405" s="25"/>
      <c r="E405" s="103"/>
      <c r="F405" s="132"/>
      <c r="G405" s="50"/>
      <c r="H405" s="107"/>
      <c r="I405" s="141"/>
      <c r="J405" s="104"/>
      <c r="K405" s="104">
        <f t="shared" si="35"/>
        <v>0</v>
      </c>
      <c r="L405" s="103"/>
      <c r="M405" s="141">
        <f t="shared" si="34"/>
        <v>0</v>
      </c>
      <c r="N405" s="121" t="s">
        <v>1132</v>
      </c>
      <c r="O405" s="103" t="s">
        <v>946</v>
      </c>
      <c r="P405" s="137">
        <f t="shared" si="31"/>
        <v>0</v>
      </c>
    </row>
    <row r="406" spans="1:16" s="105" customFormat="1" ht="31.5" x14ac:dyDescent="0.25">
      <c r="A406" s="113" t="s">
        <v>1126</v>
      </c>
      <c r="B406" s="102">
        <v>45020</v>
      </c>
      <c r="C406" s="25" t="s">
        <v>1131</v>
      </c>
      <c r="D406" s="25" t="s">
        <v>1122</v>
      </c>
      <c r="E406" s="103">
        <v>40</v>
      </c>
      <c r="F406" s="132">
        <v>17.7</v>
      </c>
      <c r="G406" s="50"/>
      <c r="H406" s="107"/>
      <c r="I406" s="141">
        <v>40</v>
      </c>
      <c r="J406" s="104">
        <v>17.7</v>
      </c>
      <c r="K406" s="104">
        <f t="shared" si="35"/>
        <v>708</v>
      </c>
      <c r="L406" s="103"/>
      <c r="M406" s="141">
        <f t="shared" si="34"/>
        <v>80</v>
      </c>
      <c r="N406" s="121" t="s">
        <v>1132</v>
      </c>
      <c r="O406" s="103" t="s">
        <v>946</v>
      </c>
      <c r="P406" s="137">
        <f t="shared" si="31"/>
        <v>1416</v>
      </c>
    </row>
    <row r="407" spans="1:16" s="105" customFormat="1" ht="15.75" x14ac:dyDescent="0.25">
      <c r="A407" s="113" t="s">
        <v>1127</v>
      </c>
      <c r="B407" s="102">
        <v>45020</v>
      </c>
      <c r="C407" s="25" t="s">
        <v>1133</v>
      </c>
      <c r="D407" s="25" t="s">
        <v>1122</v>
      </c>
      <c r="E407" s="103">
        <v>10</v>
      </c>
      <c r="F407" s="132">
        <v>206.61</v>
      </c>
      <c r="G407" s="50"/>
      <c r="H407" s="107"/>
      <c r="I407" s="141">
        <v>10</v>
      </c>
      <c r="J407" s="104">
        <v>206.61</v>
      </c>
      <c r="K407" s="104">
        <f t="shared" si="35"/>
        <v>2066.1000000000004</v>
      </c>
      <c r="L407" s="103"/>
      <c r="M407" s="141">
        <f t="shared" si="34"/>
        <v>20</v>
      </c>
      <c r="N407" s="121"/>
      <c r="O407" s="103" t="s">
        <v>946</v>
      </c>
      <c r="P407" s="137">
        <f t="shared" si="31"/>
        <v>4132.2000000000007</v>
      </c>
    </row>
    <row r="408" spans="1:16" s="105" customFormat="1" ht="15.75" x14ac:dyDescent="0.25">
      <c r="A408" s="113" t="s">
        <v>1128</v>
      </c>
      <c r="B408" s="102">
        <v>45020</v>
      </c>
      <c r="C408" s="25" t="s">
        <v>1134</v>
      </c>
      <c r="D408" s="25" t="s">
        <v>1122</v>
      </c>
      <c r="E408" s="103">
        <v>10</v>
      </c>
      <c r="F408" s="132">
        <v>377.6</v>
      </c>
      <c r="G408" s="50"/>
      <c r="H408" s="107"/>
      <c r="I408" s="141">
        <v>10</v>
      </c>
      <c r="J408" s="104">
        <v>377.6</v>
      </c>
      <c r="K408" s="104">
        <f t="shared" si="35"/>
        <v>3776</v>
      </c>
      <c r="L408" s="103"/>
      <c r="M408" s="141">
        <f t="shared" si="34"/>
        <v>20</v>
      </c>
      <c r="N408" s="121"/>
      <c r="O408" s="103" t="s">
        <v>946</v>
      </c>
      <c r="P408" s="137">
        <f t="shared" si="31"/>
        <v>7552</v>
      </c>
    </row>
    <row r="409" spans="1:16" s="105" customFormat="1" ht="15.75" x14ac:dyDescent="0.25">
      <c r="A409" s="113" t="s">
        <v>1151</v>
      </c>
      <c r="B409" s="102">
        <v>45020</v>
      </c>
      <c r="C409" s="25" t="s">
        <v>1135</v>
      </c>
      <c r="D409" s="25" t="s">
        <v>1122</v>
      </c>
      <c r="E409" s="103">
        <v>10</v>
      </c>
      <c r="F409" s="132">
        <v>2619.6</v>
      </c>
      <c r="G409" s="50"/>
      <c r="H409" s="107"/>
      <c r="I409" s="141">
        <v>10</v>
      </c>
      <c r="J409" s="104">
        <v>2619.6</v>
      </c>
      <c r="K409" s="104">
        <f t="shared" si="35"/>
        <v>26196</v>
      </c>
      <c r="L409" s="103"/>
      <c r="M409" s="141">
        <f t="shared" si="34"/>
        <v>20</v>
      </c>
      <c r="N409" s="121"/>
      <c r="O409" s="103" t="s">
        <v>946</v>
      </c>
      <c r="P409" s="137">
        <f t="shared" ref="P409:P439" si="36">+F409*M409</f>
        <v>52392</v>
      </c>
    </row>
    <row r="410" spans="1:16" s="105" customFormat="1" ht="15.75" x14ac:dyDescent="0.25">
      <c r="A410" s="113" t="s">
        <v>1152</v>
      </c>
      <c r="B410" s="102">
        <v>45020</v>
      </c>
      <c r="C410" s="25" t="s">
        <v>1136</v>
      </c>
      <c r="D410" s="25" t="s">
        <v>1122</v>
      </c>
      <c r="E410" s="103">
        <v>5</v>
      </c>
      <c r="F410" s="132">
        <v>354</v>
      </c>
      <c r="G410" s="50"/>
      <c r="H410" s="107"/>
      <c r="I410" s="141">
        <v>5</v>
      </c>
      <c r="J410" s="104">
        <v>354</v>
      </c>
      <c r="K410" s="104">
        <f t="shared" si="35"/>
        <v>1770</v>
      </c>
      <c r="L410" s="103"/>
      <c r="M410" s="141">
        <f t="shared" si="34"/>
        <v>10</v>
      </c>
      <c r="N410" s="121"/>
      <c r="O410" s="103" t="s">
        <v>946</v>
      </c>
      <c r="P410" s="137">
        <f t="shared" si="36"/>
        <v>3540</v>
      </c>
    </row>
    <row r="411" spans="1:16" s="105" customFormat="1" ht="15.75" x14ac:dyDescent="0.25">
      <c r="A411" s="113" t="s">
        <v>1153</v>
      </c>
      <c r="B411" s="102">
        <v>45020</v>
      </c>
      <c r="C411" s="25" t="s">
        <v>1137</v>
      </c>
      <c r="D411" s="25" t="s">
        <v>1122</v>
      </c>
      <c r="E411" s="103">
        <v>12</v>
      </c>
      <c r="F411" s="132">
        <v>1829</v>
      </c>
      <c r="G411" s="50"/>
      <c r="H411" s="107"/>
      <c r="I411" s="141">
        <v>12</v>
      </c>
      <c r="J411" s="104">
        <v>1829</v>
      </c>
      <c r="K411" s="104">
        <f t="shared" si="35"/>
        <v>21948</v>
      </c>
      <c r="L411" s="103"/>
      <c r="M411" s="141">
        <f t="shared" si="34"/>
        <v>24</v>
      </c>
      <c r="N411" s="121"/>
      <c r="O411" s="103" t="s">
        <v>946</v>
      </c>
      <c r="P411" s="137">
        <f t="shared" si="36"/>
        <v>43896</v>
      </c>
    </row>
    <row r="412" spans="1:16" s="105" customFormat="1" ht="15.75" x14ac:dyDescent="0.25">
      <c r="A412" s="113" t="s">
        <v>1154</v>
      </c>
      <c r="B412" s="102">
        <v>45020</v>
      </c>
      <c r="C412" s="25" t="s">
        <v>1138</v>
      </c>
      <c r="D412" s="25" t="s">
        <v>1122</v>
      </c>
      <c r="E412" s="103">
        <v>3</v>
      </c>
      <c r="F412" s="132">
        <v>4543</v>
      </c>
      <c r="G412" s="50"/>
      <c r="H412" s="107"/>
      <c r="I412" s="141">
        <v>3</v>
      </c>
      <c r="J412" s="104">
        <v>4543</v>
      </c>
      <c r="K412" s="104">
        <f t="shared" si="35"/>
        <v>13629</v>
      </c>
      <c r="L412" s="103"/>
      <c r="M412" s="141">
        <f t="shared" si="34"/>
        <v>6</v>
      </c>
      <c r="N412" s="121"/>
      <c r="O412" s="103" t="s">
        <v>946</v>
      </c>
      <c r="P412" s="137">
        <f t="shared" si="36"/>
        <v>27258</v>
      </c>
    </row>
    <row r="413" spans="1:16" s="105" customFormat="1" ht="15.75" x14ac:dyDescent="0.25">
      <c r="A413" s="113" t="s">
        <v>1155</v>
      </c>
      <c r="B413" s="102">
        <v>45020</v>
      </c>
      <c r="C413" s="25" t="s">
        <v>1139</v>
      </c>
      <c r="D413" s="25" t="s">
        <v>1122</v>
      </c>
      <c r="E413" s="103">
        <v>10</v>
      </c>
      <c r="F413" s="132">
        <v>153.4</v>
      </c>
      <c r="G413" s="50"/>
      <c r="H413" s="107"/>
      <c r="I413" s="141">
        <v>10</v>
      </c>
      <c r="J413" s="104">
        <v>153.4</v>
      </c>
      <c r="K413" s="104">
        <f t="shared" si="35"/>
        <v>1534</v>
      </c>
      <c r="L413" s="103"/>
      <c r="M413" s="141">
        <f t="shared" si="34"/>
        <v>20</v>
      </c>
      <c r="N413" s="121"/>
      <c r="O413" s="103" t="s">
        <v>946</v>
      </c>
      <c r="P413" s="137">
        <f t="shared" si="36"/>
        <v>3068</v>
      </c>
    </row>
    <row r="414" spans="1:16" s="105" customFormat="1" ht="15.75" x14ac:dyDescent="0.25">
      <c r="A414" s="113" t="s">
        <v>1156</v>
      </c>
      <c r="B414" s="102">
        <v>45020</v>
      </c>
      <c r="C414" s="25" t="s">
        <v>1140</v>
      </c>
      <c r="D414" s="25" t="s">
        <v>1122</v>
      </c>
      <c r="E414" s="103">
        <v>3</v>
      </c>
      <c r="F414" s="132">
        <v>4425</v>
      </c>
      <c r="G414" s="50"/>
      <c r="H414" s="107"/>
      <c r="I414" s="141">
        <v>3</v>
      </c>
      <c r="J414" s="104">
        <v>4425</v>
      </c>
      <c r="K414" s="104">
        <f t="shared" si="35"/>
        <v>13275</v>
      </c>
      <c r="L414" s="103">
        <v>1</v>
      </c>
      <c r="M414" s="141">
        <f t="shared" si="34"/>
        <v>5</v>
      </c>
      <c r="N414" s="121"/>
      <c r="O414" s="103" t="s">
        <v>945</v>
      </c>
      <c r="P414" s="137">
        <f t="shared" si="36"/>
        <v>22125</v>
      </c>
    </row>
    <row r="415" spans="1:16" s="105" customFormat="1" ht="15.75" x14ac:dyDescent="0.25">
      <c r="A415" s="113" t="s">
        <v>1157</v>
      </c>
      <c r="B415" s="102">
        <v>45020</v>
      </c>
      <c r="C415" s="25" t="s">
        <v>1141</v>
      </c>
      <c r="D415" s="25" t="s">
        <v>1122</v>
      </c>
      <c r="E415" s="103">
        <v>10</v>
      </c>
      <c r="F415" s="132">
        <v>276.12</v>
      </c>
      <c r="G415" s="50"/>
      <c r="H415" s="107"/>
      <c r="I415" s="141">
        <v>10</v>
      </c>
      <c r="J415" s="104">
        <v>276.12</v>
      </c>
      <c r="K415" s="104">
        <f t="shared" si="35"/>
        <v>2761.2</v>
      </c>
      <c r="L415" s="103"/>
      <c r="M415" s="141">
        <f t="shared" si="34"/>
        <v>20</v>
      </c>
      <c r="N415" s="121"/>
      <c r="O415" s="103" t="s">
        <v>946</v>
      </c>
      <c r="P415" s="137">
        <f t="shared" si="36"/>
        <v>5522.4</v>
      </c>
    </row>
    <row r="416" spans="1:16" s="105" customFormat="1" ht="15.75" x14ac:dyDescent="0.25">
      <c r="A416" s="113" t="s">
        <v>1158</v>
      </c>
      <c r="B416" s="102">
        <v>45020</v>
      </c>
      <c r="C416" s="25" t="s">
        <v>1142</v>
      </c>
      <c r="D416" s="25" t="s">
        <v>1122</v>
      </c>
      <c r="E416" s="103">
        <v>10</v>
      </c>
      <c r="F416" s="132">
        <v>348.1</v>
      </c>
      <c r="G416" s="50"/>
      <c r="H416" s="107"/>
      <c r="I416" s="141">
        <v>10</v>
      </c>
      <c r="J416" s="104">
        <v>348.1</v>
      </c>
      <c r="K416" s="104">
        <f t="shared" si="35"/>
        <v>3481</v>
      </c>
      <c r="L416" s="103"/>
      <c r="M416" s="141">
        <f t="shared" si="34"/>
        <v>20</v>
      </c>
      <c r="N416" s="121"/>
      <c r="O416" s="103" t="s">
        <v>946</v>
      </c>
      <c r="P416" s="137">
        <f t="shared" si="36"/>
        <v>6962</v>
      </c>
    </row>
    <row r="417" spans="1:16" s="105" customFormat="1" ht="15.75" x14ac:dyDescent="0.25">
      <c r="A417" s="113" t="s">
        <v>1159</v>
      </c>
      <c r="B417" s="102">
        <v>45020</v>
      </c>
      <c r="C417" s="25" t="s">
        <v>1143</v>
      </c>
      <c r="D417" s="25" t="s">
        <v>1122</v>
      </c>
      <c r="E417" s="103">
        <v>12</v>
      </c>
      <c r="F417" s="132">
        <v>165.16</v>
      </c>
      <c r="G417" s="50"/>
      <c r="H417" s="107"/>
      <c r="I417" s="141">
        <v>12</v>
      </c>
      <c r="J417" s="104">
        <v>165.16</v>
      </c>
      <c r="K417" s="104">
        <f t="shared" si="35"/>
        <v>1981.92</v>
      </c>
      <c r="L417" s="103"/>
      <c r="M417" s="141">
        <f t="shared" si="34"/>
        <v>24</v>
      </c>
      <c r="N417" s="121"/>
      <c r="O417" s="103" t="s">
        <v>946</v>
      </c>
      <c r="P417" s="137">
        <f t="shared" si="36"/>
        <v>3963.84</v>
      </c>
    </row>
    <row r="418" spans="1:16" s="105" customFormat="1" ht="15.75" x14ac:dyDescent="0.25">
      <c r="A418" s="113" t="s">
        <v>1160</v>
      </c>
      <c r="B418" s="102">
        <v>45020</v>
      </c>
      <c r="C418" s="25" t="s">
        <v>1144</v>
      </c>
      <c r="D418" s="25" t="s">
        <v>1122</v>
      </c>
      <c r="E418" s="103">
        <v>1</v>
      </c>
      <c r="F418" s="132">
        <v>48675</v>
      </c>
      <c r="G418" s="50"/>
      <c r="H418" s="107"/>
      <c r="I418" s="141">
        <v>1</v>
      </c>
      <c r="J418" s="104">
        <v>48675</v>
      </c>
      <c r="K418" s="104">
        <f t="shared" si="35"/>
        <v>48675</v>
      </c>
      <c r="L418" s="103"/>
      <c r="M418" s="141">
        <f t="shared" si="34"/>
        <v>2</v>
      </c>
      <c r="N418" s="121"/>
      <c r="O418" s="103" t="s">
        <v>946</v>
      </c>
      <c r="P418" s="137">
        <f t="shared" si="36"/>
        <v>97350</v>
      </c>
    </row>
    <row r="419" spans="1:16" s="105" customFormat="1" ht="15.75" x14ac:dyDescent="0.25">
      <c r="A419" s="113" t="s">
        <v>1161</v>
      </c>
      <c r="B419" s="102">
        <v>45020</v>
      </c>
      <c r="C419" s="25" t="s">
        <v>1145</v>
      </c>
      <c r="D419" s="25" t="s">
        <v>1122</v>
      </c>
      <c r="E419" s="103">
        <v>1</v>
      </c>
      <c r="F419" s="132">
        <v>67571.820000000007</v>
      </c>
      <c r="G419" s="50"/>
      <c r="H419" s="107"/>
      <c r="I419" s="141">
        <v>1</v>
      </c>
      <c r="J419" s="104">
        <v>67571.820000000007</v>
      </c>
      <c r="K419" s="104">
        <f t="shared" si="35"/>
        <v>67571.820000000007</v>
      </c>
      <c r="L419" s="103"/>
      <c r="M419" s="141">
        <f t="shared" si="34"/>
        <v>2</v>
      </c>
      <c r="N419" s="121"/>
      <c r="O419" s="103" t="s">
        <v>946</v>
      </c>
      <c r="P419" s="137">
        <f t="shared" si="36"/>
        <v>135143.64000000001</v>
      </c>
    </row>
    <row r="420" spans="1:16" s="105" customFormat="1" ht="15.75" x14ac:dyDescent="0.25">
      <c r="A420" s="113" t="s">
        <v>1162</v>
      </c>
      <c r="B420" s="102">
        <v>45020</v>
      </c>
      <c r="C420" s="25" t="s">
        <v>1146</v>
      </c>
      <c r="D420" s="25" t="s">
        <v>1122</v>
      </c>
      <c r="E420" s="103">
        <v>15</v>
      </c>
      <c r="F420" s="132">
        <v>873.2</v>
      </c>
      <c r="G420" s="50"/>
      <c r="H420" s="107"/>
      <c r="I420" s="141">
        <v>15</v>
      </c>
      <c r="J420" s="104">
        <v>873.2</v>
      </c>
      <c r="K420" s="104">
        <f t="shared" si="35"/>
        <v>13098</v>
      </c>
      <c r="L420" s="103"/>
      <c r="M420" s="141">
        <f t="shared" si="34"/>
        <v>30</v>
      </c>
      <c r="N420" s="121"/>
      <c r="O420" s="103" t="s">
        <v>946</v>
      </c>
      <c r="P420" s="137">
        <f t="shared" si="36"/>
        <v>26196</v>
      </c>
    </row>
    <row r="421" spans="1:16" s="105" customFormat="1" ht="15.75" x14ac:dyDescent="0.25">
      <c r="A421" s="113" t="s">
        <v>1163</v>
      </c>
      <c r="B421" s="102">
        <v>45020</v>
      </c>
      <c r="C421" s="25" t="s">
        <v>1147</v>
      </c>
      <c r="D421" s="25" t="s">
        <v>1122</v>
      </c>
      <c r="E421" s="38">
        <v>20</v>
      </c>
      <c r="F421" s="132">
        <v>324.5</v>
      </c>
      <c r="G421" s="50"/>
      <c r="H421" s="107"/>
      <c r="I421" s="141">
        <v>20</v>
      </c>
      <c r="J421" s="104">
        <v>324.5</v>
      </c>
      <c r="K421" s="104">
        <f t="shared" si="35"/>
        <v>6490</v>
      </c>
      <c r="L421" s="103"/>
      <c r="M421" s="141">
        <f t="shared" si="34"/>
        <v>40</v>
      </c>
      <c r="N421" s="121"/>
      <c r="O421" s="103" t="s">
        <v>946</v>
      </c>
      <c r="P421" s="137">
        <f t="shared" si="36"/>
        <v>12980</v>
      </c>
    </row>
    <row r="422" spans="1:16" s="105" customFormat="1" ht="15.75" x14ac:dyDescent="0.25">
      <c r="A422" s="113" t="s">
        <v>1164</v>
      </c>
      <c r="B422" s="102">
        <v>45020</v>
      </c>
      <c r="C422" s="25" t="s">
        <v>1148</v>
      </c>
      <c r="D422" s="25" t="s">
        <v>1122</v>
      </c>
      <c r="E422" s="38">
        <v>300</v>
      </c>
      <c r="F422" s="132">
        <v>3.48</v>
      </c>
      <c r="G422" s="50"/>
      <c r="H422" s="107"/>
      <c r="I422" s="141">
        <v>300</v>
      </c>
      <c r="J422" s="104">
        <v>3.48</v>
      </c>
      <c r="K422" s="104">
        <f t="shared" si="35"/>
        <v>1044</v>
      </c>
      <c r="L422" s="103"/>
      <c r="M422" s="141">
        <f t="shared" si="34"/>
        <v>600</v>
      </c>
      <c r="N422" s="121"/>
      <c r="O422" s="103" t="s">
        <v>946</v>
      </c>
      <c r="P422" s="137">
        <f t="shared" si="36"/>
        <v>2088</v>
      </c>
    </row>
    <row r="423" spans="1:16" s="105" customFormat="1" ht="15.75" x14ac:dyDescent="0.25">
      <c r="A423" s="113" t="s">
        <v>1165</v>
      </c>
      <c r="B423" s="102">
        <v>45020</v>
      </c>
      <c r="C423" s="25" t="s">
        <v>1149</v>
      </c>
      <c r="D423" s="25" t="s">
        <v>1122</v>
      </c>
      <c r="E423" s="38">
        <v>3</v>
      </c>
      <c r="F423" s="132">
        <v>1062</v>
      </c>
      <c r="G423" s="50"/>
      <c r="H423" s="107"/>
      <c r="I423" s="146">
        <v>3</v>
      </c>
      <c r="J423" s="13">
        <v>1062</v>
      </c>
      <c r="K423" s="104">
        <f t="shared" si="35"/>
        <v>3186</v>
      </c>
      <c r="L423" s="103"/>
      <c r="M423" s="141">
        <f t="shared" ref="M423:M425" si="37">+E423+I423-L423</f>
        <v>6</v>
      </c>
      <c r="N423" s="121"/>
      <c r="O423" s="103" t="s">
        <v>946</v>
      </c>
      <c r="P423" s="137">
        <f t="shared" si="36"/>
        <v>6372</v>
      </c>
    </row>
    <row r="424" spans="1:16" s="105" customFormat="1" ht="15.75" x14ac:dyDescent="0.25">
      <c r="A424" s="113" t="s">
        <v>1166</v>
      </c>
      <c r="B424" s="102">
        <v>45020</v>
      </c>
      <c r="C424" s="25" t="s">
        <v>1150</v>
      </c>
      <c r="D424" s="25" t="s">
        <v>1122</v>
      </c>
      <c r="E424" s="38">
        <v>7</v>
      </c>
      <c r="F424" s="132">
        <v>1298</v>
      </c>
      <c r="G424" s="50"/>
      <c r="H424" s="107"/>
      <c r="I424" s="146">
        <v>7</v>
      </c>
      <c r="J424" s="13">
        <v>1298</v>
      </c>
      <c r="K424" s="104">
        <f t="shared" si="35"/>
        <v>9086</v>
      </c>
      <c r="L424" s="103"/>
      <c r="M424" s="141">
        <f t="shared" si="37"/>
        <v>14</v>
      </c>
      <c r="N424" s="121"/>
      <c r="O424" s="103" t="s">
        <v>946</v>
      </c>
      <c r="P424" s="137">
        <f t="shared" si="36"/>
        <v>18172</v>
      </c>
    </row>
    <row r="425" spans="1:16" s="105" customFormat="1" ht="15.75" x14ac:dyDescent="0.25">
      <c r="A425" s="113" t="s">
        <v>1169</v>
      </c>
      <c r="B425" s="102">
        <v>45019</v>
      </c>
      <c r="C425" s="25" t="s">
        <v>1171</v>
      </c>
      <c r="D425" s="25" t="s">
        <v>1172</v>
      </c>
      <c r="E425" s="38"/>
      <c r="F425" s="132">
        <v>3540</v>
      </c>
      <c r="G425" s="50"/>
      <c r="H425" s="107"/>
      <c r="I425" s="146">
        <v>15</v>
      </c>
      <c r="J425" s="13">
        <v>3540</v>
      </c>
      <c r="K425" s="104">
        <f>+J425*I425</f>
        <v>53100</v>
      </c>
      <c r="L425" s="103"/>
      <c r="M425" s="141">
        <f t="shared" si="37"/>
        <v>15</v>
      </c>
      <c r="N425" s="121"/>
      <c r="O425" s="103" t="s">
        <v>945</v>
      </c>
      <c r="P425" s="137">
        <f>+F425*M425</f>
        <v>53100</v>
      </c>
    </row>
    <row r="426" spans="1:16" s="105" customFormat="1" ht="15.75" x14ac:dyDescent="0.25">
      <c r="A426" s="113" t="s">
        <v>1170</v>
      </c>
      <c r="B426" s="102">
        <v>45019</v>
      </c>
      <c r="C426" s="25" t="s">
        <v>1174</v>
      </c>
      <c r="D426" s="25" t="s">
        <v>1173</v>
      </c>
      <c r="E426" s="38">
        <v>6</v>
      </c>
      <c r="F426" s="132">
        <v>1500.96</v>
      </c>
      <c r="G426" s="50"/>
      <c r="H426" s="107"/>
      <c r="I426" s="146">
        <v>6</v>
      </c>
      <c r="J426" s="13">
        <v>1500.96</v>
      </c>
      <c r="K426" s="104">
        <f>+J426*I426</f>
        <v>9005.76</v>
      </c>
      <c r="L426" s="103">
        <f>3+3</f>
        <v>6</v>
      </c>
      <c r="M426" s="141">
        <f t="shared" ref="M426" si="38">+E426+I426-L426</f>
        <v>6</v>
      </c>
      <c r="N426" s="121"/>
      <c r="O426" s="103" t="s">
        <v>945</v>
      </c>
      <c r="P426" s="137">
        <f t="shared" si="36"/>
        <v>9005.76</v>
      </c>
    </row>
    <row r="427" spans="1:16" s="105" customFormat="1" ht="15.75" x14ac:dyDescent="0.25">
      <c r="A427" s="113" t="s">
        <v>1177</v>
      </c>
      <c r="B427" s="102">
        <v>45019</v>
      </c>
      <c r="C427" s="25" t="s">
        <v>1175</v>
      </c>
      <c r="D427" s="25" t="s">
        <v>1176</v>
      </c>
      <c r="E427" s="38">
        <f>12*7</f>
        <v>84</v>
      </c>
      <c r="F427" s="132">
        <v>181.92</v>
      </c>
      <c r="G427" s="50"/>
      <c r="H427" s="107"/>
      <c r="I427" s="146"/>
      <c r="J427" s="13">
        <v>181.92</v>
      </c>
      <c r="K427" s="104">
        <f>+J427*I427</f>
        <v>0</v>
      </c>
      <c r="L427" s="103"/>
      <c r="M427" s="141">
        <f>+E427+I427-L427</f>
        <v>84</v>
      </c>
      <c r="N427" s="121"/>
      <c r="O427" s="103" t="s">
        <v>945</v>
      </c>
      <c r="P427" s="137">
        <f t="shared" si="36"/>
        <v>15281.279999999999</v>
      </c>
    </row>
    <row r="428" spans="1:16" s="105" customFormat="1" ht="15.75" x14ac:dyDescent="0.25">
      <c r="A428" s="113" t="s">
        <v>1178</v>
      </c>
      <c r="B428" s="102">
        <v>45019</v>
      </c>
      <c r="C428" s="25" t="s">
        <v>1179</v>
      </c>
      <c r="D428" s="25" t="s">
        <v>1122</v>
      </c>
      <c r="E428" s="38"/>
      <c r="F428" s="132">
        <v>223.06</v>
      </c>
      <c r="G428" s="50"/>
      <c r="H428" s="107"/>
      <c r="I428" s="146">
        <v>12</v>
      </c>
      <c r="J428" s="13">
        <v>223.06</v>
      </c>
      <c r="K428" s="104">
        <f t="shared" ref="K428:K432" si="39">+J428*I428</f>
        <v>2676.7200000000003</v>
      </c>
      <c r="L428" s="103"/>
      <c r="M428" s="141">
        <f>+E428+I428-L428</f>
        <v>12</v>
      </c>
      <c r="N428" s="121"/>
      <c r="O428" s="103" t="s">
        <v>945</v>
      </c>
      <c r="P428" s="137">
        <f t="shared" si="36"/>
        <v>2676.7200000000003</v>
      </c>
    </row>
    <row r="429" spans="1:16" s="105" customFormat="1" ht="15.75" x14ac:dyDescent="0.25">
      <c r="A429" s="113" t="s">
        <v>1181</v>
      </c>
      <c r="B429" s="102">
        <v>45019</v>
      </c>
      <c r="C429" s="25" t="s">
        <v>1180</v>
      </c>
      <c r="D429" s="25" t="s">
        <v>1122</v>
      </c>
      <c r="E429" s="38"/>
      <c r="F429" s="132">
        <v>236</v>
      </c>
      <c r="G429" s="50"/>
      <c r="H429" s="107"/>
      <c r="I429" s="146">
        <v>12</v>
      </c>
      <c r="J429" s="13">
        <v>236</v>
      </c>
      <c r="K429" s="104">
        <f t="shared" si="39"/>
        <v>2832</v>
      </c>
      <c r="L429" s="117"/>
      <c r="M429" s="141">
        <f t="shared" ref="M429:M447" si="40">+E429+I429-L429</f>
        <v>12</v>
      </c>
      <c r="N429" s="121"/>
      <c r="O429" s="103" t="s">
        <v>945</v>
      </c>
      <c r="P429" s="137">
        <f t="shared" si="36"/>
        <v>2832</v>
      </c>
    </row>
    <row r="430" spans="1:16" s="105" customFormat="1" ht="15.75" x14ac:dyDescent="0.25">
      <c r="A430" s="113" t="s">
        <v>1182</v>
      </c>
      <c r="B430" s="102">
        <v>45019</v>
      </c>
      <c r="C430" s="25" t="s">
        <v>1183</v>
      </c>
      <c r="D430" s="25" t="s">
        <v>1122</v>
      </c>
      <c r="E430" s="38"/>
      <c r="F430" s="132">
        <v>248.52</v>
      </c>
      <c r="G430" s="50"/>
      <c r="H430" s="107"/>
      <c r="I430" s="146">
        <v>12</v>
      </c>
      <c r="J430" s="13">
        <v>248.52</v>
      </c>
      <c r="K430" s="104">
        <f t="shared" si="39"/>
        <v>2982.2400000000002</v>
      </c>
      <c r="L430" s="117">
        <v>1</v>
      </c>
      <c r="M430" s="141">
        <f t="shared" si="40"/>
        <v>11</v>
      </c>
      <c r="N430" s="121"/>
      <c r="O430" s="103" t="s">
        <v>945</v>
      </c>
      <c r="P430" s="137">
        <f t="shared" si="36"/>
        <v>2733.7200000000003</v>
      </c>
    </row>
    <row r="431" spans="1:16" s="105" customFormat="1" ht="15.75" x14ac:dyDescent="0.25">
      <c r="A431" s="113" t="s">
        <v>1184</v>
      </c>
      <c r="B431" s="102">
        <v>45019</v>
      </c>
      <c r="C431" s="25" t="s">
        <v>650</v>
      </c>
      <c r="D431" s="25" t="s">
        <v>1122</v>
      </c>
      <c r="E431" s="38"/>
      <c r="F431" s="132">
        <v>4.01</v>
      </c>
      <c r="G431" s="50"/>
      <c r="H431" s="107"/>
      <c r="I431" s="147">
        <v>700</v>
      </c>
      <c r="J431" s="130">
        <v>4.01</v>
      </c>
      <c r="K431" s="104">
        <f t="shared" si="39"/>
        <v>2807</v>
      </c>
      <c r="L431" s="117">
        <v>300</v>
      </c>
      <c r="M431" s="141">
        <f t="shared" si="40"/>
        <v>400</v>
      </c>
      <c r="N431" s="121"/>
      <c r="O431" s="103" t="s">
        <v>945</v>
      </c>
      <c r="P431" s="137">
        <f t="shared" si="36"/>
        <v>1604</v>
      </c>
    </row>
    <row r="432" spans="1:16" s="105" customFormat="1" ht="15.75" x14ac:dyDescent="0.25">
      <c r="A432" s="113" t="s">
        <v>1185</v>
      </c>
      <c r="B432" s="102">
        <v>45019</v>
      </c>
      <c r="C432" s="25" t="s">
        <v>1186</v>
      </c>
      <c r="D432" s="25" t="s">
        <v>1122</v>
      </c>
      <c r="E432" s="38">
        <v>50</v>
      </c>
      <c r="F432" s="132">
        <v>66.67</v>
      </c>
      <c r="G432" s="50">
        <f>+E432*F432</f>
        <v>3333.5</v>
      </c>
      <c r="H432" s="107"/>
      <c r="I432" s="146"/>
      <c r="J432" s="13">
        <v>66.67</v>
      </c>
      <c r="K432" s="104">
        <f t="shared" si="39"/>
        <v>0</v>
      </c>
      <c r="L432" s="117">
        <v>2</v>
      </c>
      <c r="M432" s="141">
        <f t="shared" si="40"/>
        <v>48</v>
      </c>
      <c r="N432" s="122"/>
      <c r="O432" s="117" t="s">
        <v>945</v>
      </c>
      <c r="P432" s="137">
        <f t="shared" si="36"/>
        <v>3200.16</v>
      </c>
    </row>
    <row r="433" spans="1:16" s="105" customFormat="1" ht="15.75" x14ac:dyDescent="0.25">
      <c r="A433" s="113" t="s">
        <v>1187</v>
      </c>
      <c r="B433" s="102">
        <v>45016</v>
      </c>
      <c r="C433" s="25" t="s">
        <v>1189</v>
      </c>
      <c r="D433" s="25" t="s">
        <v>1122</v>
      </c>
      <c r="E433" s="38">
        <v>8</v>
      </c>
      <c r="F433" s="132">
        <v>3371.25</v>
      </c>
      <c r="G433" s="50"/>
      <c r="H433" s="107"/>
      <c r="I433" s="147">
        <v>8</v>
      </c>
      <c r="J433" s="130">
        <v>3371.25</v>
      </c>
      <c r="K433" s="104">
        <f t="shared" ref="K433:K439" si="41">+J433*I433</f>
        <v>26970</v>
      </c>
      <c r="L433" s="117"/>
      <c r="M433" s="141">
        <f t="shared" si="40"/>
        <v>16</v>
      </c>
      <c r="N433" s="122"/>
      <c r="O433" s="117" t="s">
        <v>945</v>
      </c>
      <c r="P433" s="137">
        <f t="shared" si="36"/>
        <v>53940</v>
      </c>
    </row>
    <row r="434" spans="1:16" s="105" customFormat="1" ht="15.75" x14ac:dyDescent="0.25">
      <c r="A434" s="113" t="s">
        <v>1188</v>
      </c>
      <c r="B434" s="102">
        <v>45016</v>
      </c>
      <c r="C434" s="25" t="s">
        <v>1191</v>
      </c>
      <c r="D434" s="25" t="s">
        <v>1122</v>
      </c>
      <c r="E434" s="38"/>
      <c r="F434" s="132">
        <v>510.94</v>
      </c>
      <c r="G434" s="50"/>
      <c r="H434" s="107"/>
      <c r="I434" s="147">
        <v>5</v>
      </c>
      <c r="J434" s="130">
        <v>510.94</v>
      </c>
      <c r="K434" s="118">
        <f t="shared" si="41"/>
        <v>2554.6999999999998</v>
      </c>
      <c r="L434" s="117"/>
      <c r="M434" s="141">
        <f t="shared" si="40"/>
        <v>5</v>
      </c>
      <c r="N434" s="122"/>
      <c r="O434" s="117" t="s">
        <v>945</v>
      </c>
      <c r="P434" s="137">
        <f>+F434*M434</f>
        <v>2554.6999999999998</v>
      </c>
    </row>
    <row r="435" spans="1:16" s="105" customFormat="1" ht="15.75" x14ac:dyDescent="0.25">
      <c r="A435" s="113" t="s">
        <v>1197</v>
      </c>
      <c r="B435" s="102">
        <v>45016</v>
      </c>
      <c r="C435" s="25" t="s">
        <v>1192</v>
      </c>
      <c r="D435" s="25" t="s">
        <v>1122</v>
      </c>
      <c r="E435" s="38">
        <v>0</v>
      </c>
      <c r="F435" s="132">
        <v>7003.3</v>
      </c>
      <c r="G435" s="50"/>
      <c r="H435" s="107"/>
      <c r="I435" s="147">
        <v>4</v>
      </c>
      <c r="J435" s="130">
        <v>7003.3</v>
      </c>
      <c r="K435" s="118">
        <f t="shared" si="41"/>
        <v>28013.200000000001</v>
      </c>
      <c r="L435" s="117">
        <v>4</v>
      </c>
      <c r="M435" s="141">
        <f t="shared" si="40"/>
        <v>0</v>
      </c>
      <c r="N435" s="122"/>
      <c r="O435" s="117" t="s">
        <v>945</v>
      </c>
      <c r="P435" s="137">
        <f>+F435*M435</f>
        <v>0</v>
      </c>
    </row>
    <row r="436" spans="1:16" s="105" customFormat="1" ht="15.75" x14ac:dyDescent="0.25">
      <c r="A436" s="113" t="s">
        <v>1198</v>
      </c>
      <c r="B436" s="102">
        <v>45016</v>
      </c>
      <c r="C436" s="25" t="s">
        <v>1193</v>
      </c>
      <c r="D436" s="25" t="s">
        <v>1122</v>
      </c>
      <c r="E436" s="38"/>
      <c r="F436" s="132">
        <v>55.61</v>
      </c>
      <c r="G436" s="50"/>
      <c r="H436" s="107"/>
      <c r="I436" s="147">
        <v>80</v>
      </c>
      <c r="J436" s="130">
        <v>55.61</v>
      </c>
      <c r="K436" s="118">
        <f t="shared" si="41"/>
        <v>4448.8</v>
      </c>
      <c r="L436" s="117">
        <v>1</v>
      </c>
      <c r="M436" s="141">
        <f t="shared" si="40"/>
        <v>79</v>
      </c>
      <c r="N436" s="122"/>
      <c r="O436" s="117" t="s">
        <v>946</v>
      </c>
      <c r="P436" s="137">
        <f t="shared" si="36"/>
        <v>4393.1899999999996</v>
      </c>
    </row>
    <row r="437" spans="1:16" s="105" customFormat="1" ht="15.75" x14ac:dyDescent="0.25">
      <c r="A437" s="113" t="s">
        <v>1199</v>
      </c>
      <c r="B437" s="102">
        <v>45016</v>
      </c>
      <c r="C437" s="25" t="s">
        <v>1194</v>
      </c>
      <c r="D437" s="25" t="s">
        <v>1122</v>
      </c>
      <c r="E437" s="38"/>
      <c r="F437" s="132">
        <v>21.82</v>
      </c>
      <c r="G437" s="50"/>
      <c r="H437" s="107"/>
      <c r="I437" s="147">
        <v>80</v>
      </c>
      <c r="J437" s="130">
        <v>21.82</v>
      </c>
      <c r="K437" s="118">
        <f t="shared" si="41"/>
        <v>1745.6</v>
      </c>
      <c r="L437" s="117"/>
      <c r="M437" s="141">
        <f t="shared" si="40"/>
        <v>80</v>
      </c>
      <c r="N437" s="122"/>
      <c r="O437" s="117" t="s">
        <v>946</v>
      </c>
      <c r="P437" s="137">
        <f t="shared" si="36"/>
        <v>1745.6</v>
      </c>
    </row>
    <row r="438" spans="1:16" s="105" customFormat="1" ht="15.75" x14ac:dyDescent="0.25">
      <c r="A438" s="113" t="s">
        <v>1200</v>
      </c>
      <c r="B438" s="102">
        <v>45016</v>
      </c>
      <c r="C438" s="25" t="s">
        <v>1195</v>
      </c>
      <c r="D438" s="25" t="s">
        <v>1122</v>
      </c>
      <c r="E438" s="38"/>
      <c r="F438" s="132">
        <v>35240.699999999997</v>
      </c>
      <c r="G438" s="50"/>
      <c r="H438" s="107"/>
      <c r="I438" s="147">
        <v>4</v>
      </c>
      <c r="J438" s="130">
        <v>35240.699999999997</v>
      </c>
      <c r="K438" s="118">
        <f t="shared" si="41"/>
        <v>140962.79999999999</v>
      </c>
      <c r="L438" s="117">
        <v>4</v>
      </c>
      <c r="M438" s="141">
        <f t="shared" si="40"/>
        <v>0</v>
      </c>
      <c r="N438" s="122"/>
      <c r="O438" s="117" t="s">
        <v>946</v>
      </c>
      <c r="P438" s="137">
        <f t="shared" si="36"/>
        <v>0</v>
      </c>
    </row>
    <row r="439" spans="1:16" s="105" customFormat="1" ht="15.75" x14ac:dyDescent="0.25">
      <c r="A439" s="113" t="s">
        <v>1201</v>
      </c>
      <c r="B439" s="102">
        <v>45016</v>
      </c>
      <c r="C439" s="115" t="s">
        <v>1196</v>
      </c>
      <c r="D439" s="115" t="s">
        <v>1122</v>
      </c>
      <c r="E439" s="99"/>
      <c r="F439" s="148">
        <v>1770</v>
      </c>
      <c r="G439" s="101"/>
      <c r="H439" s="119"/>
      <c r="I439" s="147">
        <v>30</v>
      </c>
      <c r="J439" s="130">
        <v>1770</v>
      </c>
      <c r="K439" s="118">
        <f t="shared" si="41"/>
        <v>53100</v>
      </c>
      <c r="L439" s="117">
        <v>30</v>
      </c>
      <c r="M439" s="145">
        <f t="shared" si="40"/>
        <v>0</v>
      </c>
      <c r="N439" s="122"/>
      <c r="O439" s="117" t="s">
        <v>947</v>
      </c>
      <c r="P439" s="149">
        <f t="shared" si="36"/>
        <v>0</v>
      </c>
    </row>
    <row r="440" spans="1:16" s="105" customFormat="1" ht="15.75" x14ac:dyDescent="0.25">
      <c r="A440" s="113" t="s">
        <v>1202</v>
      </c>
      <c r="B440" s="114"/>
      <c r="C440" s="115" t="s">
        <v>1205</v>
      </c>
      <c r="D440" s="115" t="s">
        <v>1122</v>
      </c>
      <c r="E440" s="99"/>
      <c r="F440" s="148"/>
      <c r="G440" s="101"/>
      <c r="H440" s="119"/>
      <c r="I440" s="147"/>
      <c r="J440" s="130"/>
      <c r="K440" s="118"/>
      <c r="L440" s="117">
        <v>12</v>
      </c>
      <c r="M440" s="145">
        <f t="shared" si="40"/>
        <v>-12</v>
      </c>
      <c r="N440" s="122"/>
      <c r="O440" s="117" t="s">
        <v>947</v>
      </c>
      <c r="P440" s="149"/>
    </row>
    <row r="441" spans="1:16" s="105" customFormat="1" ht="15.75" x14ac:dyDescent="0.25">
      <c r="A441" s="113" t="s">
        <v>1203</v>
      </c>
      <c r="B441" s="114"/>
      <c r="C441" s="115" t="s">
        <v>1206</v>
      </c>
      <c r="D441" s="115" t="s">
        <v>1122</v>
      </c>
      <c r="E441" s="99"/>
      <c r="F441" s="148"/>
      <c r="G441" s="101"/>
      <c r="H441" s="119"/>
      <c r="I441" s="147"/>
      <c r="J441" s="130"/>
      <c r="K441" s="118"/>
      <c r="L441" s="117">
        <v>24</v>
      </c>
      <c r="M441" s="145">
        <f t="shared" si="40"/>
        <v>-24</v>
      </c>
      <c r="N441" s="122"/>
      <c r="O441" s="117" t="s">
        <v>947</v>
      </c>
      <c r="P441" s="149"/>
    </row>
    <row r="442" spans="1:16" s="105" customFormat="1" ht="15.75" x14ac:dyDescent="0.25">
      <c r="A442" s="113" t="s">
        <v>1204</v>
      </c>
      <c r="B442" s="114"/>
      <c r="C442" s="115" t="s">
        <v>1207</v>
      </c>
      <c r="D442" s="115" t="s">
        <v>1122</v>
      </c>
      <c r="E442" s="99"/>
      <c r="F442" s="148"/>
      <c r="G442" s="101"/>
      <c r="H442" s="119"/>
      <c r="I442" s="147"/>
      <c r="J442" s="130"/>
      <c r="K442" s="118"/>
      <c r="L442" s="117">
        <v>15</v>
      </c>
      <c r="M442" s="145">
        <f t="shared" si="40"/>
        <v>-15</v>
      </c>
      <c r="N442" s="122"/>
      <c r="O442" s="117" t="s">
        <v>947</v>
      </c>
      <c r="P442" s="149"/>
    </row>
    <row r="443" spans="1:16" s="105" customFormat="1" ht="15.75" x14ac:dyDescent="0.25">
      <c r="A443" s="113" t="s">
        <v>1213</v>
      </c>
      <c r="B443" s="114"/>
      <c r="C443" s="115" t="s">
        <v>1208</v>
      </c>
      <c r="D443" s="115" t="s">
        <v>1122</v>
      </c>
      <c r="E443" s="99"/>
      <c r="F443" s="148"/>
      <c r="G443" s="101"/>
      <c r="H443" s="119"/>
      <c r="I443" s="147"/>
      <c r="J443" s="130"/>
      <c r="K443" s="118"/>
      <c r="L443" s="117">
        <v>15</v>
      </c>
      <c r="M443" s="145">
        <f t="shared" si="40"/>
        <v>-15</v>
      </c>
      <c r="N443" s="122"/>
      <c r="O443" s="117" t="s">
        <v>947</v>
      </c>
      <c r="P443" s="149"/>
    </row>
    <row r="444" spans="1:16" s="105" customFormat="1" ht="15.75" x14ac:dyDescent="0.25">
      <c r="A444" s="113" t="s">
        <v>1214</v>
      </c>
      <c r="B444" s="114"/>
      <c r="C444" s="115" t="s">
        <v>1209</v>
      </c>
      <c r="D444" s="115" t="s">
        <v>1122</v>
      </c>
      <c r="E444" s="99"/>
      <c r="F444" s="148"/>
      <c r="G444" s="101"/>
      <c r="H444" s="119"/>
      <c r="I444" s="147"/>
      <c r="J444" s="130"/>
      <c r="K444" s="118"/>
      <c r="L444" s="117">
        <v>100</v>
      </c>
      <c r="M444" s="145">
        <f t="shared" si="40"/>
        <v>-100</v>
      </c>
      <c r="N444" s="122"/>
      <c r="O444" s="117" t="s">
        <v>947</v>
      </c>
      <c r="P444" s="149"/>
    </row>
    <row r="445" spans="1:16" s="105" customFormat="1" ht="15.75" x14ac:dyDescent="0.25">
      <c r="A445" s="113" t="s">
        <v>1215</v>
      </c>
      <c r="B445" s="114"/>
      <c r="C445" s="115" t="s">
        <v>1210</v>
      </c>
      <c r="D445" s="115" t="s">
        <v>1122</v>
      </c>
      <c r="E445" s="99"/>
      <c r="F445" s="148"/>
      <c r="G445" s="101"/>
      <c r="H445" s="119"/>
      <c r="I445" s="147"/>
      <c r="J445" s="130"/>
      <c r="K445" s="118"/>
      <c r="L445" s="117">
        <v>3</v>
      </c>
      <c r="M445" s="145">
        <f t="shared" si="40"/>
        <v>-3</v>
      </c>
      <c r="N445" s="122"/>
      <c r="O445" s="117" t="s">
        <v>947</v>
      </c>
      <c r="P445" s="149"/>
    </row>
    <row r="446" spans="1:16" s="105" customFormat="1" ht="15.75" x14ac:dyDescent="0.25">
      <c r="A446" s="113" t="s">
        <v>1216</v>
      </c>
      <c r="B446" s="114"/>
      <c r="C446" s="25" t="s">
        <v>1211</v>
      </c>
      <c r="D446" s="115" t="s">
        <v>1122</v>
      </c>
      <c r="E446" s="99"/>
      <c r="F446" s="148"/>
      <c r="G446" s="101"/>
      <c r="H446" s="119"/>
      <c r="I446" s="147"/>
      <c r="J446" s="130"/>
      <c r="K446" s="118"/>
      <c r="L446" s="117">
        <v>4</v>
      </c>
      <c r="M446" s="145">
        <f t="shared" si="40"/>
        <v>-4</v>
      </c>
      <c r="N446" s="122"/>
      <c r="O446" s="117" t="s">
        <v>946</v>
      </c>
      <c r="P446" s="149"/>
    </row>
    <row r="447" spans="1:16" s="105" customFormat="1" ht="15.75" x14ac:dyDescent="0.25">
      <c r="A447" s="113" t="s">
        <v>1217</v>
      </c>
      <c r="B447" s="114"/>
      <c r="C447" s="115" t="s">
        <v>1212</v>
      </c>
      <c r="D447" s="115" t="s">
        <v>1122</v>
      </c>
      <c r="E447" s="99"/>
      <c r="F447" s="148"/>
      <c r="G447" s="101"/>
      <c r="H447" s="119"/>
      <c r="I447" s="147"/>
      <c r="J447" s="130"/>
      <c r="K447" s="118"/>
      <c r="L447" s="117">
        <v>1</v>
      </c>
      <c r="M447" s="145">
        <f t="shared" si="40"/>
        <v>-1</v>
      </c>
      <c r="N447" s="122"/>
      <c r="O447" s="117" t="s">
        <v>946</v>
      </c>
      <c r="P447" s="149"/>
    </row>
    <row r="448" spans="1:16" s="105" customFormat="1" ht="15.75" x14ac:dyDescent="0.25">
      <c r="A448" s="116"/>
      <c r="B448" s="114"/>
      <c r="C448" s="115" t="s">
        <v>1218</v>
      </c>
      <c r="D448" s="115"/>
      <c r="E448" s="99"/>
      <c r="F448" s="148"/>
      <c r="G448" s="101"/>
      <c r="H448" s="119"/>
      <c r="I448" s="147"/>
      <c r="J448" s="130"/>
      <c r="K448" s="118"/>
      <c r="L448" s="117"/>
      <c r="M448" s="150">
        <v>101</v>
      </c>
      <c r="N448" s="122"/>
      <c r="O448" s="117"/>
      <c r="P448" s="149"/>
    </row>
    <row r="449" spans="1:16" s="105" customFormat="1" ht="15.75" x14ac:dyDescent="0.25">
      <c r="A449" s="116"/>
      <c r="B449" s="114"/>
      <c r="C449" s="115" t="s">
        <v>1219</v>
      </c>
      <c r="D449" s="115"/>
      <c r="E449" s="99"/>
      <c r="F449" s="148"/>
      <c r="G449" s="101"/>
      <c r="H449" s="119"/>
      <c r="I449" s="147"/>
      <c r="J449" s="130"/>
      <c r="K449" s="118"/>
      <c r="L449" s="117"/>
      <c r="M449" s="145">
        <v>14</v>
      </c>
      <c r="N449" s="122"/>
      <c r="O449" s="117"/>
      <c r="P449" s="149"/>
    </row>
    <row r="450" spans="1:16" s="105" customFormat="1" ht="15.75" x14ac:dyDescent="0.25">
      <c r="A450" s="116"/>
      <c r="B450" s="114"/>
      <c r="C450" s="115"/>
      <c r="D450" s="115"/>
      <c r="E450" s="99"/>
      <c r="F450" s="148"/>
      <c r="G450" s="101"/>
      <c r="H450" s="119"/>
      <c r="I450" s="147"/>
      <c r="J450" s="130"/>
      <c r="K450" s="118"/>
      <c r="L450" s="117"/>
      <c r="M450" s="145"/>
      <c r="N450" s="122"/>
      <c r="O450" s="117"/>
      <c r="P450" s="149"/>
    </row>
    <row r="451" spans="1:16" s="105" customFormat="1" ht="15.75" x14ac:dyDescent="0.25">
      <c r="A451" s="116"/>
      <c r="B451" s="114"/>
      <c r="C451" s="115"/>
      <c r="D451" s="115"/>
      <c r="E451" s="99"/>
      <c r="F451" s="148"/>
      <c r="G451" s="101"/>
      <c r="H451" s="119"/>
      <c r="I451" s="147"/>
      <c r="J451" s="130"/>
      <c r="K451" s="118"/>
      <c r="L451" s="117"/>
      <c r="M451" s="145"/>
      <c r="N451" s="122"/>
      <c r="O451" s="117"/>
      <c r="P451" s="149"/>
    </row>
    <row r="452" spans="1:16" x14ac:dyDescent="0.3">
      <c r="A452" s="69" t="s">
        <v>98</v>
      </c>
      <c r="B452" s="241"/>
      <c r="C452" s="242"/>
      <c r="D452" s="242"/>
      <c r="E452" s="242"/>
      <c r="F452" s="243"/>
      <c r="G452" s="70">
        <f>SUM(G8:G378)</f>
        <v>1540719.9203600001</v>
      </c>
      <c r="H452" s="70"/>
      <c r="I452" s="142"/>
      <c r="J452" s="70">
        <f>SUM(J8:J451)</f>
        <v>321738.75866666669</v>
      </c>
      <c r="K452" s="70">
        <f t="shared" ref="K452:P452" si="42">SUM(K8:K451)</f>
        <v>2366842.39</v>
      </c>
      <c r="L452" s="70">
        <f t="shared" si="42"/>
        <v>2535</v>
      </c>
      <c r="M452" s="70">
        <f t="shared" si="42"/>
        <v>35892</v>
      </c>
      <c r="N452" s="70"/>
      <c r="O452" s="70"/>
      <c r="P452" s="70">
        <f t="shared" si="42"/>
        <v>4086948.9368800009</v>
      </c>
    </row>
    <row r="453" spans="1:16" x14ac:dyDescent="0.3">
      <c r="A453" s="2"/>
      <c r="B453" s="2"/>
      <c r="C453" s="43"/>
      <c r="D453" s="12"/>
      <c r="E453" s="2"/>
      <c r="G453" s="2"/>
      <c r="H453" s="2"/>
      <c r="J453" s="65"/>
      <c r="K453" s="2"/>
      <c r="L453" s="2"/>
      <c r="M453" s="138"/>
      <c r="N453" s="2"/>
      <c r="O453" s="2"/>
      <c r="P453" s="138"/>
    </row>
    <row r="454" spans="1:16" x14ac:dyDescent="0.3">
      <c r="C454" s="96"/>
      <c r="D454" s="96"/>
      <c r="G454" s="63"/>
      <c r="P454" s="143"/>
    </row>
    <row r="455" spans="1:16" x14ac:dyDescent="0.3">
      <c r="A455" s="85" t="s">
        <v>7</v>
      </c>
      <c r="C455" s="96"/>
      <c r="D455" s="96"/>
    </row>
    <row r="456" spans="1:16" x14ac:dyDescent="0.3">
      <c r="C456" s="96"/>
      <c r="D456" s="96"/>
    </row>
    <row r="457" spans="1:16" x14ac:dyDescent="0.3">
      <c r="B457" s="85" t="s">
        <v>531</v>
      </c>
      <c r="C457" s="96"/>
      <c r="D457" s="96"/>
    </row>
    <row r="458" spans="1:16" x14ac:dyDescent="0.3">
      <c r="C458" s="96"/>
      <c r="D458" s="96"/>
    </row>
    <row r="459" spans="1:16" x14ac:dyDescent="0.3">
      <c r="A459" s="97" t="s">
        <v>5</v>
      </c>
      <c r="C459" s="96"/>
      <c r="D459" s="96"/>
    </row>
    <row r="460" spans="1:16" x14ac:dyDescent="0.3">
      <c r="C460" s="96"/>
      <c r="D460" s="96"/>
    </row>
    <row r="461" spans="1:16" x14ac:dyDescent="0.3">
      <c r="A461" s="97"/>
      <c r="C461" s="96"/>
      <c r="D461" s="96"/>
    </row>
    <row r="462" spans="1:16" x14ac:dyDescent="0.3">
      <c r="A462" s="98" t="s">
        <v>924</v>
      </c>
      <c r="C462" s="96"/>
      <c r="D462" s="96"/>
    </row>
    <row r="463" spans="1:16" x14ac:dyDescent="0.3">
      <c r="A463" s="85" t="s">
        <v>925</v>
      </c>
      <c r="C463" s="96"/>
      <c r="D463" s="96"/>
    </row>
    <row r="464" spans="1:16" x14ac:dyDescent="0.3">
      <c r="C464" s="96" t="s">
        <v>506</v>
      </c>
      <c r="D464" s="96"/>
    </row>
    <row r="465" spans="3:4" x14ac:dyDescent="0.3">
      <c r="C465" s="96"/>
      <c r="D465" s="96"/>
    </row>
    <row r="466" spans="3:4" x14ac:dyDescent="0.3">
      <c r="C466" s="96"/>
      <c r="D466" s="96"/>
    </row>
    <row r="467" spans="3:4" x14ac:dyDescent="0.3">
      <c r="C467" s="96"/>
      <c r="D467" s="96"/>
    </row>
    <row r="468" spans="3:4" x14ac:dyDescent="0.3">
      <c r="C468" s="96"/>
      <c r="D468" s="96"/>
    </row>
    <row r="469" spans="3:4" x14ac:dyDescent="0.3">
      <c r="C469" s="96"/>
      <c r="D469" s="96"/>
    </row>
    <row r="470" spans="3:4" x14ac:dyDescent="0.3">
      <c r="C470" s="96"/>
      <c r="D470" s="96"/>
    </row>
    <row r="471" spans="3:4" x14ac:dyDescent="0.3">
      <c r="C471" s="96"/>
      <c r="D471" s="96"/>
    </row>
  </sheetData>
  <autoFilter ref="A7:P447"/>
  <mergeCells count="4">
    <mergeCell ref="A3:G3"/>
    <mergeCell ref="A4:G4"/>
    <mergeCell ref="A5:G5"/>
    <mergeCell ref="B452:F452"/>
  </mergeCells>
  <phoneticPr fontId="12" type="noConversion"/>
  <pageMargins left="0.7" right="0.7" top="0.75" bottom="0.75" header="0.3" footer="0.3"/>
  <pageSetup scale="65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94"/>
  <sheetViews>
    <sheetView workbookViewId="0">
      <pane ySplit="7" topLeftCell="A187" activePane="bottomLeft" state="frozen"/>
      <selection pane="bottomLeft" sqref="A1:XFD1048576"/>
    </sheetView>
  </sheetViews>
  <sheetFormatPr baseColWidth="10" defaultColWidth="14.140625" defaultRowHeight="18.75" x14ac:dyDescent="0.3"/>
  <cols>
    <col min="1" max="1" width="14.140625" style="85"/>
    <col min="2" max="2" width="17.42578125" style="85" customWidth="1"/>
    <col min="3" max="3" width="69.42578125" style="85" bestFit="1" customWidth="1"/>
    <col min="4" max="4" width="14.140625" style="85"/>
    <col min="6" max="6" width="14.140625" style="138"/>
    <col min="9" max="9" width="14.140625" style="138"/>
    <col min="10" max="10" width="14.140625" style="63"/>
    <col min="13" max="13" width="14.140625" style="139"/>
    <col min="15" max="15" width="14.140625" style="85"/>
    <col min="16" max="16" width="14.140625" style="139"/>
    <col min="17" max="16384" width="14.140625" style="85"/>
  </cols>
  <sheetData>
    <row r="3" spans="1:16" ht="26.25" x14ac:dyDescent="0.4">
      <c r="A3" s="244" t="s">
        <v>0</v>
      </c>
      <c r="B3" s="244"/>
      <c r="C3" s="244"/>
      <c r="D3" s="244"/>
      <c r="E3" s="234"/>
      <c r="F3" s="234"/>
      <c r="G3" s="234"/>
      <c r="J3" s="63">
        <f>500000*56</f>
        <v>28000000</v>
      </c>
      <c r="K3" s="63">
        <f>+J3*55%</f>
        <v>15400000.000000002</v>
      </c>
      <c r="L3" s="63">
        <f>+K3*10%</f>
        <v>1540000.0000000002</v>
      </c>
    </row>
    <row r="4" spans="1:16" x14ac:dyDescent="0.3">
      <c r="A4" s="245" t="s">
        <v>1</v>
      </c>
      <c r="B4" s="246"/>
      <c r="C4" s="246"/>
      <c r="D4" s="246"/>
      <c r="E4" s="236"/>
      <c r="F4" s="236"/>
      <c r="G4" s="236"/>
    </row>
    <row r="5" spans="1:16" x14ac:dyDescent="0.3">
      <c r="A5" s="237" t="s">
        <v>1123</v>
      </c>
      <c r="B5" s="237"/>
      <c r="C5" s="237"/>
      <c r="D5" s="237"/>
      <c r="E5" s="237"/>
      <c r="F5" s="237"/>
      <c r="G5" s="237"/>
    </row>
    <row r="7" spans="1:16" ht="56.25" x14ac:dyDescent="0.3">
      <c r="A7" s="86" t="s">
        <v>118</v>
      </c>
      <c r="B7" s="86" t="s">
        <v>9</v>
      </c>
      <c r="C7" s="87" t="s">
        <v>2</v>
      </c>
      <c r="D7" s="87" t="s">
        <v>1120</v>
      </c>
      <c r="E7" s="83" t="s">
        <v>3</v>
      </c>
      <c r="F7" s="131" t="s">
        <v>117</v>
      </c>
      <c r="G7" s="83" t="s">
        <v>4</v>
      </c>
      <c r="H7" s="82" t="s">
        <v>9</v>
      </c>
      <c r="I7" s="131" t="s">
        <v>915</v>
      </c>
      <c r="J7" s="84" t="s">
        <v>117</v>
      </c>
      <c r="K7" s="83" t="s">
        <v>4</v>
      </c>
      <c r="L7" s="83" t="s">
        <v>929</v>
      </c>
      <c r="M7" s="140" t="s">
        <v>914</v>
      </c>
      <c r="N7" s="83" t="s">
        <v>927</v>
      </c>
      <c r="O7" s="87" t="s">
        <v>944</v>
      </c>
      <c r="P7" s="131" t="s">
        <v>4</v>
      </c>
    </row>
    <row r="8" spans="1:16" s="92" customFormat="1" x14ac:dyDescent="0.3">
      <c r="A8" s="113" t="s">
        <v>11</v>
      </c>
      <c r="B8" s="102">
        <v>44652</v>
      </c>
      <c r="C8" s="25" t="s">
        <v>1220</v>
      </c>
      <c r="D8" s="25" t="s">
        <v>1121</v>
      </c>
      <c r="E8" s="14">
        <f>18*30</f>
        <v>540</v>
      </c>
      <c r="F8" s="132">
        <v>33.799999999999997</v>
      </c>
      <c r="G8" s="50">
        <f>+F8*18</f>
        <v>608.4</v>
      </c>
      <c r="H8" s="103"/>
      <c r="I8" s="141"/>
      <c r="J8" s="104"/>
      <c r="K8" s="103"/>
      <c r="L8" s="103">
        <v>150</v>
      </c>
      <c r="M8" s="151">
        <f>+E8+I8-L8</f>
        <v>390</v>
      </c>
      <c r="N8" s="103"/>
      <c r="O8" s="103" t="s">
        <v>945</v>
      </c>
      <c r="P8" s="137">
        <f>+F8*M8</f>
        <v>13181.999999999998</v>
      </c>
    </row>
    <row r="9" spans="1:16" s="8" customFormat="1" ht="15.75" x14ac:dyDescent="0.25">
      <c r="A9" s="113" t="s">
        <v>120</v>
      </c>
      <c r="B9" s="102">
        <v>44193</v>
      </c>
      <c r="C9" s="25" t="s">
        <v>533</v>
      </c>
      <c r="D9" s="25" t="s">
        <v>1122</v>
      </c>
      <c r="E9" s="14">
        <v>43</v>
      </c>
      <c r="F9" s="132">
        <v>215</v>
      </c>
      <c r="G9" s="50">
        <f>E9*F9</f>
        <v>9245</v>
      </c>
      <c r="H9" s="103"/>
      <c r="I9" s="141"/>
      <c r="J9" s="104"/>
      <c r="K9" s="103"/>
      <c r="L9" s="103">
        <f>1+1+1</f>
        <v>3</v>
      </c>
      <c r="M9" s="141">
        <f t="shared" ref="M9:M72" si="0">+E9+I9-L9</f>
        <v>40</v>
      </c>
      <c r="N9" s="103"/>
      <c r="O9" s="103" t="s">
        <v>946</v>
      </c>
      <c r="P9" s="137">
        <f t="shared" ref="P9:P23" si="1">+F9*M9</f>
        <v>8600</v>
      </c>
    </row>
    <row r="10" spans="1:16" s="8" customFormat="1" ht="14.25" customHeight="1" x14ac:dyDescent="0.25">
      <c r="A10" s="113" t="s">
        <v>12</v>
      </c>
      <c r="B10" s="102">
        <v>45020</v>
      </c>
      <c r="C10" s="25" t="s">
        <v>534</v>
      </c>
      <c r="D10" s="25" t="s">
        <v>1122</v>
      </c>
      <c r="E10" s="14">
        <v>12</v>
      </c>
      <c r="F10" s="132">
        <v>3540</v>
      </c>
      <c r="G10" s="50">
        <f>E10*F10</f>
        <v>42480</v>
      </c>
      <c r="H10" s="103"/>
      <c r="I10" s="141"/>
      <c r="J10" s="104"/>
      <c r="K10" s="103"/>
      <c r="L10" s="103"/>
      <c r="M10" s="141">
        <f t="shared" si="0"/>
        <v>12</v>
      </c>
      <c r="N10" s="103"/>
      <c r="O10" s="103" t="s">
        <v>946</v>
      </c>
      <c r="P10" s="137">
        <f t="shared" si="1"/>
        <v>42480</v>
      </c>
    </row>
    <row r="11" spans="1:16" s="8" customFormat="1" ht="15.75" x14ac:dyDescent="0.25">
      <c r="A11" s="113" t="s">
        <v>121</v>
      </c>
      <c r="B11" s="102">
        <v>44193</v>
      </c>
      <c r="C11" s="25" t="s">
        <v>535</v>
      </c>
      <c r="D11" s="25" t="s">
        <v>1122</v>
      </c>
      <c r="E11" s="30">
        <v>0</v>
      </c>
      <c r="F11" s="132">
        <v>127.12</v>
      </c>
      <c r="G11" s="50">
        <f t="shared" ref="G11:G25" si="2">E11*F11</f>
        <v>0</v>
      </c>
      <c r="H11" s="103"/>
      <c r="I11" s="141"/>
      <c r="J11" s="104"/>
      <c r="K11" s="103"/>
      <c r="L11" s="103"/>
      <c r="M11" s="141">
        <f t="shared" si="0"/>
        <v>0</v>
      </c>
      <c r="N11" s="103"/>
      <c r="O11" s="103" t="s">
        <v>946</v>
      </c>
      <c r="P11" s="137">
        <f t="shared" si="1"/>
        <v>0</v>
      </c>
    </row>
    <row r="12" spans="1:16" s="8" customFormat="1" ht="15.75" x14ac:dyDescent="0.25">
      <c r="A12" s="113" t="s">
        <v>122</v>
      </c>
      <c r="B12" s="102">
        <v>44193</v>
      </c>
      <c r="C12" s="25" t="s">
        <v>838</v>
      </c>
      <c r="D12" s="25" t="s">
        <v>1122</v>
      </c>
      <c r="E12" s="38">
        <v>1</v>
      </c>
      <c r="F12" s="132">
        <v>30</v>
      </c>
      <c r="G12" s="50">
        <f t="shared" si="2"/>
        <v>30</v>
      </c>
      <c r="H12" s="103"/>
      <c r="I12" s="141"/>
      <c r="J12" s="104"/>
      <c r="K12" s="103"/>
      <c r="L12" s="103"/>
      <c r="M12" s="141">
        <f t="shared" si="0"/>
        <v>1</v>
      </c>
      <c r="N12" s="103"/>
      <c r="O12" s="103" t="s">
        <v>946</v>
      </c>
      <c r="P12" s="137">
        <f t="shared" si="1"/>
        <v>30</v>
      </c>
    </row>
    <row r="13" spans="1:16" s="8" customFormat="1" ht="15.75" x14ac:dyDescent="0.25">
      <c r="A13" s="113" t="s">
        <v>123</v>
      </c>
      <c r="B13" s="102">
        <v>44193</v>
      </c>
      <c r="C13" s="25" t="s">
        <v>840</v>
      </c>
      <c r="D13" s="25" t="s">
        <v>1122</v>
      </c>
      <c r="E13" s="14">
        <v>10</v>
      </c>
      <c r="F13" s="132">
        <v>11</v>
      </c>
      <c r="G13" s="50">
        <f t="shared" si="2"/>
        <v>110</v>
      </c>
      <c r="H13" s="103"/>
      <c r="I13" s="141"/>
      <c r="J13" s="104"/>
      <c r="K13" s="103"/>
      <c r="L13" s="103"/>
      <c r="M13" s="141">
        <f t="shared" si="0"/>
        <v>10</v>
      </c>
      <c r="N13" s="103"/>
      <c r="O13" s="103" t="s">
        <v>946</v>
      </c>
      <c r="P13" s="137">
        <f t="shared" si="1"/>
        <v>110</v>
      </c>
    </row>
    <row r="14" spans="1:16" s="8" customFormat="1" ht="15.75" x14ac:dyDescent="0.25">
      <c r="A14" s="113" t="s">
        <v>13</v>
      </c>
      <c r="B14" s="102">
        <v>44193</v>
      </c>
      <c r="C14" s="25" t="s">
        <v>536</v>
      </c>
      <c r="D14" s="25" t="s">
        <v>1122</v>
      </c>
      <c r="E14" s="14">
        <f>49+60+2</f>
        <v>111</v>
      </c>
      <c r="F14" s="132">
        <v>15.84</v>
      </c>
      <c r="G14" s="50">
        <f t="shared" si="2"/>
        <v>1758.24</v>
      </c>
      <c r="H14" s="103"/>
      <c r="I14" s="141"/>
      <c r="J14" s="104"/>
      <c r="K14" s="103"/>
      <c r="L14" s="103"/>
      <c r="M14" s="141">
        <f t="shared" si="0"/>
        <v>111</v>
      </c>
      <c r="N14" s="103"/>
      <c r="O14" s="103" t="s">
        <v>946</v>
      </c>
      <c r="P14" s="137">
        <f t="shared" si="1"/>
        <v>1758.24</v>
      </c>
    </row>
    <row r="15" spans="1:16" s="8" customFormat="1" ht="15.75" x14ac:dyDescent="0.25">
      <c r="A15" s="113" t="s">
        <v>14</v>
      </c>
      <c r="B15" s="102">
        <v>44193</v>
      </c>
      <c r="C15" s="25" t="s">
        <v>537</v>
      </c>
      <c r="D15" s="25" t="s">
        <v>1122</v>
      </c>
      <c r="E15" s="14">
        <v>52</v>
      </c>
      <c r="F15" s="132">
        <v>22.41</v>
      </c>
      <c r="G15" s="50">
        <f t="shared" si="2"/>
        <v>1165.32</v>
      </c>
      <c r="H15" s="103"/>
      <c r="I15" s="141"/>
      <c r="J15" s="104"/>
      <c r="K15" s="103"/>
      <c r="L15" s="103"/>
      <c r="M15" s="141">
        <f t="shared" si="0"/>
        <v>52</v>
      </c>
      <c r="N15" s="103"/>
      <c r="O15" s="103" t="s">
        <v>946</v>
      </c>
      <c r="P15" s="137">
        <f t="shared" si="1"/>
        <v>1165.32</v>
      </c>
    </row>
    <row r="16" spans="1:16" s="8" customFormat="1" ht="15.75" x14ac:dyDescent="0.25">
      <c r="A16" s="113" t="s">
        <v>15</v>
      </c>
      <c r="B16" s="102">
        <v>44193</v>
      </c>
      <c r="C16" s="25" t="s">
        <v>538</v>
      </c>
      <c r="D16" s="25" t="s">
        <v>1122</v>
      </c>
      <c r="E16" s="14">
        <v>42</v>
      </c>
      <c r="F16" s="132">
        <v>5.5</v>
      </c>
      <c r="G16" s="50">
        <f t="shared" si="2"/>
        <v>231</v>
      </c>
      <c r="H16" s="103"/>
      <c r="I16" s="141"/>
      <c r="J16" s="104"/>
      <c r="K16" s="103"/>
      <c r="L16" s="103"/>
      <c r="M16" s="141">
        <f t="shared" si="0"/>
        <v>42</v>
      </c>
      <c r="N16" s="103"/>
      <c r="O16" s="103" t="s">
        <v>946</v>
      </c>
      <c r="P16" s="137">
        <f t="shared" si="1"/>
        <v>231</v>
      </c>
    </row>
    <row r="17" spans="1:16" s="8" customFormat="1" ht="15.75" x14ac:dyDescent="0.25">
      <c r="A17" s="113" t="s">
        <v>124</v>
      </c>
      <c r="B17" s="102">
        <v>44193</v>
      </c>
      <c r="C17" s="25" t="s">
        <v>539</v>
      </c>
      <c r="D17" s="25" t="s">
        <v>1122</v>
      </c>
      <c r="E17" s="14">
        <v>32</v>
      </c>
      <c r="F17" s="132">
        <v>78.099999999999994</v>
      </c>
      <c r="G17" s="50">
        <f t="shared" si="2"/>
        <v>2499.1999999999998</v>
      </c>
      <c r="H17" s="103"/>
      <c r="I17" s="141"/>
      <c r="J17" s="104"/>
      <c r="K17" s="103"/>
      <c r="L17" s="103">
        <v>2</v>
      </c>
      <c r="M17" s="141">
        <f t="shared" si="0"/>
        <v>30</v>
      </c>
      <c r="N17" s="103"/>
      <c r="O17" s="103" t="s">
        <v>946</v>
      </c>
      <c r="P17" s="137">
        <f t="shared" si="1"/>
        <v>2343</v>
      </c>
    </row>
    <row r="18" spans="1:16" s="8" customFormat="1" ht="15.75" x14ac:dyDescent="0.25">
      <c r="A18" s="113" t="s">
        <v>16</v>
      </c>
      <c r="B18" s="102" t="s">
        <v>107</v>
      </c>
      <c r="C18" s="25" t="s">
        <v>540</v>
      </c>
      <c r="D18" s="25" t="s">
        <v>1122</v>
      </c>
      <c r="E18" s="14">
        <v>131</v>
      </c>
      <c r="F18" s="132">
        <v>5.17</v>
      </c>
      <c r="G18" s="50">
        <f t="shared" si="2"/>
        <v>677.27</v>
      </c>
      <c r="H18" s="103"/>
      <c r="I18" s="141"/>
      <c r="J18" s="104"/>
      <c r="K18" s="103"/>
      <c r="L18" s="103"/>
      <c r="M18" s="141">
        <f t="shared" si="0"/>
        <v>131</v>
      </c>
      <c r="N18" s="103"/>
      <c r="O18" s="103" t="s">
        <v>946</v>
      </c>
      <c r="P18" s="137">
        <f t="shared" si="1"/>
        <v>677.27</v>
      </c>
    </row>
    <row r="19" spans="1:16" s="8" customFormat="1" ht="15.75" x14ac:dyDescent="0.25">
      <c r="A19" s="113" t="s">
        <v>17</v>
      </c>
      <c r="B19" s="102" t="s">
        <v>107</v>
      </c>
      <c r="C19" s="25" t="s">
        <v>541</v>
      </c>
      <c r="D19" s="25" t="s">
        <v>1122</v>
      </c>
      <c r="E19" s="14">
        <v>10</v>
      </c>
      <c r="F19" s="133">
        <v>15</v>
      </c>
      <c r="G19" s="50">
        <f t="shared" si="2"/>
        <v>150</v>
      </c>
      <c r="H19" s="103"/>
      <c r="I19" s="141"/>
      <c r="J19" s="104"/>
      <c r="K19" s="103"/>
      <c r="L19" s="103"/>
      <c r="M19" s="141">
        <f t="shared" si="0"/>
        <v>10</v>
      </c>
      <c r="N19" s="103"/>
      <c r="O19" s="103" t="s">
        <v>946</v>
      </c>
      <c r="P19" s="137">
        <f t="shared" si="1"/>
        <v>150</v>
      </c>
    </row>
    <row r="20" spans="1:16" s="8" customFormat="1" ht="15.75" x14ac:dyDescent="0.25">
      <c r="A20" s="113" t="s">
        <v>18</v>
      </c>
      <c r="B20" s="102">
        <v>44193</v>
      </c>
      <c r="C20" s="25" t="s">
        <v>542</v>
      </c>
      <c r="D20" s="25" t="s">
        <v>1122</v>
      </c>
      <c r="E20" s="30">
        <f>4+7+1</f>
        <v>12</v>
      </c>
      <c r="F20" s="132">
        <v>15</v>
      </c>
      <c r="G20" s="50">
        <f t="shared" si="2"/>
        <v>180</v>
      </c>
      <c r="H20" s="103"/>
      <c r="I20" s="141"/>
      <c r="J20" s="104"/>
      <c r="K20" s="103"/>
      <c r="L20" s="103"/>
      <c r="M20" s="141">
        <f t="shared" si="0"/>
        <v>12</v>
      </c>
      <c r="N20" s="103"/>
      <c r="O20" s="103" t="s">
        <v>946</v>
      </c>
      <c r="P20" s="137">
        <f t="shared" si="1"/>
        <v>180</v>
      </c>
    </row>
    <row r="21" spans="1:16" s="8" customFormat="1" ht="15.75" x14ac:dyDescent="0.25">
      <c r="A21" s="113" t="s">
        <v>19</v>
      </c>
      <c r="B21" s="102">
        <v>44193</v>
      </c>
      <c r="C21" s="25" t="s">
        <v>543</v>
      </c>
      <c r="D21" s="25" t="s">
        <v>1122</v>
      </c>
      <c r="E21" s="30">
        <v>8</v>
      </c>
      <c r="F21" s="134">
        <v>15</v>
      </c>
      <c r="G21" s="50">
        <f t="shared" si="2"/>
        <v>120</v>
      </c>
      <c r="H21" s="103"/>
      <c r="I21" s="141"/>
      <c r="J21" s="104"/>
      <c r="K21" s="103"/>
      <c r="L21" s="103"/>
      <c r="M21" s="141">
        <f t="shared" si="0"/>
        <v>8</v>
      </c>
      <c r="N21" s="103"/>
      <c r="O21" s="103" t="s">
        <v>946</v>
      </c>
      <c r="P21" s="137">
        <f t="shared" si="1"/>
        <v>120</v>
      </c>
    </row>
    <row r="22" spans="1:16" s="8" customFormat="1" ht="15.75" x14ac:dyDescent="0.25">
      <c r="A22" s="113" t="s">
        <v>20</v>
      </c>
      <c r="B22" s="102">
        <v>44193</v>
      </c>
      <c r="C22" s="25" t="s">
        <v>835</v>
      </c>
      <c r="D22" s="25" t="s">
        <v>1122</v>
      </c>
      <c r="E22" s="30">
        <v>1</v>
      </c>
      <c r="F22" s="134">
        <v>15</v>
      </c>
      <c r="G22" s="50">
        <f t="shared" si="2"/>
        <v>15</v>
      </c>
      <c r="H22" s="103"/>
      <c r="I22" s="141"/>
      <c r="J22" s="104"/>
      <c r="K22" s="103"/>
      <c r="L22" s="103"/>
      <c r="M22" s="141">
        <f t="shared" si="0"/>
        <v>1</v>
      </c>
      <c r="N22" s="103"/>
      <c r="O22" s="103" t="s">
        <v>946</v>
      </c>
      <c r="P22" s="137">
        <f t="shared" si="1"/>
        <v>15</v>
      </c>
    </row>
    <row r="23" spans="1:16" s="8" customFormat="1" ht="15.75" x14ac:dyDescent="0.25">
      <c r="A23" s="113" t="s">
        <v>21</v>
      </c>
      <c r="B23" s="102" t="s">
        <v>107</v>
      </c>
      <c r="C23" s="25" t="s">
        <v>544</v>
      </c>
      <c r="D23" s="25" t="s">
        <v>1122</v>
      </c>
      <c r="E23" s="30">
        <v>32</v>
      </c>
      <c r="F23" s="133">
        <v>15</v>
      </c>
      <c r="G23" s="50">
        <f t="shared" si="2"/>
        <v>480</v>
      </c>
      <c r="H23" s="103"/>
      <c r="I23" s="141"/>
      <c r="J23" s="104"/>
      <c r="K23" s="103"/>
      <c r="L23" s="103"/>
      <c r="M23" s="141">
        <f t="shared" si="0"/>
        <v>32</v>
      </c>
      <c r="N23" s="103"/>
      <c r="O23" s="103" t="s">
        <v>946</v>
      </c>
      <c r="P23" s="137">
        <f t="shared" si="1"/>
        <v>480</v>
      </c>
    </row>
    <row r="24" spans="1:16" s="8" customFormat="1" ht="15.75" x14ac:dyDescent="0.25">
      <c r="A24" s="113" t="s">
        <v>23</v>
      </c>
      <c r="B24" s="102">
        <v>45020</v>
      </c>
      <c r="C24" s="25" t="s">
        <v>1167</v>
      </c>
      <c r="D24" s="25" t="s">
        <v>1122</v>
      </c>
      <c r="E24" s="30">
        <v>20</v>
      </c>
      <c r="F24" s="133">
        <v>804.76</v>
      </c>
      <c r="G24" s="50">
        <f t="shared" si="2"/>
        <v>16095.2</v>
      </c>
      <c r="H24" s="103"/>
      <c r="I24" s="141"/>
      <c r="J24" s="104"/>
      <c r="K24" s="103"/>
      <c r="L24" s="103">
        <f>1+3+3+3</f>
        <v>10</v>
      </c>
      <c r="M24" s="141">
        <f t="shared" si="0"/>
        <v>10</v>
      </c>
      <c r="N24" s="103"/>
      <c r="O24" s="103" t="s">
        <v>946</v>
      </c>
      <c r="P24" s="137">
        <f>+F24*M24</f>
        <v>8047.6</v>
      </c>
    </row>
    <row r="25" spans="1:16" s="8" customFormat="1" ht="15.75" x14ac:dyDescent="0.25">
      <c r="A25" s="113" t="s">
        <v>24</v>
      </c>
      <c r="B25" s="102">
        <v>44193</v>
      </c>
      <c r="C25" s="25" t="s">
        <v>809</v>
      </c>
      <c r="D25" s="25" t="s">
        <v>1122</v>
      </c>
      <c r="E25" s="30">
        <v>12</v>
      </c>
      <c r="F25" s="133"/>
      <c r="G25" s="50">
        <f t="shared" si="2"/>
        <v>0</v>
      </c>
      <c r="H25" s="103"/>
      <c r="I25" s="141"/>
      <c r="J25" s="104"/>
      <c r="K25" s="103"/>
      <c r="L25" s="103"/>
      <c r="M25" s="141">
        <f t="shared" si="0"/>
        <v>12</v>
      </c>
      <c r="N25" s="103"/>
      <c r="O25" s="103" t="s">
        <v>946</v>
      </c>
      <c r="P25" s="137">
        <f t="shared" ref="P25:P88" si="3">+F25*M25</f>
        <v>0</v>
      </c>
    </row>
    <row r="26" spans="1:16" s="92" customFormat="1" x14ac:dyDescent="0.3">
      <c r="A26" s="113" t="s">
        <v>110</v>
      </c>
      <c r="B26" s="102">
        <v>44193</v>
      </c>
      <c r="C26" s="9" t="s">
        <v>545</v>
      </c>
      <c r="D26" s="25" t="s">
        <v>1122</v>
      </c>
      <c r="E26" s="31">
        <v>10</v>
      </c>
      <c r="F26" s="132">
        <v>225</v>
      </c>
      <c r="G26" s="50">
        <f>E26*F26</f>
        <v>2250</v>
      </c>
      <c r="H26" s="103"/>
      <c r="I26" s="141"/>
      <c r="J26" s="104"/>
      <c r="K26" s="103"/>
      <c r="L26" s="103"/>
      <c r="M26" s="141">
        <f t="shared" si="0"/>
        <v>10</v>
      </c>
      <c r="N26" s="103"/>
      <c r="O26" s="103" t="s">
        <v>947</v>
      </c>
      <c r="P26" s="137">
        <f t="shared" si="3"/>
        <v>2250</v>
      </c>
    </row>
    <row r="27" spans="1:16" s="8" customFormat="1" ht="15.75" x14ac:dyDescent="0.25">
      <c r="A27" s="113" t="s">
        <v>125</v>
      </c>
      <c r="B27" s="102">
        <v>44193</v>
      </c>
      <c r="C27" s="25" t="s">
        <v>546</v>
      </c>
      <c r="D27" s="25" t="s">
        <v>1122</v>
      </c>
      <c r="E27" s="30">
        <v>0</v>
      </c>
      <c r="F27" s="132">
        <v>68</v>
      </c>
      <c r="G27" s="50">
        <f>E27*F27</f>
        <v>0</v>
      </c>
      <c r="H27" s="103"/>
      <c r="I27" s="141"/>
      <c r="J27" s="104"/>
      <c r="K27" s="103"/>
      <c r="L27" s="103"/>
      <c r="M27" s="141">
        <f t="shared" si="0"/>
        <v>0</v>
      </c>
      <c r="N27" s="103"/>
      <c r="O27" s="103" t="s">
        <v>946</v>
      </c>
      <c r="P27" s="137">
        <f t="shared" si="3"/>
        <v>0</v>
      </c>
    </row>
    <row r="28" spans="1:16" s="92" customFormat="1" x14ac:dyDescent="0.3">
      <c r="A28" s="113" t="s">
        <v>25</v>
      </c>
      <c r="B28" s="102">
        <v>44193</v>
      </c>
      <c r="C28" s="25" t="s">
        <v>547</v>
      </c>
      <c r="D28" s="25" t="s">
        <v>1122</v>
      </c>
      <c r="E28" s="30">
        <v>4</v>
      </c>
      <c r="F28" s="132">
        <v>470</v>
      </c>
      <c r="G28" s="50">
        <f>E28*F28</f>
        <v>1880</v>
      </c>
      <c r="H28" s="103"/>
      <c r="I28" s="141"/>
      <c r="J28" s="104"/>
      <c r="K28" s="103"/>
      <c r="L28" s="103"/>
      <c r="M28" s="141">
        <f t="shared" si="0"/>
        <v>4</v>
      </c>
      <c r="N28" s="103"/>
      <c r="O28" s="103" t="s">
        <v>945</v>
      </c>
      <c r="P28" s="137">
        <f t="shared" si="3"/>
        <v>1880</v>
      </c>
    </row>
    <row r="29" spans="1:16" s="8" customFormat="1" ht="15.75" x14ac:dyDescent="0.25">
      <c r="A29" s="113" t="s">
        <v>126</v>
      </c>
      <c r="B29" s="102" t="s">
        <v>107</v>
      </c>
      <c r="C29" s="26" t="s">
        <v>807</v>
      </c>
      <c r="D29" s="25" t="s">
        <v>1122</v>
      </c>
      <c r="E29" s="30">
        <v>70</v>
      </c>
      <c r="F29" s="132">
        <v>16.46</v>
      </c>
      <c r="G29" s="50">
        <f>+E29*F29</f>
        <v>1152.2</v>
      </c>
      <c r="H29" s="103"/>
      <c r="I29" s="141"/>
      <c r="J29" s="104"/>
      <c r="K29" s="103"/>
      <c r="L29" s="103"/>
      <c r="M29" s="141">
        <f t="shared" si="0"/>
        <v>70</v>
      </c>
      <c r="N29" s="103"/>
      <c r="O29" s="103" t="s">
        <v>946</v>
      </c>
      <c r="P29" s="137">
        <f t="shared" si="3"/>
        <v>1152.2</v>
      </c>
    </row>
    <row r="30" spans="1:16" s="8" customFormat="1" ht="15.75" x14ac:dyDescent="0.25">
      <c r="A30" s="113" t="s">
        <v>26</v>
      </c>
      <c r="B30" s="102" t="s">
        <v>107</v>
      </c>
      <c r="C30" s="26" t="s">
        <v>549</v>
      </c>
      <c r="D30" s="25" t="s">
        <v>1122</v>
      </c>
      <c r="E30" s="30">
        <v>0</v>
      </c>
      <c r="F30" s="133">
        <v>6.4</v>
      </c>
      <c r="G30" s="50">
        <f>E30*F30</f>
        <v>0</v>
      </c>
      <c r="H30" s="103"/>
      <c r="I30" s="141"/>
      <c r="J30" s="104"/>
      <c r="K30" s="103"/>
      <c r="L30" s="103"/>
      <c r="M30" s="141">
        <f t="shared" si="0"/>
        <v>0</v>
      </c>
      <c r="N30" s="103"/>
      <c r="O30" s="103" t="s">
        <v>946</v>
      </c>
      <c r="P30" s="137">
        <f t="shared" si="3"/>
        <v>0</v>
      </c>
    </row>
    <row r="31" spans="1:16" s="8" customFormat="1" ht="15.75" x14ac:dyDescent="0.25">
      <c r="A31" s="113" t="s">
        <v>27</v>
      </c>
      <c r="B31" s="102">
        <v>44193</v>
      </c>
      <c r="C31" s="26" t="s">
        <v>550</v>
      </c>
      <c r="D31" s="25" t="s">
        <v>1122</v>
      </c>
      <c r="E31" s="30">
        <v>0</v>
      </c>
      <c r="F31" s="132">
        <v>105.93</v>
      </c>
      <c r="G31" s="50">
        <f>E31*F31</f>
        <v>0</v>
      </c>
      <c r="H31" s="103"/>
      <c r="I31" s="141"/>
      <c r="J31" s="104"/>
      <c r="K31" s="103"/>
      <c r="L31" s="103"/>
      <c r="M31" s="141">
        <f t="shared" si="0"/>
        <v>0</v>
      </c>
      <c r="N31" s="103"/>
      <c r="O31" s="103" t="s">
        <v>946</v>
      </c>
      <c r="P31" s="137">
        <f t="shared" si="3"/>
        <v>0</v>
      </c>
    </row>
    <row r="32" spans="1:16" s="8" customFormat="1" ht="15.75" x14ac:dyDescent="0.25">
      <c r="A32" s="113" t="s">
        <v>28</v>
      </c>
      <c r="B32" s="102">
        <v>44193</v>
      </c>
      <c r="C32" s="25" t="s">
        <v>806</v>
      </c>
      <c r="D32" s="25" t="s">
        <v>1122</v>
      </c>
      <c r="E32" s="38">
        <v>2</v>
      </c>
      <c r="F32" s="132">
        <v>160</v>
      </c>
      <c r="G32" s="50">
        <f>E32*F32</f>
        <v>320</v>
      </c>
      <c r="H32" s="103"/>
      <c r="I32" s="141"/>
      <c r="J32" s="104"/>
      <c r="K32" s="103"/>
      <c r="L32" s="103">
        <v>1</v>
      </c>
      <c r="M32" s="141">
        <f t="shared" si="0"/>
        <v>1</v>
      </c>
      <c r="N32" s="103"/>
      <c r="O32" s="103" t="s">
        <v>946</v>
      </c>
      <c r="P32" s="137">
        <f t="shared" si="3"/>
        <v>160</v>
      </c>
    </row>
    <row r="33" spans="1:16" s="92" customFormat="1" x14ac:dyDescent="0.3">
      <c r="A33" s="113" t="s">
        <v>127</v>
      </c>
      <c r="B33" s="102">
        <v>44449</v>
      </c>
      <c r="C33" s="25" t="s">
        <v>551</v>
      </c>
      <c r="D33" s="25" t="s">
        <v>1122</v>
      </c>
      <c r="E33" s="30">
        <v>9</v>
      </c>
      <c r="F33" s="132">
        <v>600</v>
      </c>
      <c r="G33" s="50">
        <f t="shared" ref="G33:G61" si="4">E33*F33</f>
        <v>5400</v>
      </c>
      <c r="H33" s="103"/>
      <c r="I33" s="141"/>
      <c r="J33" s="104"/>
      <c r="K33" s="103"/>
      <c r="L33" s="103">
        <v>1</v>
      </c>
      <c r="M33" s="141">
        <f t="shared" si="0"/>
        <v>8</v>
      </c>
      <c r="N33" s="103"/>
      <c r="O33" s="103" t="s">
        <v>945</v>
      </c>
      <c r="P33" s="137">
        <f t="shared" si="3"/>
        <v>4800</v>
      </c>
    </row>
    <row r="34" spans="1:16" s="8" customFormat="1" ht="15.75" x14ac:dyDescent="0.25">
      <c r="A34" s="113" t="s">
        <v>29</v>
      </c>
      <c r="B34" s="102">
        <v>44193</v>
      </c>
      <c r="C34" s="9" t="s">
        <v>552</v>
      </c>
      <c r="D34" s="25" t="s">
        <v>1122</v>
      </c>
      <c r="E34" s="30">
        <f>20+23</f>
        <v>43</v>
      </c>
      <c r="F34" s="132">
        <v>200</v>
      </c>
      <c r="G34" s="50">
        <f t="shared" si="4"/>
        <v>8600</v>
      </c>
      <c r="H34" s="103"/>
      <c r="I34" s="141"/>
      <c r="J34" s="104"/>
      <c r="K34" s="103"/>
      <c r="L34" s="103"/>
      <c r="M34" s="141">
        <f t="shared" si="0"/>
        <v>43</v>
      </c>
      <c r="N34" s="103"/>
      <c r="O34" s="103" t="s">
        <v>947</v>
      </c>
      <c r="P34" s="137">
        <f t="shared" si="3"/>
        <v>8600</v>
      </c>
    </row>
    <row r="35" spans="1:16" s="8" customFormat="1" ht="15.75" x14ac:dyDescent="0.25">
      <c r="A35" s="113" t="s">
        <v>30</v>
      </c>
      <c r="B35" s="102">
        <v>44193</v>
      </c>
      <c r="C35" s="9" t="s">
        <v>553</v>
      </c>
      <c r="D35" s="25" t="s">
        <v>1122</v>
      </c>
      <c r="E35" s="30">
        <v>9</v>
      </c>
      <c r="F35" s="132">
        <v>200</v>
      </c>
      <c r="G35" s="50">
        <f t="shared" si="4"/>
        <v>1800</v>
      </c>
      <c r="H35" s="103"/>
      <c r="I35" s="141"/>
      <c r="J35" s="104"/>
      <c r="K35" s="103"/>
      <c r="L35" s="103"/>
      <c r="M35" s="141">
        <f t="shared" si="0"/>
        <v>9</v>
      </c>
      <c r="N35" s="103"/>
      <c r="O35" s="103" t="s">
        <v>947</v>
      </c>
      <c r="P35" s="137">
        <f t="shared" si="3"/>
        <v>1800</v>
      </c>
    </row>
    <row r="36" spans="1:16" s="92" customFormat="1" x14ac:dyDescent="0.3">
      <c r="A36" s="113" t="s">
        <v>99</v>
      </c>
      <c r="B36" s="102">
        <v>44193</v>
      </c>
      <c r="C36" s="25" t="s">
        <v>548</v>
      </c>
      <c r="D36" s="25" t="s">
        <v>1122</v>
      </c>
      <c r="E36" s="30">
        <v>36</v>
      </c>
      <c r="F36" s="132">
        <v>75</v>
      </c>
      <c r="G36" s="50">
        <f t="shared" si="4"/>
        <v>2700</v>
      </c>
      <c r="H36" s="103"/>
      <c r="I36" s="141"/>
      <c r="J36" s="104"/>
      <c r="K36" s="103"/>
      <c r="L36" s="103">
        <v>36</v>
      </c>
      <c r="M36" s="141">
        <f t="shared" si="0"/>
        <v>0</v>
      </c>
      <c r="N36" s="103"/>
      <c r="O36" s="103" t="s">
        <v>945</v>
      </c>
      <c r="P36" s="137">
        <f t="shared" si="3"/>
        <v>0</v>
      </c>
    </row>
    <row r="37" spans="1:16" s="8" customFormat="1" ht="15.75" x14ac:dyDescent="0.25">
      <c r="A37" s="113" t="s">
        <v>31</v>
      </c>
      <c r="B37" s="102">
        <v>44193</v>
      </c>
      <c r="C37" s="25" t="s">
        <v>554</v>
      </c>
      <c r="D37" s="25" t="s">
        <v>1122</v>
      </c>
      <c r="E37" s="30">
        <v>0</v>
      </c>
      <c r="F37" s="132">
        <v>4.24</v>
      </c>
      <c r="G37" s="50">
        <f t="shared" si="4"/>
        <v>0</v>
      </c>
      <c r="H37" s="103"/>
      <c r="I37" s="141"/>
      <c r="J37" s="104"/>
      <c r="K37" s="103"/>
      <c r="L37" s="103"/>
      <c r="M37" s="141">
        <f t="shared" si="0"/>
        <v>0</v>
      </c>
      <c r="N37" s="103"/>
      <c r="O37" s="103" t="s">
        <v>946</v>
      </c>
      <c r="P37" s="137">
        <f>+F37*M37</f>
        <v>0</v>
      </c>
    </row>
    <row r="38" spans="1:16" s="8" customFormat="1" ht="15.75" x14ac:dyDescent="0.25">
      <c r="A38" s="113" t="s">
        <v>32</v>
      </c>
      <c r="B38" s="102">
        <v>44193</v>
      </c>
      <c r="C38" s="25" t="s">
        <v>555</v>
      </c>
      <c r="D38" s="25" t="s">
        <v>1122</v>
      </c>
      <c r="E38" s="30">
        <v>0</v>
      </c>
      <c r="F38" s="132">
        <v>3.39</v>
      </c>
      <c r="G38" s="50">
        <f t="shared" si="4"/>
        <v>0</v>
      </c>
      <c r="H38" s="103"/>
      <c r="I38" s="141"/>
      <c r="J38" s="104"/>
      <c r="K38" s="103"/>
      <c r="L38" s="103"/>
      <c r="M38" s="141">
        <f t="shared" si="0"/>
        <v>0</v>
      </c>
      <c r="N38" s="103"/>
      <c r="O38" s="103" t="s">
        <v>946</v>
      </c>
      <c r="P38" s="137">
        <f t="shared" si="3"/>
        <v>0</v>
      </c>
    </row>
    <row r="39" spans="1:16" s="8" customFormat="1" ht="15.75" x14ac:dyDescent="0.25">
      <c r="A39" s="113" t="s">
        <v>33</v>
      </c>
      <c r="B39" s="102">
        <v>44193</v>
      </c>
      <c r="C39" s="9" t="s">
        <v>556</v>
      </c>
      <c r="D39" s="25" t="s">
        <v>1122</v>
      </c>
      <c r="E39" s="30">
        <v>23</v>
      </c>
      <c r="F39" s="132">
        <v>1625</v>
      </c>
      <c r="G39" s="50">
        <f t="shared" si="4"/>
        <v>37375</v>
      </c>
      <c r="H39" s="103"/>
      <c r="I39" s="141"/>
      <c r="J39" s="104"/>
      <c r="K39" s="103"/>
      <c r="L39" s="103"/>
      <c r="M39" s="141">
        <f t="shared" si="0"/>
        <v>23</v>
      </c>
      <c r="N39" s="103"/>
      <c r="O39" s="103" t="s">
        <v>946</v>
      </c>
      <c r="P39" s="137">
        <f t="shared" si="3"/>
        <v>37375</v>
      </c>
    </row>
    <row r="40" spans="1:16" s="8" customFormat="1" ht="15.75" x14ac:dyDescent="0.25">
      <c r="A40" s="113" t="s">
        <v>34</v>
      </c>
      <c r="B40" s="102">
        <v>44193</v>
      </c>
      <c r="C40" s="9" t="s">
        <v>557</v>
      </c>
      <c r="D40" s="25" t="s">
        <v>1122</v>
      </c>
      <c r="E40" s="30">
        <v>0</v>
      </c>
      <c r="F40" s="132">
        <v>1625</v>
      </c>
      <c r="G40" s="50">
        <f t="shared" si="4"/>
        <v>0</v>
      </c>
      <c r="H40" s="103"/>
      <c r="I40" s="141"/>
      <c r="J40" s="104"/>
      <c r="K40" s="103"/>
      <c r="L40" s="103"/>
      <c r="M40" s="141">
        <f t="shared" si="0"/>
        <v>0</v>
      </c>
      <c r="N40" s="103"/>
      <c r="O40" s="103" t="s">
        <v>946</v>
      </c>
      <c r="P40" s="137">
        <f t="shared" si="3"/>
        <v>0</v>
      </c>
    </row>
    <row r="41" spans="1:16" s="105" customFormat="1" ht="15.75" x14ac:dyDescent="0.25">
      <c r="A41" s="113" t="s">
        <v>111</v>
      </c>
      <c r="B41" s="129">
        <v>44852</v>
      </c>
      <c r="C41" s="9" t="s">
        <v>558</v>
      </c>
      <c r="D41" s="25" t="s">
        <v>1122</v>
      </c>
      <c r="E41" s="30">
        <v>10</v>
      </c>
      <c r="F41" s="132">
        <v>26</v>
      </c>
      <c r="G41" s="50">
        <f t="shared" si="4"/>
        <v>260</v>
      </c>
      <c r="H41" s="107">
        <v>44852</v>
      </c>
      <c r="I41" s="141">
        <v>10</v>
      </c>
      <c r="J41" s="104">
        <v>26</v>
      </c>
      <c r="K41" s="108">
        <f>+I41*J41</f>
        <v>260</v>
      </c>
      <c r="L41" s="103">
        <v>1</v>
      </c>
      <c r="M41" s="141">
        <f t="shared" si="0"/>
        <v>19</v>
      </c>
      <c r="N41" s="103"/>
      <c r="O41" s="103" t="s">
        <v>947</v>
      </c>
      <c r="P41" s="137">
        <f>+F41*M41</f>
        <v>494</v>
      </c>
    </row>
    <row r="42" spans="1:16" s="8" customFormat="1" ht="15.75" x14ac:dyDescent="0.25">
      <c r="A42" s="113" t="s">
        <v>128</v>
      </c>
      <c r="B42" s="102">
        <v>44488</v>
      </c>
      <c r="C42" s="26" t="s">
        <v>560</v>
      </c>
      <c r="D42" s="25" t="s">
        <v>1122</v>
      </c>
      <c r="E42" s="55">
        <v>13</v>
      </c>
      <c r="F42" s="132">
        <v>40</v>
      </c>
      <c r="G42" s="50">
        <f t="shared" si="4"/>
        <v>520</v>
      </c>
      <c r="H42" s="103"/>
      <c r="I42" s="141"/>
      <c r="J42" s="104"/>
      <c r="K42" s="103"/>
      <c r="L42" s="103"/>
      <c r="M42" s="141">
        <f t="shared" si="0"/>
        <v>13</v>
      </c>
      <c r="N42" s="103"/>
      <c r="O42" s="103" t="s">
        <v>946</v>
      </c>
      <c r="P42" s="137">
        <f t="shared" si="3"/>
        <v>520</v>
      </c>
    </row>
    <row r="43" spans="1:16" s="8" customFormat="1" ht="15.75" x14ac:dyDescent="0.25">
      <c r="A43" s="113" t="s">
        <v>129</v>
      </c>
      <c r="B43" s="102">
        <v>44193</v>
      </c>
      <c r="C43" s="9" t="s">
        <v>772</v>
      </c>
      <c r="D43" s="25" t="s">
        <v>1122</v>
      </c>
      <c r="E43" s="30">
        <v>23</v>
      </c>
      <c r="F43" s="132">
        <v>2.4</v>
      </c>
      <c r="G43" s="50">
        <f t="shared" si="4"/>
        <v>55.199999999999996</v>
      </c>
      <c r="H43" s="103"/>
      <c r="I43" s="141"/>
      <c r="J43" s="104"/>
      <c r="K43" s="103"/>
      <c r="L43" s="103">
        <f>12+2</f>
        <v>14</v>
      </c>
      <c r="M43" s="141">
        <f t="shared" si="0"/>
        <v>9</v>
      </c>
      <c r="N43" s="103"/>
      <c r="O43" s="103" t="s">
        <v>947</v>
      </c>
      <c r="P43" s="137">
        <f t="shared" si="3"/>
        <v>21.599999999999998</v>
      </c>
    </row>
    <row r="44" spans="1:16" s="8" customFormat="1" ht="15.75" x14ac:dyDescent="0.25">
      <c r="A44" s="113" t="s">
        <v>130</v>
      </c>
      <c r="B44" s="102">
        <v>44193</v>
      </c>
      <c r="C44" s="26" t="s">
        <v>562</v>
      </c>
      <c r="D44" s="25" t="s">
        <v>1122</v>
      </c>
      <c r="E44" s="32">
        <v>0</v>
      </c>
      <c r="F44" s="132">
        <v>700</v>
      </c>
      <c r="G44" s="50">
        <f t="shared" si="4"/>
        <v>0</v>
      </c>
      <c r="H44" s="103"/>
      <c r="I44" s="141"/>
      <c r="J44" s="104"/>
      <c r="K44" s="103"/>
      <c r="L44" s="103"/>
      <c r="M44" s="141">
        <f t="shared" si="0"/>
        <v>0</v>
      </c>
      <c r="N44" s="103"/>
      <c r="O44" s="103" t="s">
        <v>946</v>
      </c>
      <c r="P44" s="137">
        <f t="shared" si="3"/>
        <v>0</v>
      </c>
    </row>
    <row r="45" spans="1:16" s="8" customFormat="1" ht="15.75" x14ac:dyDescent="0.25">
      <c r="A45" s="113" t="s">
        <v>35</v>
      </c>
      <c r="B45" s="102">
        <v>44193</v>
      </c>
      <c r="C45" s="9" t="s">
        <v>563</v>
      </c>
      <c r="D45" s="25" t="s">
        <v>1122</v>
      </c>
      <c r="E45" s="30">
        <v>1</v>
      </c>
      <c r="F45" s="132">
        <v>35</v>
      </c>
      <c r="G45" s="50">
        <f t="shared" si="4"/>
        <v>35</v>
      </c>
      <c r="H45" s="103"/>
      <c r="I45" s="141"/>
      <c r="J45" s="104"/>
      <c r="K45" s="103"/>
      <c r="L45" s="103"/>
      <c r="M45" s="141">
        <f t="shared" si="0"/>
        <v>1</v>
      </c>
      <c r="N45" s="103"/>
      <c r="O45" s="103" t="s">
        <v>947</v>
      </c>
      <c r="P45" s="137">
        <f t="shared" si="3"/>
        <v>35</v>
      </c>
    </row>
    <row r="46" spans="1:16" s="92" customFormat="1" x14ac:dyDescent="0.3">
      <c r="A46" s="113" t="s">
        <v>36</v>
      </c>
      <c r="B46" s="102">
        <v>44193</v>
      </c>
      <c r="C46" s="9" t="s">
        <v>564</v>
      </c>
      <c r="D46" s="25" t="s">
        <v>1122</v>
      </c>
      <c r="E46" s="30">
        <v>0</v>
      </c>
      <c r="F46" s="132">
        <v>2719</v>
      </c>
      <c r="G46" s="50">
        <f t="shared" si="4"/>
        <v>0</v>
      </c>
      <c r="H46" s="103"/>
      <c r="I46" s="141"/>
      <c r="J46" s="104"/>
      <c r="K46" s="103"/>
      <c r="L46" s="103"/>
      <c r="M46" s="141">
        <f t="shared" si="0"/>
        <v>0</v>
      </c>
      <c r="N46" s="103"/>
      <c r="O46" s="103" t="s">
        <v>945</v>
      </c>
      <c r="P46" s="137">
        <f t="shared" si="3"/>
        <v>0</v>
      </c>
    </row>
    <row r="47" spans="1:16" s="8" customFormat="1" ht="15.75" x14ac:dyDescent="0.25">
      <c r="A47" s="113" t="s">
        <v>37</v>
      </c>
      <c r="B47" s="102">
        <v>44193</v>
      </c>
      <c r="C47" s="26" t="s">
        <v>797</v>
      </c>
      <c r="D47" s="25" t="s">
        <v>1122</v>
      </c>
      <c r="E47" s="30">
        <v>2</v>
      </c>
      <c r="F47" s="132">
        <v>600</v>
      </c>
      <c r="G47" s="50">
        <f t="shared" si="4"/>
        <v>1200</v>
      </c>
      <c r="H47" s="103"/>
      <c r="I47" s="141"/>
      <c r="J47" s="104"/>
      <c r="K47" s="103"/>
      <c r="L47" s="103"/>
      <c r="M47" s="141">
        <f t="shared" si="0"/>
        <v>2</v>
      </c>
      <c r="N47" s="103"/>
      <c r="O47" s="103" t="s">
        <v>946</v>
      </c>
      <c r="P47" s="137">
        <f t="shared" si="3"/>
        <v>1200</v>
      </c>
    </row>
    <row r="48" spans="1:16" s="8" customFormat="1" ht="15.75" x14ac:dyDescent="0.25">
      <c r="A48" s="113" t="s">
        <v>38</v>
      </c>
      <c r="B48" s="102">
        <v>44678</v>
      </c>
      <c r="C48" s="26" t="s">
        <v>565</v>
      </c>
      <c r="D48" s="25" t="s">
        <v>1122</v>
      </c>
      <c r="E48" s="32">
        <v>5</v>
      </c>
      <c r="F48" s="132">
        <v>1400</v>
      </c>
      <c r="G48" s="50">
        <f t="shared" si="4"/>
        <v>7000</v>
      </c>
      <c r="H48" s="103"/>
      <c r="I48" s="141"/>
      <c r="J48" s="104"/>
      <c r="K48" s="103"/>
      <c r="L48" s="103"/>
      <c r="M48" s="141">
        <f t="shared" si="0"/>
        <v>5</v>
      </c>
      <c r="N48" s="103"/>
      <c r="O48" s="103" t="s">
        <v>946</v>
      </c>
      <c r="P48" s="137">
        <f t="shared" si="3"/>
        <v>7000</v>
      </c>
    </row>
    <row r="49" spans="1:16" s="8" customFormat="1" ht="15.75" x14ac:dyDescent="0.25">
      <c r="A49" s="113" t="s">
        <v>131</v>
      </c>
      <c r="B49" s="102">
        <v>44678</v>
      </c>
      <c r="C49" s="26" t="s">
        <v>567</v>
      </c>
      <c r="D49" s="25" t="s">
        <v>1122</v>
      </c>
      <c r="E49" s="32">
        <v>10</v>
      </c>
      <c r="F49" s="132">
        <v>500</v>
      </c>
      <c r="G49" s="50">
        <f t="shared" si="4"/>
        <v>5000</v>
      </c>
      <c r="H49" s="103"/>
      <c r="I49" s="141"/>
      <c r="J49" s="104"/>
      <c r="K49" s="103"/>
      <c r="L49" s="103"/>
      <c r="M49" s="141">
        <f t="shared" si="0"/>
        <v>10</v>
      </c>
      <c r="N49" s="103"/>
      <c r="O49" s="103" t="s">
        <v>946</v>
      </c>
      <c r="P49" s="137">
        <f t="shared" si="3"/>
        <v>5000</v>
      </c>
    </row>
    <row r="50" spans="1:16" s="8" customFormat="1" ht="15.75" x14ac:dyDescent="0.25">
      <c r="A50" s="113" t="s">
        <v>39</v>
      </c>
      <c r="B50" s="102">
        <v>44678</v>
      </c>
      <c r="C50" s="26" t="s">
        <v>568</v>
      </c>
      <c r="D50" s="25" t="s">
        <v>1122</v>
      </c>
      <c r="E50" s="32">
        <v>6</v>
      </c>
      <c r="F50" s="132">
        <v>5000</v>
      </c>
      <c r="G50" s="50">
        <f t="shared" si="4"/>
        <v>30000</v>
      </c>
      <c r="H50" s="103"/>
      <c r="I50" s="141"/>
      <c r="J50" s="104"/>
      <c r="K50" s="103"/>
      <c r="L50" s="103"/>
      <c r="M50" s="141">
        <f t="shared" si="0"/>
        <v>6</v>
      </c>
      <c r="N50" s="103"/>
      <c r="O50" s="103" t="s">
        <v>946</v>
      </c>
      <c r="P50" s="137">
        <f t="shared" si="3"/>
        <v>30000</v>
      </c>
    </row>
    <row r="51" spans="1:16" s="8" customFormat="1" ht="15.75" x14ac:dyDescent="0.25">
      <c r="A51" s="113" t="s">
        <v>40</v>
      </c>
      <c r="B51" s="102">
        <v>44193</v>
      </c>
      <c r="C51" s="26" t="s">
        <v>803</v>
      </c>
      <c r="D51" s="25" t="s">
        <v>1122</v>
      </c>
      <c r="E51" s="32">
        <v>6</v>
      </c>
      <c r="F51" s="132">
        <v>2600</v>
      </c>
      <c r="G51" s="50">
        <f t="shared" si="4"/>
        <v>15600</v>
      </c>
      <c r="H51" s="103"/>
      <c r="I51" s="141"/>
      <c r="J51" s="104"/>
      <c r="K51" s="103"/>
      <c r="L51" s="103"/>
      <c r="M51" s="141">
        <f t="shared" si="0"/>
        <v>6</v>
      </c>
      <c r="N51" s="103"/>
      <c r="O51" s="103" t="s">
        <v>946</v>
      </c>
      <c r="P51" s="137">
        <f t="shared" si="3"/>
        <v>15600</v>
      </c>
    </row>
    <row r="52" spans="1:16" s="92" customFormat="1" x14ac:dyDescent="0.3">
      <c r="A52" s="113" t="s">
        <v>132</v>
      </c>
      <c r="B52" s="102">
        <v>44193</v>
      </c>
      <c r="C52" s="25" t="s">
        <v>773</v>
      </c>
      <c r="D52" s="25" t="s">
        <v>1122</v>
      </c>
      <c r="E52" s="14">
        <v>2</v>
      </c>
      <c r="F52" s="132">
        <v>325</v>
      </c>
      <c r="G52" s="50">
        <f t="shared" si="4"/>
        <v>650</v>
      </c>
      <c r="H52" s="103"/>
      <c r="I52" s="141"/>
      <c r="J52" s="104"/>
      <c r="K52" s="103"/>
      <c r="L52" s="103">
        <v>2</v>
      </c>
      <c r="M52" s="141">
        <f t="shared" si="0"/>
        <v>0</v>
      </c>
      <c r="N52" s="103"/>
      <c r="O52" s="103" t="s">
        <v>945</v>
      </c>
      <c r="P52" s="137">
        <f t="shared" si="3"/>
        <v>0</v>
      </c>
    </row>
    <row r="53" spans="1:16" s="92" customFormat="1" x14ac:dyDescent="0.3">
      <c r="A53" s="113" t="s">
        <v>41</v>
      </c>
      <c r="B53" s="102">
        <v>44193</v>
      </c>
      <c r="C53" s="25" t="s">
        <v>570</v>
      </c>
      <c r="D53" s="25" t="s">
        <v>1122</v>
      </c>
      <c r="E53" s="14">
        <f>(43*3)+1</f>
        <v>130</v>
      </c>
      <c r="F53" s="132">
        <v>25</v>
      </c>
      <c r="G53" s="50">
        <f t="shared" si="4"/>
        <v>3250</v>
      </c>
      <c r="H53" s="103"/>
      <c r="I53" s="141"/>
      <c r="J53" s="104"/>
      <c r="K53" s="103"/>
      <c r="L53" s="103">
        <f>1+3+1+5+1</f>
        <v>11</v>
      </c>
      <c r="M53" s="141">
        <f t="shared" si="0"/>
        <v>119</v>
      </c>
      <c r="N53" s="103"/>
      <c r="O53" s="103" t="s">
        <v>945</v>
      </c>
      <c r="P53" s="137">
        <f t="shared" si="3"/>
        <v>2975</v>
      </c>
    </row>
    <row r="54" spans="1:16" s="92" customFormat="1" x14ac:dyDescent="0.3">
      <c r="A54" s="113" t="s">
        <v>133</v>
      </c>
      <c r="B54" s="107">
        <v>45019</v>
      </c>
      <c r="C54" s="25" t="s">
        <v>1190</v>
      </c>
      <c r="D54" s="25" t="s">
        <v>1122</v>
      </c>
      <c r="E54" s="14">
        <v>276</v>
      </c>
      <c r="F54" s="132">
        <v>122.19</v>
      </c>
      <c r="G54" s="50">
        <f t="shared" si="4"/>
        <v>33724.44</v>
      </c>
      <c r="H54" s="107">
        <v>45019</v>
      </c>
      <c r="I54" s="141">
        <v>300</v>
      </c>
      <c r="J54" s="104">
        <v>122.19</v>
      </c>
      <c r="K54" s="104">
        <f>+I54*J54</f>
        <v>36657</v>
      </c>
      <c r="L54" s="103">
        <f>124+2+2+2</f>
        <v>130</v>
      </c>
      <c r="M54" s="151">
        <f t="shared" si="0"/>
        <v>446</v>
      </c>
      <c r="N54" s="103"/>
      <c r="O54" s="103" t="s">
        <v>945</v>
      </c>
      <c r="P54" s="137">
        <f t="shared" si="3"/>
        <v>54496.74</v>
      </c>
    </row>
    <row r="55" spans="1:16" s="8" customFormat="1" ht="15.75" x14ac:dyDescent="0.25">
      <c r="A55" s="113" t="s">
        <v>134</v>
      </c>
      <c r="B55" s="107">
        <v>44851</v>
      </c>
      <c r="C55" s="26" t="s">
        <v>572</v>
      </c>
      <c r="D55" s="25" t="s">
        <v>1122</v>
      </c>
      <c r="E55" s="32"/>
      <c r="F55" s="133">
        <v>107.97</v>
      </c>
      <c r="G55" s="50">
        <f t="shared" si="4"/>
        <v>0</v>
      </c>
      <c r="H55" s="107">
        <v>44851</v>
      </c>
      <c r="I55" s="141">
        <v>30</v>
      </c>
      <c r="J55" s="104">
        <v>107.97</v>
      </c>
      <c r="K55" s="104">
        <f>+I55*J55</f>
        <v>3239.1</v>
      </c>
      <c r="L55" s="103">
        <f>2+1+1</f>
        <v>4</v>
      </c>
      <c r="M55" s="141">
        <f t="shared" si="0"/>
        <v>26</v>
      </c>
      <c r="N55" s="103"/>
      <c r="O55" s="103" t="s">
        <v>946</v>
      </c>
      <c r="P55" s="137">
        <f>+F55*M55</f>
        <v>2807.22</v>
      </c>
    </row>
    <row r="56" spans="1:16" s="8" customFormat="1" ht="15.75" x14ac:dyDescent="0.25">
      <c r="A56" s="113" t="s">
        <v>42</v>
      </c>
      <c r="B56" s="102">
        <v>44193</v>
      </c>
      <c r="C56" s="26" t="s">
        <v>573</v>
      </c>
      <c r="D56" s="25" t="s">
        <v>1122</v>
      </c>
      <c r="E56" s="32"/>
      <c r="F56" s="132">
        <v>169.49</v>
      </c>
      <c r="G56" s="50">
        <f t="shared" si="4"/>
        <v>0</v>
      </c>
      <c r="H56" s="103"/>
      <c r="I56" s="141"/>
      <c r="J56" s="104"/>
      <c r="K56" s="103">
        <f t="shared" ref="K56:K65" si="5">+I56*J56</f>
        <v>0</v>
      </c>
      <c r="L56" s="103">
        <v>2</v>
      </c>
      <c r="M56" s="141">
        <f t="shared" si="0"/>
        <v>-2</v>
      </c>
      <c r="N56" s="103"/>
      <c r="O56" s="103" t="s">
        <v>946</v>
      </c>
      <c r="P56" s="137">
        <f t="shared" si="3"/>
        <v>-338.98</v>
      </c>
    </row>
    <row r="57" spans="1:16" s="8" customFormat="1" x14ac:dyDescent="0.25">
      <c r="A57" s="113" t="s">
        <v>109</v>
      </c>
      <c r="B57" s="102">
        <v>44193</v>
      </c>
      <c r="C57" s="25" t="s">
        <v>574</v>
      </c>
      <c r="D57" s="25" t="s">
        <v>1122</v>
      </c>
      <c r="E57" s="14"/>
      <c r="F57" s="132">
        <v>76.27</v>
      </c>
      <c r="G57" s="50">
        <f t="shared" si="4"/>
        <v>0</v>
      </c>
      <c r="H57" s="103"/>
      <c r="I57" s="141"/>
      <c r="J57" s="104"/>
      <c r="K57" s="103">
        <f t="shared" si="5"/>
        <v>0</v>
      </c>
      <c r="L57" s="159"/>
      <c r="M57" s="141">
        <f t="shared" si="0"/>
        <v>0</v>
      </c>
      <c r="N57" s="103"/>
      <c r="O57" s="103" t="s">
        <v>946</v>
      </c>
      <c r="P57" s="137">
        <f t="shared" si="3"/>
        <v>0</v>
      </c>
    </row>
    <row r="58" spans="1:16" s="8" customFormat="1" ht="15.75" x14ac:dyDescent="0.25">
      <c r="A58" s="113" t="s">
        <v>135</v>
      </c>
      <c r="B58" s="102">
        <v>44193</v>
      </c>
      <c r="C58" s="25" t="s">
        <v>575</v>
      </c>
      <c r="D58" s="25" t="s">
        <v>1122</v>
      </c>
      <c r="E58" s="14"/>
      <c r="F58" s="132">
        <v>93.22</v>
      </c>
      <c r="G58" s="50">
        <f t="shared" si="4"/>
        <v>0</v>
      </c>
      <c r="H58" s="103"/>
      <c r="I58" s="141"/>
      <c r="J58" s="104"/>
      <c r="K58" s="103">
        <f t="shared" si="5"/>
        <v>0</v>
      </c>
      <c r="L58" s="103"/>
      <c r="M58" s="141">
        <f t="shared" si="0"/>
        <v>0</v>
      </c>
      <c r="N58" s="103"/>
      <c r="O58" s="103" t="s">
        <v>946</v>
      </c>
      <c r="P58" s="137">
        <f t="shared" si="3"/>
        <v>0</v>
      </c>
    </row>
    <row r="59" spans="1:16" s="8" customFormat="1" ht="15.75" x14ac:dyDescent="0.25">
      <c r="A59" s="113" t="s">
        <v>43</v>
      </c>
      <c r="B59" s="107">
        <v>44851</v>
      </c>
      <c r="C59" s="26" t="s">
        <v>576</v>
      </c>
      <c r="D59" s="25" t="s">
        <v>1122</v>
      </c>
      <c r="E59" s="32"/>
      <c r="F59" s="132">
        <v>171.69</v>
      </c>
      <c r="G59" s="50">
        <f t="shared" si="4"/>
        <v>0</v>
      </c>
      <c r="H59" s="107">
        <v>44851</v>
      </c>
      <c r="I59" s="141">
        <v>30</v>
      </c>
      <c r="J59" s="104">
        <v>171.69</v>
      </c>
      <c r="K59" s="104">
        <f t="shared" si="5"/>
        <v>5150.7</v>
      </c>
      <c r="L59" s="103">
        <v>2</v>
      </c>
      <c r="M59" s="141">
        <f t="shared" si="0"/>
        <v>28</v>
      </c>
      <c r="N59" s="103"/>
      <c r="O59" s="103" t="s">
        <v>946</v>
      </c>
      <c r="P59" s="137">
        <f t="shared" si="3"/>
        <v>4807.32</v>
      </c>
    </row>
    <row r="60" spans="1:16" s="8" customFormat="1" ht="15.75" x14ac:dyDescent="0.25">
      <c r="A60" s="113" t="s">
        <v>45</v>
      </c>
      <c r="B60" s="102">
        <v>44453</v>
      </c>
      <c r="C60" s="9" t="s">
        <v>577</v>
      </c>
      <c r="D60" s="25" t="s">
        <v>1122</v>
      </c>
      <c r="E60" s="48">
        <v>0</v>
      </c>
      <c r="F60" s="132">
        <v>3000</v>
      </c>
      <c r="G60" s="50">
        <f t="shared" si="4"/>
        <v>0</v>
      </c>
      <c r="H60" s="103"/>
      <c r="I60" s="141"/>
      <c r="J60" s="104"/>
      <c r="K60" s="103">
        <f t="shared" si="5"/>
        <v>0</v>
      </c>
      <c r="L60" s="103"/>
      <c r="M60" s="141">
        <f t="shared" si="0"/>
        <v>0</v>
      </c>
      <c r="N60" s="103"/>
      <c r="O60" s="103" t="s">
        <v>946</v>
      </c>
      <c r="P60" s="137">
        <f t="shared" si="3"/>
        <v>0</v>
      </c>
    </row>
    <row r="61" spans="1:16" s="8" customFormat="1" ht="15.75" x14ac:dyDescent="0.25">
      <c r="A61" s="113" t="s">
        <v>46</v>
      </c>
      <c r="B61" s="102">
        <v>44193</v>
      </c>
      <c r="C61" s="26" t="s">
        <v>578</v>
      </c>
      <c r="D61" s="25" t="s">
        <v>1122</v>
      </c>
      <c r="E61" s="32">
        <v>0</v>
      </c>
      <c r="F61" s="132">
        <v>63.56</v>
      </c>
      <c r="G61" s="50">
        <f t="shared" si="4"/>
        <v>0</v>
      </c>
      <c r="H61" s="103"/>
      <c r="I61" s="141"/>
      <c r="J61" s="104"/>
      <c r="K61" s="103">
        <f t="shared" si="5"/>
        <v>0</v>
      </c>
      <c r="L61" s="103"/>
      <c r="M61" s="141">
        <f t="shared" si="0"/>
        <v>0</v>
      </c>
      <c r="N61" s="103"/>
      <c r="O61" s="103" t="s">
        <v>946</v>
      </c>
      <c r="P61" s="137">
        <f t="shared" si="3"/>
        <v>0</v>
      </c>
    </row>
    <row r="62" spans="1:16" s="8" customFormat="1" ht="15.75" x14ac:dyDescent="0.25">
      <c r="A62" s="113" t="s">
        <v>47</v>
      </c>
      <c r="B62" s="102">
        <v>44193</v>
      </c>
      <c r="C62" s="26" t="s">
        <v>819</v>
      </c>
      <c r="D62" s="25" t="s">
        <v>1122</v>
      </c>
      <c r="E62" s="32">
        <v>2</v>
      </c>
      <c r="F62" s="132"/>
      <c r="G62" s="50"/>
      <c r="H62" s="103"/>
      <c r="I62" s="141"/>
      <c r="J62" s="104"/>
      <c r="K62" s="103">
        <f t="shared" si="5"/>
        <v>0</v>
      </c>
      <c r="L62" s="103"/>
      <c r="M62" s="141">
        <f t="shared" si="0"/>
        <v>2</v>
      </c>
      <c r="N62" s="103"/>
      <c r="O62" s="103" t="s">
        <v>946</v>
      </c>
      <c r="P62" s="137">
        <f t="shared" si="3"/>
        <v>0</v>
      </c>
    </row>
    <row r="63" spans="1:16" s="8" customFormat="1" ht="15.75" x14ac:dyDescent="0.25">
      <c r="A63" s="113" t="s">
        <v>48</v>
      </c>
      <c r="B63" s="102">
        <v>44193</v>
      </c>
      <c r="C63" s="26" t="s">
        <v>817</v>
      </c>
      <c r="D63" s="25" t="s">
        <v>1122</v>
      </c>
      <c r="E63" s="32">
        <v>7</v>
      </c>
      <c r="F63" s="132"/>
      <c r="G63" s="50"/>
      <c r="H63" s="103"/>
      <c r="I63" s="141"/>
      <c r="J63" s="104"/>
      <c r="K63" s="103">
        <f t="shared" si="5"/>
        <v>0</v>
      </c>
      <c r="L63" s="103"/>
      <c r="M63" s="141">
        <f t="shared" si="0"/>
        <v>7</v>
      </c>
      <c r="N63" s="103"/>
      <c r="O63" s="103" t="s">
        <v>946</v>
      </c>
      <c r="P63" s="137">
        <f t="shared" si="3"/>
        <v>0</v>
      </c>
    </row>
    <row r="64" spans="1:16" s="8" customFormat="1" ht="15.75" x14ac:dyDescent="0.25">
      <c r="A64" s="113" t="s">
        <v>49</v>
      </c>
      <c r="B64" s="102">
        <v>44193</v>
      </c>
      <c r="C64" s="26" t="s">
        <v>818</v>
      </c>
      <c r="D64" s="25" t="s">
        <v>1122</v>
      </c>
      <c r="E64" s="32">
        <v>8</v>
      </c>
      <c r="F64" s="132"/>
      <c r="G64" s="50"/>
      <c r="H64" s="103"/>
      <c r="I64" s="141"/>
      <c r="J64" s="104"/>
      <c r="K64" s="103">
        <f t="shared" si="5"/>
        <v>0</v>
      </c>
      <c r="L64" s="103"/>
      <c r="M64" s="141">
        <f t="shared" si="0"/>
        <v>8</v>
      </c>
      <c r="N64" s="103"/>
      <c r="O64" s="103" t="s">
        <v>946</v>
      </c>
      <c r="P64" s="137">
        <f t="shared" si="3"/>
        <v>0</v>
      </c>
    </row>
    <row r="65" spans="1:16" s="8" customFormat="1" ht="15.75" x14ac:dyDescent="0.25">
      <c r="A65" s="113" t="s">
        <v>50</v>
      </c>
      <c r="B65" s="106" t="s">
        <v>116</v>
      </c>
      <c r="C65" s="25" t="s">
        <v>720</v>
      </c>
      <c r="D65" s="25" t="s">
        <v>1122</v>
      </c>
      <c r="E65" s="32">
        <v>1</v>
      </c>
      <c r="F65" s="133">
        <v>3000</v>
      </c>
      <c r="G65" s="50">
        <f>E65*F65</f>
        <v>3000</v>
      </c>
      <c r="H65" s="103"/>
      <c r="I65" s="141"/>
      <c r="J65" s="104"/>
      <c r="K65" s="103">
        <f t="shared" si="5"/>
        <v>0</v>
      </c>
      <c r="L65" s="103">
        <v>2</v>
      </c>
      <c r="M65" s="141">
        <f t="shared" si="0"/>
        <v>-1</v>
      </c>
      <c r="N65" s="103"/>
      <c r="O65" s="103" t="s">
        <v>947</v>
      </c>
      <c r="P65" s="137">
        <f t="shared" si="3"/>
        <v>-3000</v>
      </c>
    </row>
    <row r="66" spans="1:16" s="8" customFormat="1" ht="15.75" x14ac:dyDescent="0.25">
      <c r="A66" s="113" t="s">
        <v>51</v>
      </c>
      <c r="B66" s="102">
        <v>44193</v>
      </c>
      <c r="C66" s="26" t="s">
        <v>579</v>
      </c>
      <c r="D66" s="25" t="s">
        <v>1122</v>
      </c>
      <c r="E66" s="32">
        <v>0</v>
      </c>
      <c r="F66" s="132">
        <v>35</v>
      </c>
      <c r="G66" s="50">
        <f t="shared" ref="G66:G87" si="6">E66*F66</f>
        <v>0</v>
      </c>
      <c r="H66" s="103"/>
      <c r="I66" s="141"/>
      <c r="J66" s="104"/>
      <c r="K66" s="103"/>
      <c r="L66" s="103"/>
      <c r="M66" s="141">
        <f t="shared" si="0"/>
        <v>0</v>
      </c>
      <c r="N66" s="103"/>
      <c r="O66" s="103" t="s">
        <v>946</v>
      </c>
      <c r="P66" s="137">
        <f t="shared" si="3"/>
        <v>0</v>
      </c>
    </row>
    <row r="67" spans="1:16" s="8" customFormat="1" ht="15.75" x14ac:dyDescent="0.25">
      <c r="A67" s="113" t="s">
        <v>52</v>
      </c>
      <c r="B67" s="102">
        <v>44193</v>
      </c>
      <c r="C67" s="25" t="s">
        <v>794</v>
      </c>
      <c r="D67" s="25" t="s">
        <v>1122</v>
      </c>
      <c r="E67" s="38">
        <v>1</v>
      </c>
      <c r="F67" s="132">
        <v>97.96</v>
      </c>
      <c r="G67" s="50">
        <f t="shared" si="6"/>
        <v>97.96</v>
      </c>
      <c r="H67" s="103"/>
      <c r="I67" s="141"/>
      <c r="J67" s="104"/>
      <c r="K67" s="103"/>
      <c r="L67" s="103"/>
      <c r="M67" s="150">
        <f t="shared" si="0"/>
        <v>1</v>
      </c>
      <c r="N67" s="103"/>
      <c r="O67" s="103" t="s">
        <v>946</v>
      </c>
      <c r="P67" s="137">
        <f t="shared" si="3"/>
        <v>97.96</v>
      </c>
    </row>
    <row r="68" spans="1:16" s="8" customFormat="1" ht="15.75" x14ac:dyDescent="0.25">
      <c r="A68" s="113" t="s">
        <v>53</v>
      </c>
      <c r="B68" s="102">
        <v>44193</v>
      </c>
      <c r="C68" s="9" t="s">
        <v>580</v>
      </c>
      <c r="D68" s="25" t="s">
        <v>1122</v>
      </c>
      <c r="E68" s="58">
        <v>225</v>
      </c>
      <c r="F68" s="132">
        <v>18</v>
      </c>
      <c r="G68" s="50">
        <f t="shared" si="6"/>
        <v>4050</v>
      </c>
      <c r="H68" s="103"/>
      <c r="I68" s="141"/>
      <c r="J68" s="104"/>
      <c r="K68" s="103"/>
      <c r="L68" s="103"/>
      <c r="M68" s="141">
        <f t="shared" si="0"/>
        <v>225</v>
      </c>
      <c r="N68" s="103"/>
      <c r="O68" s="103" t="s">
        <v>947</v>
      </c>
      <c r="P68" s="137">
        <f t="shared" si="3"/>
        <v>4050</v>
      </c>
    </row>
    <row r="69" spans="1:16" s="8" customFormat="1" ht="15.75" x14ac:dyDescent="0.25">
      <c r="A69" s="113" t="s">
        <v>44</v>
      </c>
      <c r="B69" s="102">
        <v>44193</v>
      </c>
      <c r="C69" s="9" t="s">
        <v>581</v>
      </c>
      <c r="D69" s="25" t="s">
        <v>1122</v>
      </c>
      <c r="E69" s="48">
        <v>0</v>
      </c>
      <c r="F69" s="132">
        <v>114</v>
      </c>
      <c r="G69" s="50">
        <f t="shared" si="6"/>
        <v>0</v>
      </c>
      <c r="H69" s="103"/>
      <c r="I69" s="141"/>
      <c r="J69" s="104"/>
      <c r="K69" s="103"/>
      <c r="L69" s="103"/>
      <c r="M69" s="141">
        <f t="shared" si="0"/>
        <v>0</v>
      </c>
      <c r="N69" s="103"/>
      <c r="O69" s="103" t="s">
        <v>947</v>
      </c>
      <c r="P69" s="137">
        <f t="shared" si="3"/>
        <v>0</v>
      </c>
    </row>
    <row r="70" spans="1:16" s="8" customFormat="1" ht="15.75" x14ac:dyDescent="0.25">
      <c r="A70" s="113" t="s">
        <v>113</v>
      </c>
      <c r="B70" s="102">
        <v>44193</v>
      </c>
      <c r="C70" s="9" t="s">
        <v>582</v>
      </c>
      <c r="D70" s="25" t="s">
        <v>1122</v>
      </c>
      <c r="E70" s="48">
        <v>50</v>
      </c>
      <c r="F70" s="132">
        <v>150</v>
      </c>
      <c r="G70" s="50">
        <f t="shared" si="6"/>
        <v>7500</v>
      </c>
      <c r="H70" s="103"/>
      <c r="I70" s="141"/>
      <c r="J70" s="104"/>
      <c r="K70" s="103"/>
      <c r="L70" s="103"/>
      <c r="M70" s="141">
        <f t="shared" si="0"/>
        <v>50</v>
      </c>
      <c r="N70" s="103"/>
      <c r="O70" s="103" t="s">
        <v>947</v>
      </c>
      <c r="P70" s="137">
        <f t="shared" si="3"/>
        <v>7500</v>
      </c>
    </row>
    <row r="71" spans="1:16" s="8" customFormat="1" ht="15.75" x14ac:dyDescent="0.25">
      <c r="A71" s="113" t="s">
        <v>136</v>
      </c>
      <c r="B71" s="102">
        <v>44193</v>
      </c>
      <c r="C71" s="26" t="s">
        <v>583</v>
      </c>
      <c r="D71" s="25" t="s">
        <v>1122</v>
      </c>
      <c r="E71" s="14">
        <v>0</v>
      </c>
      <c r="F71" s="132">
        <v>105.93</v>
      </c>
      <c r="G71" s="50">
        <f t="shared" si="6"/>
        <v>0</v>
      </c>
      <c r="H71" s="103"/>
      <c r="I71" s="141"/>
      <c r="J71" s="104"/>
      <c r="K71" s="103"/>
      <c r="L71" s="103"/>
      <c r="M71" s="141">
        <f t="shared" si="0"/>
        <v>0</v>
      </c>
      <c r="N71" s="103"/>
      <c r="O71" s="103" t="s">
        <v>946</v>
      </c>
      <c r="P71" s="137">
        <f t="shared" si="3"/>
        <v>0</v>
      </c>
    </row>
    <row r="72" spans="1:16" s="8" customFormat="1" ht="15.75" x14ac:dyDescent="0.25">
      <c r="A72" s="113" t="s">
        <v>137</v>
      </c>
      <c r="B72" s="102">
        <v>44193</v>
      </c>
      <c r="C72" s="26" t="s">
        <v>584</v>
      </c>
      <c r="D72" s="25" t="s">
        <v>1122</v>
      </c>
      <c r="E72" s="14">
        <v>1</v>
      </c>
      <c r="F72" s="132">
        <v>762.71</v>
      </c>
      <c r="G72" s="50">
        <f t="shared" si="6"/>
        <v>762.71</v>
      </c>
      <c r="H72" s="103"/>
      <c r="I72" s="141"/>
      <c r="J72" s="104"/>
      <c r="K72" s="103"/>
      <c r="L72" s="103"/>
      <c r="M72" s="141">
        <f t="shared" si="0"/>
        <v>1</v>
      </c>
      <c r="N72" s="103"/>
      <c r="O72" s="103" t="s">
        <v>946</v>
      </c>
      <c r="P72" s="137">
        <f t="shared" si="3"/>
        <v>762.71</v>
      </c>
    </row>
    <row r="73" spans="1:16" s="8" customFormat="1" ht="15.75" x14ac:dyDescent="0.25">
      <c r="A73" s="113" t="s">
        <v>138</v>
      </c>
      <c r="B73" s="102">
        <v>44193</v>
      </c>
      <c r="C73" s="26" t="s">
        <v>585</v>
      </c>
      <c r="D73" s="25" t="s">
        <v>1122</v>
      </c>
      <c r="E73" s="14">
        <v>0</v>
      </c>
      <c r="F73" s="132">
        <v>338.98</v>
      </c>
      <c r="G73" s="50">
        <f t="shared" si="6"/>
        <v>0</v>
      </c>
      <c r="H73" s="103"/>
      <c r="I73" s="141"/>
      <c r="J73" s="104"/>
      <c r="K73" s="103"/>
      <c r="L73" s="103"/>
      <c r="M73" s="141">
        <f t="shared" ref="M73:M74" si="7">+E73+I73-L73</f>
        <v>0</v>
      </c>
      <c r="N73" s="103"/>
      <c r="O73" s="103" t="s">
        <v>946</v>
      </c>
      <c r="P73" s="137">
        <f t="shared" si="3"/>
        <v>0</v>
      </c>
    </row>
    <row r="74" spans="1:16" s="8" customFormat="1" ht="15.75" x14ac:dyDescent="0.25">
      <c r="A74" s="113" t="s">
        <v>54</v>
      </c>
      <c r="B74" s="102">
        <v>44193</v>
      </c>
      <c r="C74" s="9" t="s">
        <v>586</v>
      </c>
      <c r="D74" s="25" t="s">
        <v>1122</v>
      </c>
      <c r="E74" s="30">
        <v>8</v>
      </c>
      <c r="F74" s="132">
        <v>17.07</v>
      </c>
      <c r="G74" s="50">
        <f t="shared" si="6"/>
        <v>136.56</v>
      </c>
      <c r="H74" s="103"/>
      <c r="I74" s="141"/>
      <c r="J74" s="104"/>
      <c r="K74" s="103"/>
      <c r="L74" s="103"/>
      <c r="M74" s="141">
        <f t="shared" si="7"/>
        <v>8</v>
      </c>
      <c r="N74" s="103"/>
      <c r="O74" s="103" t="s">
        <v>947</v>
      </c>
      <c r="P74" s="137">
        <f t="shared" si="3"/>
        <v>136.56</v>
      </c>
    </row>
    <row r="75" spans="1:16" s="92" customFormat="1" x14ac:dyDescent="0.3">
      <c r="A75" s="113" t="s">
        <v>55</v>
      </c>
      <c r="B75" s="107">
        <v>45019</v>
      </c>
      <c r="C75" s="26" t="s">
        <v>587</v>
      </c>
      <c r="D75" s="25" t="s">
        <v>1122</v>
      </c>
      <c r="E75" s="30">
        <v>129</v>
      </c>
      <c r="F75" s="132">
        <v>172.08</v>
      </c>
      <c r="G75" s="50">
        <f t="shared" si="6"/>
        <v>22198.320000000003</v>
      </c>
      <c r="H75" s="107">
        <v>45019</v>
      </c>
      <c r="I75" s="141">
        <f>6*4</f>
        <v>24</v>
      </c>
      <c r="J75" s="104">
        <v>172.08</v>
      </c>
      <c r="K75" s="108">
        <f>+I75*J75</f>
        <v>4129.92</v>
      </c>
      <c r="L75" s="103">
        <v>130</v>
      </c>
      <c r="M75" s="151">
        <f>+E75+I75-L75</f>
        <v>23</v>
      </c>
      <c r="N75" s="103"/>
      <c r="O75" s="103" t="s">
        <v>945</v>
      </c>
      <c r="P75" s="137">
        <f t="shared" si="3"/>
        <v>3957.84</v>
      </c>
    </row>
    <row r="76" spans="1:16" s="92" customFormat="1" x14ac:dyDescent="0.3">
      <c r="A76" s="113" t="s">
        <v>56</v>
      </c>
      <c r="B76" s="106" t="s">
        <v>106</v>
      </c>
      <c r="C76" s="26" t="s">
        <v>774</v>
      </c>
      <c r="D76" s="25" t="s">
        <v>1122</v>
      </c>
      <c r="E76" s="30">
        <v>67</v>
      </c>
      <c r="F76" s="133">
        <v>50</v>
      </c>
      <c r="G76" s="50">
        <f t="shared" si="6"/>
        <v>3350</v>
      </c>
      <c r="H76" s="103"/>
      <c r="I76" s="141"/>
      <c r="J76" s="104"/>
      <c r="K76" s="103"/>
      <c r="L76" s="103">
        <f>2+4+1+2+1+2+1+1+1</f>
        <v>15</v>
      </c>
      <c r="M76" s="141">
        <f t="shared" ref="M76:M82" si="8">+E76+I76-L76</f>
        <v>52</v>
      </c>
      <c r="N76" s="103"/>
      <c r="O76" s="103" t="s">
        <v>945</v>
      </c>
      <c r="P76" s="137">
        <f t="shared" si="3"/>
        <v>2600</v>
      </c>
    </row>
    <row r="77" spans="1:16" s="92" customFormat="1" x14ac:dyDescent="0.3">
      <c r="A77" s="113" t="s">
        <v>100</v>
      </c>
      <c r="B77" s="102">
        <v>44488</v>
      </c>
      <c r="C77" s="26" t="s">
        <v>589</v>
      </c>
      <c r="D77" s="25" t="s">
        <v>1122</v>
      </c>
      <c r="E77" s="30">
        <v>3</v>
      </c>
      <c r="F77" s="132">
        <v>2200</v>
      </c>
      <c r="G77" s="50">
        <f t="shared" si="6"/>
        <v>6600</v>
      </c>
      <c r="H77" s="103"/>
      <c r="I77" s="141"/>
      <c r="J77" s="104"/>
      <c r="K77" s="103"/>
      <c r="L77" s="103"/>
      <c r="M77" s="141">
        <f t="shared" si="8"/>
        <v>3</v>
      </c>
      <c r="N77" s="103"/>
      <c r="O77" s="103" t="s">
        <v>945</v>
      </c>
      <c r="P77" s="137">
        <f t="shared" si="3"/>
        <v>6600</v>
      </c>
    </row>
    <row r="78" spans="1:16" s="8" customFormat="1" ht="15.75" x14ac:dyDescent="0.25">
      <c r="A78" s="113" t="s">
        <v>57</v>
      </c>
      <c r="B78" s="102">
        <v>44193</v>
      </c>
      <c r="C78" s="9" t="s">
        <v>590</v>
      </c>
      <c r="D78" s="25" t="s">
        <v>1122</v>
      </c>
      <c r="E78" s="30">
        <v>0</v>
      </c>
      <c r="F78" s="132">
        <v>402.54</v>
      </c>
      <c r="G78" s="50">
        <f t="shared" si="6"/>
        <v>0</v>
      </c>
      <c r="H78" s="103"/>
      <c r="I78" s="141"/>
      <c r="J78" s="104"/>
      <c r="K78" s="103"/>
      <c r="L78" s="103"/>
      <c r="M78" s="141">
        <f t="shared" si="8"/>
        <v>0</v>
      </c>
      <c r="N78" s="103"/>
      <c r="O78" s="103" t="s">
        <v>946</v>
      </c>
      <c r="P78" s="137">
        <f t="shared" si="3"/>
        <v>0</v>
      </c>
    </row>
    <row r="79" spans="1:16" s="8" customFormat="1" ht="15.75" x14ac:dyDescent="0.25">
      <c r="A79" s="113" t="s">
        <v>139</v>
      </c>
      <c r="B79" s="102">
        <v>44193</v>
      </c>
      <c r="C79" s="9" t="s">
        <v>591</v>
      </c>
      <c r="D79" s="25" t="s">
        <v>1122</v>
      </c>
      <c r="E79" s="30">
        <v>11</v>
      </c>
      <c r="F79" s="132">
        <v>37.74</v>
      </c>
      <c r="G79" s="50">
        <f t="shared" si="6"/>
        <v>415.14000000000004</v>
      </c>
      <c r="H79" s="103"/>
      <c r="I79" s="141"/>
      <c r="J79" s="104"/>
      <c r="K79" s="103"/>
      <c r="L79" s="103"/>
      <c r="M79" s="141">
        <f t="shared" si="8"/>
        <v>11</v>
      </c>
      <c r="N79" s="103"/>
      <c r="O79" s="103" t="s">
        <v>946</v>
      </c>
      <c r="P79" s="137">
        <f t="shared" si="3"/>
        <v>415.14000000000004</v>
      </c>
    </row>
    <row r="80" spans="1:16" s="105" customFormat="1" ht="15.75" x14ac:dyDescent="0.25">
      <c r="A80" s="113" t="s">
        <v>140</v>
      </c>
      <c r="B80" s="107">
        <v>44883</v>
      </c>
      <c r="C80" s="9" t="s">
        <v>592</v>
      </c>
      <c r="D80" s="25" t="s">
        <v>1122</v>
      </c>
      <c r="E80" s="30">
        <v>10</v>
      </c>
      <c r="F80" s="132">
        <v>68.06</v>
      </c>
      <c r="G80" s="50">
        <f t="shared" si="6"/>
        <v>680.6</v>
      </c>
      <c r="H80" s="107">
        <v>45042</v>
      </c>
      <c r="I80" s="141">
        <v>10</v>
      </c>
      <c r="J80" s="104">
        <v>68.06</v>
      </c>
      <c r="K80" s="103">
        <f>+J80*I80</f>
        <v>680.6</v>
      </c>
      <c r="L80" s="103">
        <v>4</v>
      </c>
      <c r="M80" s="151">
        <f t="shared" si="8"/>
        <v>16</v>
      </c>
      <c r="N80" s="103" t="s">
        <v>1037</v>
      </c>
      <c r="O80" s="103" t="s">
        <v>947</v>
      </c>
      <c r="P80" s="137">
        <f>+F80*M80</f>
        <v>1088.96</v>
      </c>
    </row>
    <row r="81" spans="1:16" s="8" customFormat="1" ht="15.75" x14ac:dyDescent="0.25">
      <c r="A81" s="113" t="s">
        <v>141</v>
      </c>
      <c r="B81" s="102">
        <v>44193</v>
      </c>
      <c r="C81" s="9" t="s">
        <v>593</v>
      </c>
      <c r="D81" s="25" t="s">
        <v>1122</v>
      </c>
      <c r="E81" s="30">
        <v>6</v>
      </c>
      <c r="F81" s="132">
        <v>4740</v>
      </c>
      <c r="G81" s="50">
        <f t="shared" si="6"/>
        <v>28440</v>
      </c>
      <c r="H81" s="103"/>
      <c r="I81" s="141"/>
      <c r="J81" s="104"/>
      <c r="K81" s="103"/>
      <c r="L81" s="103"/>
      <c r="M81" s="141">
        <f t="shared" si="8"/>
        <v>6</v>
      </c>
      <c r="N81" s="103"/>
      <c r="O81" s="103" t="s">
        <v>947</v>
      </c>
      <c r="P81" s="137">
        <f t="shared" si="3"/>
        <v>28440</v>
      </c>
    </row>
    <row r="82" spans="1:16" s="8" customFormat="1" ht="15.75" x14ac:dyDescent="0.25">
      <c r="A82" s="113" t="s">
        <v>58</v>
      </c>
      <c r="B82" s="102">
        <v>44193</v>
      </c>
      <c r="C82" s="9" t="s">
        <v>594</v>
      </c>
      <c r="D82" s="25" t="s">
        <v>1122</v>
      </c>
      <c r="E82" s="30">
        <v>1</v>
      </c>
      <c r="F82" s="132">
        <v>2535</v>
      </c>
      <c r="G82" s="50">
        <f t="shared" si="6"/>
        <v>2535</v>
      </c>
      <c r="H82" s="103"/>
      <c r="I82" s="141"/>
      <c r="J82" s="104"/>
      <c r="K82" s="103"/>
      <c r="L82" s="103">
        <v>1</v>
      </c>
      <c r="M82" s="141">
        <f t="shared" si="8"/>
        <v>0</v>
      </c>
      <c r="N82" s="103"/>
      <c r="O82" s="103" t="s">
        <v>947</v>
      </c>
      <c r="P82" s="137">
        <f t="shared" si="3"/>
        <v>0</v>
      </c>
    </row>
    <row r="83" spans="1:16" s="8" customFormat="1" ht="15.75" x14ac:dyDescent="0.25">
      <c r="A83" s="113" t="s">
        <v>59</v>
      </c>
      <c r="B83" s="102">
        <v>44193</v>
      </c>
      <c r="C83" s="9" t="s">
        <v>595</v>
      </c>
      <c r="D83" s="25" t="s">
        <v>1122</v>
      </c>
      <c r="E83" s="30">
        <v>0</v>
      </c>
      <c r="F83" s="132">
        <v>211.86</v>
      </c>
      <c r="G83" s="50">
        <f t="shared" si="6"/>
        <v>0</v>
      </c>
      <c r="H83" s="103"/>
      <c r="I83" s="141"/>
      <c r="J83" s="104"/>
      <c r="K83" s="103"/>
      <c r="L83" s="103"/>
      <c r="M83" s="141">
        <f>+E83+I83-L83</f>
        <v>0</v>
      </c>
      <c r="N83" s="103"/>
      <c r="O83" s="103" t="s">
        <v>947</v>
      </c>
      <c r="P83" s="137">
        <f t="shared" si="3"/>
        <v>0</v>
      </c>
    </row>
    <row r="84" spans="1:16" s="8" customFormat="1" ht="15.75" x14ac:dyDescent="0.25">
      <c r="A84" s="113" t="s">
        <v>60</v>
      </c>
      <c r="B84" s="102">
        <v>44193</v>
      </c>
      <c r="C84" s="9" t="s">
        <v>596</v>
      </c>
      <c r="D84" s="25" t="s">
        <v>1122</v>
      </c>
      <c r="E84" s="30">
        <v>0</v>
      </c>
      <c r="F84" s="132">
        <v>70</v>
      </c>
      <c r="G84" s="50">
        <f t="shared" si="6"/>
        <v>0</v>
      </c>
      <c r="H84" s="103"/>
      <c r="I84" s="141"/>
      <c r="J84" s="104"/>
      <c r="K84" s="103"/>
      <c r="L84" s="103"/>
      <c r="M84" s="141">
        <f t="shared" ref="M84:M96" si="9">+E84+I84-L84</f>
        <v>0</v>
      </c>
      <c r="N84" s="103"/>
      <c r="O84" s="103" t="s">
        <v>947</v>
      </c>
      <c r="P84" s="137">
        <f t="shared" si="3"/>
        <v>0</v>
      </c>
    </row>
    <row r="85" spans="1:16" s="8" customFormat="1" ht="15.75" x14ac:dyDescent="0.25">
      <c r="A85" s="113" t="s">
        <v>61</v>
      </c>
      <c r="B85" s="102">
        <v>44193</v>
      </c>
      <c r="C85" s="26" t="s">
        <v>597</v>
      </c>
      <c r="D85" s="25" t="s">
        <v>1122</v>
      </c>
      <c r="E85" s="30">
        <v>2</v>
      </c>
      <c r="F85" s="132">
        <v>148.31</v>
      </c>
      <c r="G85" s="50">
        <f t="shared" si="6"/>
        <v>296.62</v>
      </c>
      <c r="H85" s="103"/>
      <c r="I85" s="141"/>
      <c r="J85" s="104"/>
      <c r="K85" s="103"/>
      <c r="L85" s="103"/>
      <c r="M85" s="141">
        <f t="shared" si="9"/>
        <v>2</v>
      </c>
      <c r="N85" s="103"/>
      <c r="O85" s="103" t="s">
        <v>947</v>
      </c>
      <c r="P85" s="137">
        <f t="shared" si="3"/>
        <v>296.62</v>
      </c>
    </row>
    <row r="86" spans="1:16" s="8" customFormat="1" ht="15.75" x14ac:dyDescent="0.25">
      <c r="A86" s="113" t="s">
        <v>62</v>
      </c>
      <c r="B86" s="102">
        <v>45042</v>
      </c>
      <c r="C86" s="9" t="s">
        <v>598</v>
      </c>
      <c r="D86" s="25" t="s">
        <v>1122</v>
      </c>
      <c r="E86" s="30">
        <v>24</v>
      </c>
      <c r="F86" s="132">
        <v>200</v>
      </c>
      <c r="G86" s="50">
        <f t="shared" si="6"/>
        <v>4800</v>
      </c>
      <c r="H86" s="103"/>
      <c r="I86" s="141">
        <v>5</v>
      </c>
      <c r="J86" s="108">
        <v>259.60000000000002</v>
      </c>
      <c r="K86" s="108">
        <f>+J86*I86</f>
        <v>1298</v>
      </c>
      <c r="L86" s="103">
        <v>25</v>
      </c>
      <c r="M86" s="151">
        <f t="shared" si="9"/>
        <v>4</v>
      </c>
      <c r="N86" s="103"/>
      <c r="O86" s="103" t="s">
        <v>947</v>
      </c>
      <c r="P86" s="137">
        <f t="shared" si="3"/>
        <v>800</v>
      </c>
    </row>
    <row r="87" spans="1:16" s="105" customFormat="1" ht="15.75" x14ac:dyDescent="0.25">
      <c r="A87" s="113" t="s">
        <v>63</v>
      </c>
      <c r="B87" s="107">
        <v>44852</v>
      </c>
      <c r="C87" s="9" t="s">
        <v>599</v>
      </c>
      <c r="D87" s="25" t="s">
        <v>1122</v>
      </c>
      <c r="E87" s="30">
        <v>0</v>
      </c>
      <c r="F87" s="132">
        <v>65</v>
      </c>
      <c r="G87" s="50">
        <f t="shared" si="6"/>
        <v>0</v>
      </c>
      <c r="H87" s="107">
        <v>44852</v>
      </c>
      <c r="I87" s="141">
        <v>10</v>
      </c>
      <c r="J87" s="104">
        <v>46</v>
      </c>
      <c r="K87" s="108">
        <f>+J87*I87</f>
        <v>460</v>
      </c>
      <c r="L87" s="103">
        <v>10</v>
      </c>
      <c r="M87" s="141">
        <f t="shared" si="9"/>
        <v>0</v>
      </c>
      <c r="N87" s="103" t="s">
        <v>1037</v>
      </c>
      <c r="O87" s="103" t="s">
        <v>947</v>
      </c>
      <c r="P87" s="137">
        <f t="shared" si="3"/>
        <v>0</v>
      </c>
    </row>
    <row r="88" spans="1:16" s="92" customFormat="1" x14ac:dyDescent="0.3">
      <c r="A88" s="113" t="s">
        <v>64</v>
      </c>
      <c r="B88" s="102">
        <v>44193</v>
      </c>
      <c r="C88" s="25" t="s">
        <v>850</v>
      </c>
      <c r="D88" s="25" t="s">
        <v>1122</v>
      </c>
      <c r="E88" s="38">
        <v>1</v>
      </c>
      <c r="F88" s="132"/>
      <c r="G88" s="50"/>
      <c r="H88" s="103"/>
      <c r="I88" s="141"/>
      <c r="J88" s="104"/>
      <c r="K88" s="103"/>
      <c r="L88" s="103"/>
      <c r="M88" s="141">
        <f t="shared" si="9"/>
        <v>1</v>
      </c>
      <c r="N88" s="103"/>
      <c r="O88" s="103" t="s">
        <v>506</v>
      </c>
      <c r="P88" s="137">
        <f t="shared" si="3"/>
        <v>0</v>
      </c>
    </row>
    <row r="89" spans="1:16" s="105" customFormat="1" ht="15.75" x14ac:dyDescent="0.25">
      <c r="A89" s="113" t="s">
        <v>65</v>
      </c>
      <c r="B89" s="107">
        <v>44852</v>
      </c>
      <c r="C89" s="9" t="s">
        <v>851</v>
      </c>
      <c r="D89" s="25" t="s">
        <v>1122</v>
      </c>
      <c r="E89" s="30">
        <v>6</v>
      </c>
      <c r="F89" s="132">
        <v>7.09</v>
      </c>
      <c r="G89" s="50">
        <f>E89*F89</f>
        <v>42.54</v>
      </c>
      <c r="H89" s="107">
        <v>44852</v>
      </c>
      <c r="I89" s="141">
        <f>10*12</f>
        <v>120</v>
      </c>
      <c r="J89" s="104">
        <v>7.09</v>
      </c>
      <c r="K89" s="103">
        <f>+J89*I89</f>
        <v>850.8</v>
      </c>
      <c r="L89" s="103"/>
      <c r="M89" s="141">
        <f t="shared" si="9"/>
        <v>126</v>
      </c>
      <c r="N89" s="103" t="s">
        <v>1037</v>
      </c>
      <c r="O89" s="108" t="s">
        <v>947</v>
      </c>
      <c r="P89" s="137">
        <f t="shared" ref="P89:P152" si="10">+F89*M89</f>
        <v>893.34</v>
      </c>
    </row>
    <row r="90" spans="1:16" s="8" customFormat="1" ht="15.75" x14ac:dyDescent="0.25">
      <c r="A90" s="113" t="s">
        <v>66</v>
      </c>
      <c r="B90" s="102">
        <v>44547</v>
      </c>
      <c r="C90" s="9" t="s">
        <v>775</v>
      </c>
      <c r="D90" s="25" t="s">
        <v>1122</v>
      </c>
      <c r="E90" s="30">
        <v>10</v>
      </c>
      <c r="F90" s="132">
        <v>155</v>
      </c>
      <c r="G90" s="50">
        <f>E90*F90</f>
        <v>1550</v>
      </c>
      <c r="H90" s="103"/>
      <c r="I90" s="141"/>
      <c r="J90" s="104"/>
      <c r="K90" s="103"/>
      <c r="L90" s="103">
        <v>1</v>
      </c>
      <c r="M90" s="141">
        <f t="shared" si="9"/>
        <v>9</v>
      </c>
      <c r="N90" s="103"/>
      <c r="O90" s="103" t="s">
        <v>947</v>
      </c>
      <c r="P90" s="137">
        <f t="shared" si="10"/>
        <v>1395</v>
      </c>
    </row>
    <row r="91" spans="1:16" s="92" customFormat="1" x14ac:dyDescent="0.3">
      <c r="A91" s="113" t="s">
        <v>68</v>
      </c>
      <c r="B91" s="102">
        <v>44453</v>
      </c>
      <c r="C91" s="25" t="s">
        <v>603</v>
      </c>
      <c r="D91" s="25" t="s">
        <v>1122</v>
      </c>
      <c r="E91" s="14">
        <v>4</v>
      </c>
      <c r="F91" s="132">
        <v>7500</v>
      </c>
      <c r="G91" s="50">
        <f>E91*F91</f>
        <v>30000</v>
      </c>
      <c r="H91" s="103"/>
      <c r="I91" s="141"/>
      <c r="J91" s="104"/>
      <c r="K91" s="103"/>
      <c r="L91" s="103"/>
      <c r="M91" s="141">
        <f t="shared" si="9"/>
        <v>4</v>
      </c>
      <c r="N91" s="103"/>
      <c r="O91" s="103" t="s">
        <v>945</v>
      </c>
      <c r="P91" s="137">
        <f t="shared" si="10"/>
        <v>30000</v>
      </c>
    </row>
    <row r="92" spans="1:16" s="92" customFormat="1" x14ac:dyDescent="0.3">
      <c r="A92" s="113" t="s">
        <v>67</v>
      </c>
      <c r="B92" s="102">
        <v>44659</v>
      </c>
      <c r="C92" s="25" t="s">
        <v>776</v>
      </c>
      <c r="D92" s="25" t="s">
        <v>1122</v>
      </c>
      <c r="E92" s="14">
        <v>108</v>
      </c>
      <c r="F92" s="132">
        <v>156.66667000000001</v>
      </c>
      <c r="G92" s="50">
        <f>E92*F92</f>
        <v>16920.000360000002</v>
      </c>
      <c r="H92" s="103"/>
      <c r="I92" s="141"/>
      <c r="J92" s="104"/>
      <c r="K92" s="103"/>
      <c r="L92" s="103">
        <f>44+14+19+1</f>
        <v>78</v>
      </c>
      <c r="M92" s="151">
        <f t="shared" si="9"/>
        <v>30</v>
      </c>
      <c r="N92" s="103"/>
      <c r="O92" s="103" t="s">
        <v>945</v>
      </c>
      <c r="P92" s="137">
        <f t="shared" si="10"/>
        <v>4700.0001000000002</v>
      </c>
    </row>
    <row r="93" spans="1:16" s="8" customFormat="1" ht="15.75" x14ac:dyDescent="0.25">
      <c r="A93" s="113" t="s">
        <v>69</v>
      </c>
      <c r="B93" s="102">
        <v>44193</v>
      </c>
      <c r="C93" s="25" t="s">
        <v>844</v>
      </c>
      <c r="D93" s="25" t="s">
        <v>1122</v>
      </c>
      <c r="E93" s="14">
        <v>20</v>
      </c>
      <c r="F93" s="132">
        <v>30.5</v>
      </c>
      <c r="G93" s="50">
        <f>E93*F93</f>
        <v>610</v>
      </c>
      <c r="H93" s="103"/>
      <c r="I93" s="141"/>
      <c r="J93" s="104"/>
      <c r="K93" s="103"/>
      <c r="L93" s="103"/>
      <c r="M93" s="141">
        <f t="shared" si="9"/>
        <v>20</v>
      </c>
      <c r="N93" s="103"/>
      <c r="O93" s="103" t="s">
        <v>946</v>
      </c>
      <c r="P93" s="137">
        <f t="shared" si="10"/>
        <v>610</v>
      </c>
    </row>
    <row r="94" spans="1:16" s="8" customFormat="1" ht="15.75" x14ac:dyDescent="0.25">
      <c r="A94" s="113" t="s">
        <v>103</v>
      </c>
      <c r="B94" s="102">
        <v>44193</v>
      </c>
      <c r="C94" s="25" t="s">
        <v>789</v>
      </c>
      <c r="D94" s="25" t="s">
        <v>1122</v>
      </c>
      <c r="E94" s="14">
        <f>21+8+14</f>
        <v>43</v>
      </c>
      <c r="F94" s="132">
        <v>11.24</v>
      </c>
      <c r="G94" s="50">
        <f t="shared" ref="G94:G132" si="11">E94*F94</f>
        <v>483.32</v>
      </c>
      <c r="H94" s="103"/>
      <c r="I94" s="141"/>
      <c r="J94" s="104"/>
      <c r="K94" s="103"/>
      <c r="L94" s="103">
        <v>3</v>
      </c>
      <c r="M94" s="141">
        <f t="shared" si="9"/>
        <v>40</v>
      </c>
      <c r="N94" s="103"/>
      <c r="O94" s="103" t="s">
        <v>946</v>
      </c>
      <c r="P94" s="137">
        <f t="shared" si="10"/>
        <v>449.6</v>
      </c>
    </row>
    <row r="95" spans="1:16" s="8" customFormat="1" ht="15.75" x14ac:dyDescent="0.25">
      <c r="A95" s="113" t="s">
        <v>104</v>
      </c>
      <c r="B95" s="102">
        <v>44193</v>
      </c>
      <c r="C95" s="25" t="s">
        <v>788</v>
      </c>
      <c r="D95" s="25" t="s">
        <v>1122</v>
      </c>
      <c r="E95" s="14">
        <f>16+6+7+2</f>
        <v>31</v>
      </c>
      <c r="F95" s="132">
        <v>11.24</v>
      </c>
      <c r="G95" s="50">
        <f t="shared" si="11"/>
        <v>348.44</v>
      </c>
      <c r="H95" s="103"/>
      <c r="I95" s="141"/>
      <c r="J95" s="104"/>
      <c r="K95" s="103"/>
      <c r="L95" s="103"/>
      <c r="M95" s="141">
        <f t="shared" si="9"/>
        <v>31</v>
      </c>
      <c r="N95" s="103"/>
      <c r="O95" s="103" t="s">
        <v>946</v>
      </c>
      <c r="P95" s="137">
        <f t="shared" si="10"/>
        <v>348.44</v>
      </c>
    </row>
    <row r="96" spans="1:16" s="8" customFormat="1" ht="15.75" x14ac:dyDescent="0.25">
      <c r="A96" s="113" t="s">
        <v>142</v>
      </c>
      <c r="B96" s="102">
        <v>44193</v>
      </c>
      <c r="C96" s="25" t="s">
        <v>604</v>
      </c>
      <c r="D96" s="25" t="s">
        <v>1122</v>
      </c>
      <c r="E96" s="14">
        <v>28</v>
      </c>
      <c r="F96" s="132">
        <v>45</v>
      </c>
      <c r="G96" s="50">
        <f t="shared" si="11"/>
        <v>1260</v>
      </c>
      <c r="H96" s="103"/>
      <c r="I96" s="141"/>
      <c r="J96" s="104"/>
      <c r="K96" s="103"/>
      <c r="L96" s="103"/>
      <c r="M96" s="141">
        <f t="shared" si="9"/>
        <v>28</v>
      </c>
      <c r="N96" s="103"/>
      <c r="O96" s="103" t="s">
        <v>946</v>
      </c>
      <c r="P96" s="137">
        <f t="shared" si="10"/>
        <v>1260</v>
      </c>
    </row>
    <row r="97" spans="1:16" s="8" customFormat="1" ht="15.75" x14ac:dyDescent="0.25">
      <c r="A97" s="113" t="s">
        <v>70</v>
      </c>
      <c r="B97" s="102">
        <v>44193</v>
      </c>
      <c r="C97" s="25" t="s">
        <v>605</v>
      </c>
      <c r="D97" s="25" t="s">
        <v>1122</v>
      </c>
      <c r="E97" s="14">
        <v>4</v>
      </c>
      <c r="F97" s="132">
        <v>40</v>
      </c>
      <c r="G97" s="50">
        <f t="shared" si="11"/>
        <v>160</v>
      </c>
      <c r="H97" s="103"/>
      <c r="I97" s="141"/>
      <c r="J97" s="104"/>
      <c r="K97" s="103"/>
      <c r="L97" s="103"/>
      <c r="M97" s="141">
        <f>+E97+I97-L97</f>
        <v>4</v>
      </c>
      <c r="N97" s="103"/>
      <c r="O97" s="103" t="s">
        <v>946</v>
      </c>
      <c r="P97" s="137">
        <f t="shared" si="10"/>
        <v>160</v>
      </c>
    </row>
    <row r="98" spans="1:16" s="8" customFormat="1" ht="15.75" x14ac:dyDescent="0.25">
      <c r="A98" s="113" t="s">
        <v>71</v>
      </c>
      <c r="B98" s="102">
        <v>44193</v>
      </c>
      <c r="C98" s="25" t="s">
        <v>606</v>
      </c>
      <c r="D98" s="25" t="s">
        <v>1122</v>
      </c>
      <c r="E98" s="14">
        <v>39</v>
      </c>
      <c r="F98" s="132">
        <v>45</v>
      </c>
      <c r="G98" s="50">
        <f t="shared" si="11"/>
        <v>1755</v>
      </c>
      <c r="H98" s="103"/>
      <c r="I98" s="141"/>
      <c r="J98" s="104"/>
      <c r="K98" s="103"/>
      <c r="L98" s="103"/>
      <c r="M98" s="141">
        <f t="shared" ref="M98:M109" si="12">+E98+I98-L98</f>
        <v>39</v>
      </c>
      <c r="N98" s="103"/>
      <c r="O98" s="103" t="s">
        <v>946</v>
      </c>
      <c r="P98" s="137">
        <f t="shared" si="10"/>
        <v>1755</v>
      </c>
    </row>
    <row r="99" spans="1:16" s="8" customFormat="1" ht="15.75" x14ac:dyDescent="0.25">
      <c r="A99" s="113" t="s">
        <v>72</v>
      </c>
      <c r="B99" s="102">
        <v>44193</v>
      </c>
      <c r="C99" s="25" t="s">
        <v>846</v>
      </c>
      <c r="D99" s="25" t="s">
        <v>1122</v>
      </c>
      <c r="E99" s="14">
        <v>1</v>
      </c>
      <c r="F99" s="132">
        <v>47</v>
      </c>
      <c r="G99" s="50">
        <f t="shared" si="11"/>
        <v>47</v>
      </c>
      <c r="H99" s="103"/>
      <c r="I99" s="141"/>
      <c r="J99" s="104"/>
      <c r="K99" s="103"/>
      <c r="L99" s="103"/>
      <c r="M99" s="141">
        <f t="shared" si="12"/>
        <v>1</v>
      </c>
      <c r="N99" s="103"/>
      <c r="O99" s="103" t="s">
        <v>946</v>
      </c>
      <c r="P99" s="137">
        <f t="shared" si="10"/>
        <v>47</v>
      </c>
    </row>
    <row r="100" spans="1:16" s="8" customFormat="1" ht="15.75" x14ac:dyDescent="0.25">
      <c r="A100" s="113" t="s">
        <v>73</v>
      </c>
      <c r="B100" s="102">
        <v>44193</v>
      </c>
      <c r="C100" s="25" t="s">
        <v>607</v>
      </c>
      <c r="D100" s="25" t="s">
        <v>1122</v>
      </c>
      <c r="E100" s="14">
        <v>1</v>
      </c>
      <c r="F100" s="132">
        <v>40</v>
      </c>
      <c r="G100" s="50">
        <f t="shared" si="11"/>
        <v>40</v>
      </c>
      <c r="H100" s="103"/>
      <c r="I100" s="141"/>
      <c r="J100" s="104"/>
      <c r="K100" s="103"/>
      <c r="L100" s="103"/>
      <c r="M100" s="141">
        <f t="shared" si="12"/>
        <v>1</v>
      </c>
      <c r="N100" s="103"/>
      <c r="O100" s="103" t="s">
        <v>946</v>
      </c>
      <c r="P100" s="137">
        <f t="shared" si="10"/>
        <v>40</v>
      </c>
    </row>
    <row r="101" spans="1:16" s="8" customFormat="1" ht="15.75" x14ac:dyDescent="0.25">
      <c r="A101" s="113" t="s">
        <v>74</v>
      </c>
      <c r="B101" s="102">
        <v>44193</v>
      </c>
      <c r="C101" s="25" t="s">
        <v>608</v>
      </c>
      <c r="D101" s="25" t="s">
        <v>1122</v>
      </c>
      <c r="E101" s="32">
        <v>2</v>
      </c>
      <c r="F101" s="132">
        <v>12.21</v>
      </c>
      <c r="G101" s="50">
        <f t="shared" si="11"/>
        <v>24.42</v>
      </c>
      <c r="H101" s="103"/>
      <c r="I101" s="141"/>
      <c r="J101" s="104"/>
      <c r="K101" s="103"/>
      <c r="L101" s="103"/>
      <c r="M101" s="141">
        <f t="shared" si="12"/>
        <v>2</v>
      </c>
      <c r="N101" s="103"/>
      <c r="O101" s="103" t="s">
        <v>946</v>
      </c>
      <c r="P101" s="137">
        <f t="shared" si="10"/>
        <v>24.42</v>
      </c>
    </row>
    <row r="102" spans="1:16" s="8" customFormat="1" ht="15.75" x14ac:dyDescent="0.25">
      <c r="A102" s="113" t="s">
        <v>101</v>
      </c>
      <c r="B102" s="102">
        <v>44193</v>
      </c>
      <c r="C102" s="25" t="s">
        <v>609</v>
      </c>
      <c r="D102" s="25" t="s">
        <v>1122</v>
      </c>
      <c r="E102" s="32">
        <v>0</v>
      </c>
      <c r="F102" s="132">
        <v>4</v>
      </c>
      <c r="G102" s="50">
        <f t="shared" si="11"/>
        <v>0</v>
      </c>
      <c r="H102" s="103"/>
      <c r="I102" s="141"/>
      <c r="J102" s="104"/>
      <c r="K102" s="103"/>
      <c r="L102" s="103"/>
      <c r="M102" s="141">
        <f t="shared" si="12"/>
        <v>0</v>
      </c>
      <c r="N102" s="103"/>
      <c r="O102" s="103" t="s">
        <v>946</v>
      </c>
      <c r="P102" s="137">
        <f t="shared" si="10"/>
        <v>0</v>
      </c>
    </row>
    <row r="103" spans="1:16" s="8" customFormat="1" ht="15.75" x14ac:dyDescent="0.25">
      <c r="A103" s="113" t="s">
        <v>75</v>
      </c>
      <c r="B103" s="102">
        <v>44193</v>
      </c>
      <c r="C103" s="25" t="s">
        <v>610</v>
      </c>
      <c r="D103" s="25" t="s">
        <v>1122</v>
      </c>
      <c r="E103" s="32">
        <f>13+7+29</f>
        <v>49</v>
      </c>
      <c r="F103" s="132">
        <v>5.05</v>
      </c>
      <c r="G103" s="50">
        <f t="shared" si="11"/>
        <v>247.45</v>
      </c>
      <c r="H103" s="103"/>
      <c r="I103" s="141"/>
      <c r="J103" s="104"/>
      <c r="K103" s="103"/>
      <c r="L103" s="103"/>
      <c r="M103" s="141">
        <f t="shared" si="12"/>
        <v>49</v>
      </c>
      <c r="N103" s="103"/>
      <c r="O103" s="103" t="s">
        <v>946</v>
      </c>
      <c r="P103" s="137">
        <f t="shared" si="10"/>
        <v>247.45</v>
      </c>
    </row>
    <row r="104" spans="1:16" s="8" customFormat="1" ht="15.75" x14ac:dyDescent="0.25">
      <c r="A104" s="113" t="s">
        <v>102</v>
      </c>
      <c r="B104" s="102">
        <v>44193</v>
      </c>
      <c r="C104" s="25" t="s">
        <v>611</v>
      </c>
      <c r="D104" s="25" t="s">
        <v>1122</v>
      </c>
      <c r="E104" s="32">
        <v>0</v>
      </c>
      <c r="F104" s="132">
        <v>42.95</v>
      </c>
      <c r="G104" s="50">
        <f t="shared" si="11"/>
        <v>0</v>
      </c>
      <c r="H104" s="103"/>
      <c r="I104" s="141"/>
      <c r="J104" s="104"/>
      <c r="K104" s="103"/>
      <c r="L104" s="103"/>
      <c r="M104" s="141">
        <f t="shared" si="12"/>
        <v>0</v>
      </c>
      <c r="N104" s="103"/>
      <c r="O104" s="103" t="s">
        <v>946</v>
      </c>
      <c r="P104" s="137">
        <f t="shared" si="10"/>
        <v>0</v>
      </c>
    </row>
    <row r="105" spans="1:16" s="8" customFormat="1" ht="15.75" x14ac:dyDescent="0.25">
      <c r="A105" s="113" t="s">
        <v>143</v>
      </c>
      <c r="B105" s="102">
        <v>44193</v>
      </c>
      <c r="C105" s="25" t="s">
        <v>612</v>
      </c>
      <c r="D105" s="25" t="s">
        <v>1122</v>
      </c>
      <c r="E105" s="30">
        <v>11</v>
      </c>
      <c r="F105" s="132">
        <v>19.95</v>
      </c>
      <c r="G105" s="50">
        <f t="shared" si="11"/>
        <v>219.45</v>
      </c>
      <c r="H105" s="103"/>
      <c r="I105" s="141"/>
      <c r="J105" s="104"/>
      <c r="K105" s="103"/>
      <c r="L105" s="103"/>
      <c r="M105" s="141">
        <f t="shared" si="12"/>
        <v>11</v>
      </c>
      <c r="N105" s="103"/>
      <c r="O105" s="103" t="s">
        <v>946</v>
      </c>
      <c r="P105" s="137">
        <f t="shared" si="10"/>
        <v>219.45</v>
      </c>
    </row>
    <row r="106" spans="1:16" s="8" customFormat="1" ht="15.75" x14ac:dyDescent="0.25">
      <c r="A106" s="113" t="s">
        <v>334</v>
      </c>
      <c r="B106" s="102">
        <v>44193</v>
      </c>
      <c r="C106" s="25" t="s">
        <v>613</v>
      </c>
      <c r="D106" s="25" t="s">
        <v>1122</v>
      </c>
      <c r="E106" s="30">
        <f>6+7</f>
        <v>13</v>
      </c>
      <c r="F106" s="132">
        <v>5.78</v>
      </c>
      <c r="G106" s="50">
        <f t="shared" si="11"/>
        <v>75.14</v>
      </c>
      <c r="H106" s="103"/>
      <c r="I106" s="141"/>
      <c r="J106" s="104"/>
      <c r="K106" s="103"/>
      <c r="L106" s="103"/>
      <c r="M106" s="141">
        <f t="shared" si="12"/>
        <v>13</v>
      </c>
      <c r="N106" s="103"/>
      <c r="O106" s="103" t="s">
        <v>946</v>
      </c>
      <c r="P106" s="137">
        <f t="shared" si="10"/>
        <v>75.14</v>
      </c>
    </row>
    <row r="107" spans="1:16" s="8" customFormat="1" ht="15.75" x14ac:dyDescent="0.25">
      <c r="A107" s="113" t="s">
        <v>335</v>
      </c>
      <c r="B107" s="102">
        <v>44193</v>
      </c>
      <c r="C107" s="25" t="s">
        <v>849</v>
      </c>
      <c r="D107" s="25" t="s">
        <v>1122</v>
      </c>
      <c r="E107" s="30">
        <v>1</v>
      </c>
      <c r="F107" s="132"/>
      <c r="G107" s="50">
        <f t="shared" si="11"/>
        <v>0</v>
      </c>
      <c r="H107" s="103"/>
      <c r="I107" s="141"/>
      <c r="J107" s="104"/>
      <c r="K107" s="103"/>
      <c r="L107" s="103"/>
      <c r="M107" s="141">
        <f t="shared" si="12"/>
        <v>1</v>
      </c>
      <c r="N107" s="103"/>
      <c r="O107" s="103" t="s">
        <v>946</v>
      </c>
      <c r="P107" s="137">
        <f t="shared" si="10"/>
        <v>0</v>
      </c>
    </row>
    <row r="108" spans="1:16" s="8" customFormat="1" ht="15.75" x14ac:dyDescent="0.25">
      <c r="A108" s="113" t="s">
        <v>336</v>
      </c>
      <c r="B108" s="102">
        <v>44193</v>
      </c>
      <c r="C108" s="26" t="s">
        <v>821</v>
      </c>
      <c r="D108" s="25" t="s">
        <v>1122</v>
      </c>
      <c r="E108" s="30">
        <v>9</v>
      </c>
      <c r="F108" s="132">
        <v>77.540000000000006</v>
      </c>
      <c r="G108" s="50">
        <f t="shared" si="11"/>
        <v>697.86</v>
      </c>
      <c r="H108" s="103"/>
      <c r="I108" s="141"/>
      <c r="J108" s="104"/>
      <c r="K108" s="103"/>
      <c r="L108" s="103"/>
      <c r="M108" s="141">
        <f t="shared" si="12"/>
        <v>9</v>
      </c>
      <c r="N108" s="103"/>
      <c r="O108" s="103" t="s">
        <v>946</v>
      </c>
      <c r="P108" s="137">
        <f t="shared" si="10"/>
        <v>697.86</v>
      </c>
    </row>
    <row r="109" spans="1:16" s="8" customFormat="1" ht="15.75" x14ac:dyDescent="0.25">
      <c r="A109" s="113" t="s">
        <v>337</v>
      </c>
      <c r="B109" s="102">
        <v>44193</v>
      </c>
      <c r="C109" s="26" t="s">
        <v>820</v>
      </c>
      <c r="D109" s="25" t="s">
        <v>1122</v>
      </c>
      <c r="E109" s="30">
        <v>21</v>
      </c>
      <c r="F109" s="132">
        <v>719.2</v>
      </c>
      <c r="G109" s="50">
        <f t="shared" si="11"/>
        <v>15103.2</v>
      </c>
      <c r="H109" s="103"/>
      <c r="I109" s="141"/>
      <c r="J109" s="104"/>
      <c r="K109" s="103"/>
      <c r="L109" s="103"/>
      <c r="M109" s="141">
        <f t="shared" si="12"/>
        <v>21</v>
      </c>
      <c r="N109" s="103"/>
      <c r="O109" s="103" t="s">
        <v>946</v>
      </c>
      <c r="P109" s="137">
        <f t="shared" si="10"/>
        <v>15103.2</v>
      </c>
    </row>
    <row r="110" spans="1:16" s="8" customFormat="1" ht="15.75" x14ac:dyDescent="0.25">
      <c r="A110" s="113" t="s">
        <v>338</v>
      </c>
      <c r="B110" s="102">
        <v>44193</v>
      </c>
      <c r="C110" s="26" t="s">
        <v>823</v>
      </c>
      <c r="D110" s="25" t="s">
        <v>1122</v>
      </c>
      <c r="E110" s="30">
        <v>3</v>
      </c>
      <c r="F110" s="132">
        <v>51</v>
      </c>
      <c r="G110" s="50">
        <f t="shared" si="11"/>
        <v>153</v>
      </c>
      <c r="H110" s="103"/>
      <c r="I110" s="141"/>
      <c r="J110" s="104"/>
      <c r="K110" s="103"/>
      <c r="L110" s="103"/>
      <c r="M110" s="141">
        <f>+E110+I110-L110</f>
        <v>3</v>
      </c>
      <c r="N110" s="103"/>
      <c r="O110" s="103" t="s">
        <v>946</v>
      </c>
      <c r="P110" s="137">
        <f t="shared" si="10"/>
        <v>153</v>
      </c>
    </row>
    <row r="111" spans="1:16" s="8" customFormat="1" ht="15.75" x14ac:dyDescent="0.25">
      <c r="A111" s="113" t="s">
        <v>339</v>
      </c>
      <c r="B111" s="102">
        <v>44193</v>
      </c>
      <c r="C111" s="26" t="s">
        <v>822</v>
      </c>
      <c r="D111" s="25" t="s">
        <v>1122</v>
      </c>
      <c r="E111" s="30">
        <v>12</v>
      </c>
      <c r="F111" s="132">
        <v>66.11</v>
      </c>
      <c r="G111" s="50">
        <f t="shared" si="11"/>
        <v>793.31999999999994</v>
      </c>
      <c r="H111" s="103"/>
      <c r="I111" s="141"/>
      <c r="J111" s="104"/>
      <c r="K111" s="103"/>
      <c r="L111" s="103"/>
      <c r="M111" s="141">
        <f t="shared" ref="M111:M175" si="13">+E111+I111-L111</f>
        <v>12</v>
      </c>
      <c r="N111" s="103"/>
      <c r="O111" s="103" t="s">
        <v>946</v>
      </c>
      <c r="P111" s="137">
        <f t="shared" si="10"/>
        <v>793.31999999999994</v>
      </c>
    </row>
    <row r="112" spans="1:16" s="8" customFormat="1" ht="15.75" x14ac:dyDescent="0.25">
      <c r="A112" s="113" t="s">
        <v>340</v>
      </c>
      <c r="B112" s="102">
        <v>44193</v>
      </c>
      <c r="C112" s="26" t="s">
        <v>802</v>
      </c>
      <c r="D112" s="25" t="s">
        <v>1122</v>
      </c>
      <c r="E112" s="30">
        <v>2</v>
      </c>
      <c r="F112" s="132">
        <v>70</v>
      </c>
      <c r="G112" s="50">
        <f t="shared" si="11"/>
        <v>140</v>
      </c>
      <c r="H112" s="103"/>
      <c r="I112" s="141"/>
      <c r="J112" s="104"/>
      <c r="K112" s="103"/>
      <c r="L112" s="103"/>
      <c r="M112" s="141">
        <f t="shared" si="13"/>
        <v>2</v>
      </c>
      <c r="N112" s="103"/>
      <c r="O112" s="103" t="s">
        <v>946</v>
      </c>
      <c r="P112" s="137">
        <f t="shared" si="10"/>
        <v>140</v>
      </c>
    </row>
    <row r="113" spans="1:16" s="8" customFormat="1" ht="15.75" x14ac:dyDescent="0.25">
      <c r="A113" s="113" t="s">
        <v>341</v>
      </c>
      <c r="B113" s="102">
        <v>44193</v>
      </c>
      <c r="C113" s="26" t="s">
        <v>804</v>
      </c>
      <c r="D113" s="25" t="s">
        <v>1122</v>
      </c>
      <c r="E113" s="30">
        <v>6</v>
      </c>
      <c r="F113" s="132">
        <v>450</v>
      </c>
      <c r="G113" s="50">
        <f t="shared" si="11"/>
        <v>2700</v>
      </c>
      <c r="H113" s="103"/>
      <c r="I113" s="141"/>
      <c r="J113" s="104"/>
      <c r="K113" s="103"/>
      <c r="L113" s="103">
        <v>1</v>
      </c>
      <c r="M113" s="141">
        <f t="shared" si="13"/>
        <v>5</v>
      </c>
      <c r="N113" s="103"/>
      <c r="O113" s="103" t="s">
        <v>946</v>
      </c>
      <c r="P113" s="137">
        <f t="shared" si="10"/>
        <v>2250</v>
      </c>
    </row>
    <row r="114" spans="1:16" s="8" customFormat="1" ht="15.75" x14ac:dyDescent="0.25">
      <c r="A114" s="113" t="s">
        <v>342</v>
      </c>
      <c r="B114" s="102">
        <v>44193</v>
      </c>
      <c r="C114" s="26" t="s">
        <v>801</v>
      </c>
      <c r="D114" s="25" t="s">
        <v>1122</v>
      </c>
      <c r="E114" s="30">
        <v>2</v>
      </c>
      <c r="F114" s="132">
        <v>719.2</v>
      </c>
      <c r="G114" s="50">
        <f t="shared" si="11"/>
        <v>1438.4</v>
      </c>
      <c r="H114" s="103"/>
      <c r="I114" s="141"/>
      <c r="J114" s="104"/>
      <c r="K114" s="103"/>
      <c r="L114" s="103">
        <v>2</v>
      </c>
      <c r="M114" s="141">
        <f t="shared" si="13"/>
        <v>0</v>
      </c>
      <c r="N114" s="103"/>
      <c r="O114" s="103" t="s">
        <v>946</v>
      </c>
      <c r="P114" s="137">
        <f t="shared" si="10"/>
        <v>0</v>
      </c>
    </row>
    <row r="115" spans="1:16" s="8" customFormat="1" ht="15.75" x14ac:dyDescent="0.25">
      <c r="A115" s="113" t="s">
        <v>343</v>
      </c>
      <c r="B115" s="102">
        <v>44193</v>
      </c>
      <c r="C115" s="25" t="s">
        <v>616</v>
      </c>
      <c r="D115" s="25" t="s">
        <v>1122</v>
      </c>
      <c r="E115" s="32">
        <v>0</v>
      </c>
      <c r="F115" s="132">
        <v>2950</v>
      </c>
      <c r="G115" s="50">
        <f t="shared" si="11"/>
        <v>0</v>
      </c>
      <c r="H115" s="103"/>
      <c r="I115" s="141"/>
      <c r="J115" s="104"/>
      <c r="K115" s="103"/>
      <c r="L115" s="103"/>
      <c r="M115" s="141">
        <f t="shared" si="13"/>
        <v>0</v>
      </c>
      <c r="N115" s="103"/>
      <c r="O115" s="103" t="s">
        <v>946</v>
      </c>
      <c r="P115" s="137">
        <f t="shared" si="10"/>
        <v>0</v>
      </c>
    </row>
    <row r="116" spans="1:16" s="8" customFormat="1" ht="15.75" x14ac:dyDescent="0.25">
      <c r="A116" s="113" t="s">
        <v>344</v>
      </c>
      <c r="B116" s="102">
        <v>44193</v>
      </c>
      <c r="C116" s="25" t="s">
        <v>617</v>
      </c>
      <c r="D116" s="25" t="s">
        <v>1122</v>
      </c>
      <c r="E116" s="32">
        <v>5</v>
      </c>
      <c r="F116" s="132">
        <v>29</v>
      </c>
      <c r="G116" s="50">
        <f t="shared" si="11"/>
        <v>145</v>
      </c>
      <c r="H116" s="103"/>
      <c r="I116" s="141"/>
      <c r="J116" s="104"/>
      <c r="K116" s="103"/>
      <c r="L116" s="103">
        <v>4</v>
      </c>
      <c r="M116" s="141">
        <f t="shared" si="13"/>
        <v>1</v>
      </c>
      <c r="N116" s="103"/>
      <c r="O116" s="103" t="s">
        <v>946</v>
      </c>
      <c r="P116" s="137">
        <f t="shared" si="10"/>
        <v>29</v>
      </c>
    </row>
    <row r="117" spans="1:16" s="8" customFormat="1" ht="15.75" x14ac:dyDescent="0.25">
      <c r="A117" s="113" t="s">
        <v>345</v>
      </c>
      <c r="B117" s="102">
        <v>45042</v>
      </c>
      <c r="C117" s="9" t="s">
        <v>618</v>
      </c>
      <c r="D117" s="25" t="s">
        <v>1122</v>
      </c>
      <c r="E117" s="30">
        <f>12*4</f>
        <v>48</v>
      </c>
      <c r="F117" s="133">
        <v>22</v>
      </c>
      <c r="G117" s="50">
        <f t="shared" si="11"/>
        <v>1056</v>
      </c>
      <c r="H117" s="103"/>
      <c r="I117" s="141"/>
      <c r="J117" s="104"/>
      <c r="K117" s="103"/>
      <c r="L117" s="103">
        <v>1</v>
      </c>
      <c r="M117" s="151">
        <f t="shared" si="13"/>
        <v>47</v>
      </c>
      <c r="N117" s="103"/>
      <c r="O117" s="103" t="s">
        <v>947</v>
      </c>
      <c r="P117" s="137">
        <f t="shared" si="10"/>
        <v>1034</v>
      </c>
    </row>
    <row r="118" spans="1:16" s="92" customFormat="1" x14ac:dyDescent="0.3">
      <c r="A118" s="113" t="s">
        <v>346</v>
      </c>
      <c r="B118" s="102">
        <v>44193</v>
      </c>
      <c r="C118" s="26" t="s">
        <v>619</v>
      </c>
      <c r="D118" s="25" t="s">
        <v>1122</v>
      </c>
      <c r="E118" s="32">
        <v>12</v>
      </c>
      <c r="F118" s="132">
        <v>155</v>
      </c>
      <c r="G118" s="50">
        <f t="shared" si="11"/>
        <v>1860</v>
      </c>
      <c r="H118" s="103"/>
      <c r="I118" s="141"/>
      <c r="J118" s="104"/>
      <c r="K118" s="103"/>
      <c r="L118" s="103">
        <f>2+1+1+1+1+1+1+1+3</f>
        <v>12</v>
      </c>
      <c r="M118" s="141">
        <f t="shared" si="13"/>
        <v>0</v>
      </c>
      <c r="N118" s="103"/>
      <c r="O118" s="103" t="s">
        <v>945</v>
      </c>
      <c r="P118" s="137">
        <f t="shared" si="10"/>
        <v>0</v>
      </c>
    </row>
    <row r="119" spans="1:16" s="92" customFormat="1" x14ac:dyDescent="0.3">
      <c r="A119" s="113" t="s">
        <v>347</v>
      </c>
      <c r="B119" s="102">
        <v>44777</v>
      </c>
      <c r="C119" s="26" t="s">
        <v>620</v>
      </c>
      <c r="D119" s="25" t="s">
        <v>1122</v>
      </c>
      <c r="E119" s="32">
        <v>90</v>
      </c>
      <c r="F119" s="132">
        <v>71.95</v>
      </c>
      <c r="G119" s="50">
        <f t="shared" si="11"/>
        <v>6475.5</v>
      </c>
      <c r="H119" s="103"/>
      <c r="I119" s="141"/>
      <c r="J119" s="104"/>
      <c r="K119" s="103"/>
      <c r="L119" s="103">
        <v>90</v>
      </c>
      <c r="M119" s="141">
        <f t="shared" si="13"/>
        <v>0</v>
      </c>
      <c r="N119" s="103"/>
      <c r="O119" s="103" t="s">
        <v>945</v>
      </c>
      <c r="P119" s="137">
        <f t="shared" si="10"/>
        <v>0</v>
      </c>
    </row>
    <row r="120" spans="1:16" s="8" customFormat="1" ht="15.75" x14ac:dyDescent="0.25">
      <c r="A120" s="113" t="s">
        <v>348</v>
      </c>
      <c r="B120" s="102">
        <v>44193</v>
      </c>
      <c r="C120" s="26" t="s">
        <v>626</v>
      </c>
      <c r="D120" s="25" t="s">
        <v>1122</v>
      </c>
      <c r="E120" s="32">
        <v>0</v>
      </c>
      <c r="F120" s="132">
        <v>190.68</v>
      </c>
      <c r="G120" s="50">
        <f t="shared" si="11"/>
        <v>0</v>
      </c>
      <c r="H120" s="103"/>
      <c r="I120" s="141"/>
      <c r="J120" s="104"/>
      <c r="K120" s="103"/>
      <c r="L120" s="103"/>
      <c r="M120" s="141">
        <f t="shared" si="13"/>
        <v>0</v>
      </c>
      <c r="N120" s="103"/>
      <c r="O120" s="103" t="s">
        <v>946</v>
      </c>
      <c r="P120" s="137">
        <f t="shared" si="10"/>
        <v>0</v>
      </c>
    </row>
    <row r="121" spans="1:16" s="92" customFormat="1" x14ac:dyDescent="0.3">
      <c r="A121" s="113" t="s">
        <v>349</v>
      </c>
      <c r="B121" s="124">
        <v>44851</v>
      </c>
      <c r="C121" s="26" t="s">
        <v>621</v>
      </c>
      <c r="D121" s="25" t="s">
        <v>1122</v>
      </c>
      <c r="E121" s="32">
        <v>1</v>
      </c>
      <c r="F121" s="132">
        <v>1187.08</v>
      </c>
      <c r="G121" s="50">
        <f t="shared" si="11"/>
        <v>1187.08</v>
      </c>
      <c r="H121" s="124">
        <v>44851</v>
      </c>
      <c r="I121" s="141">
        <v>20</v>
      </c>
      <c r="J121" s="126">
        <v>1187.08</v>
      </c>
      <c r="K121" s="127">
        <f>+I121*J121</f>
        <v>23741.599999999999</v>
      </c>
      <c r="L121" s="103">
        <v>12</v>
      </c>
      <c r="M121" s="151">
        <f t="shared" si="13"/>
        <v>9</v>
      </c>
      <c r="N121" s="103"/>
      <c r="O121" s="103" t="s">
        <v>945</v>
      </c>
      <c r="P121" s="137">
        <f t="shared" si="10"/>
        <v>10683.72</v>
      </c>
    </row>
    <row r="122" spans="1:16" s="92" customFormat="1" x14ac:dyDescent="0.3">
      <c r="A122" s="113" t="s">
        <v>350</v>
      </c>
      <c r="B122" s="102">
        <v>44193</v>
      </c>
      <c r="C122" s="26" t="s">
        <v>622</v>
      </c>
      <c r="D122" s="25" t="s">
        <v>1122</v>
      </c>
      <c r="E122" s="32">
        <v>0</v>
      </c>
      <c r="F122" s="132">
        <v>1400</v>
      </c>
      <c r="G122" s="50">
        <f t="shared" si="11"/>
        <v>0</v>
      </c>
      <c r="H122" s="103"/>
      <c r="I122" s="141"/>
      <c r="J122" s="104"/>
      <c r="K122" s="103"/>
      <c r="L122" s="103"/>
      <c r="M122" s="141">
        <f t="shared" si="13"/>
        <v>0</v>
      </c>
      <c r="N122" s="103"/>
      <c r="O122" s="103" t="s">
        <v>945</v>
      </c>
      <c r="P122" s="137">
        <f t="shared" si="10"/>
        <v>0</v>
      </c>
    </row>
    <row r="123" spans="1:16" s="92" customFormat="1" x14ac:dyDescent="0.3">
      <c r="A123" s="113" t="s">
        <v>351</v>
      </c>
      <c r="B123" s="102">
        <v>44456</v>
      </c>
      <c r="C123" s="26" t="s">
        <v>623</v>
      </c>
      <c r="D123" s="25" t="s">
        <v>1122</v>
      </c>
      <c r="E123" s="32">
        <v>13</v>
      </c>
      <c r="F123" s="132">
        <v>1099</v>
      </c>
      <c r="G123" s="50">
        <f t="shared" si="11"/>
        <v>14287</v>
      </c>
      <c r="H123" s="103"/>
      <c r="I123" s="141"/>
      <c r="J123" s="104"/>
      <c r="K123" s="103"/>
      <c r="L123" s="103">
        <v>7</v>
      </c>
      <c r="M123" s="151">
        <f t="shared" si="13"/>
        <v>6</v>
      </c>
      <c r="N123" s="103"/>
      <c r="O123" s="103" t="s">
        <v>945</v>
      </c>
      <c r="P123" s="137">
        <f t="shared" si="10"/>
        <v>6594</v>
      </c>
    </row>
    <row r="124" spans="1:16" s="92" customFormat="1" x14ac:dyDescent="0.3">
      <c r="A124" s="113" t="s">
        <v>352</v>
      </c>
      <c r="B124" s="102">
        <v>44456</v>
      </c>
      <c r="C124" s="26" t="s">
        <v>767</v>
      </c>
      <c r="D124" s="25" t="s">
        <v>1122</v>
      </c>
      <c r="E124" s="32">
        <v>18</v>
      </c>
      <c r="F124" s="132">
        <v>4000</v>
      </c>
      <c r="G124" s="50">
        <f t="shared" si="11"/>
        <v>72000</v>
      </c>
      <c r="H124" s="103"/>
      <c r="I124" s="141"/>
      <c r="J124" s="104"/>
      <c r="K124" s="103"/>
      <c r="L124" s="103">
        <f>4+4+3</f>
        <v>11</v>
      </c>
      <c r="M124" s="141">
        <f t="shared" si="13"/>
        <v>7</v>
      </c>
      <c r="N124" s="103"/>
      <c r="O124" s="103" t="s">
        <v>945</v>
      </c>
      <c r="P124" s="137">
        <f t="shared" si="10"/>
        <v>28000</v>
      </c>
    </row>
    <row r="125" spans="1:16" s="92" customFormat="1" x14ac:dyDescent="0.3">
      <c r="A125" s="113" t="s">
        <v>353</v>
      </c>
      <c r="B125" s="102">
        <v>44193</v>
      </c>
      <c r="C125" s="26" t="s">
        <v>625</v>
      </c>
      <c r="D125" s="25" t="s">
        <v>1122</v>
      </c>
      <c r="E125" s="32">
        <v>5</v>
      </c>
      <c r="F125" s="132">
        <v>1400</v>
      </c>
      <c r="G125" s="50">
        <f t="shared" si="11"/>
        <v>7000</v>
      </c>
      <c r="H125" s="103"/>
      <c r="I125" s="141"/>
      <c r="J125" s="104"/>
      <c r="K125" s="103"/>
      <c r="L125" s="103"/>
      <c r="M125" s="141">
        <f t="shared" si="13"/>
        <v>5</v>
      </c>
      <c r="N125" s="103"/>
      <c r="O125" s="103" t="s">
        <v>945</v>
      </c>
      <c r="P125" s="137">
        <f t="shared" si="10"/>
        <v>7000</v>
      </c>
    </row>
    <row r="126" spans="1:16" s="8" customFormat="1" ht="15.75" x14ac:dyDescent="0.25">
      <c r="A126" s="113" t="s">
        <v>354</v>
      </c>
      <c r="B126" s="106" t="s">
        <v>106</v>
      </c>
      <c r="C126" s="28" t="s">
        <v>627</v>
      </c>
      <c r="D126" s="25" t="s">
        <v>1122</v>
      </c>
      <c r="E126" s="49">
        <v>100</v>
      </c>
      <c r="F126" s="135">
        <v>28</v>
      </c>
      <c r="G126" s="50">
        <f t="shared" si="11"/>
        <v>2800</v>
      </c>
      <c r="H126" s="103"/>
      <c r="I126" s="141"/>
      <c r="J126" s="104"/>
      <c r="K126" s="103"/>
      <c r="L126" s="103"/>
      <c r="M126" s="141">
        <f t="shared" si="13"/>
        <v>100</v>
      </c>
      <c r="N126" s="103"/>
      <c r="O126" s="103" t="s">
        <v>947</v>
      </c>
      <c r="P126" s="137">
        <f t="shared" si="10"/>
        <v>2800</v>
      </c>
    </row>
    <row r="127" spans="1:16" s="8" customFormat="1" ht="15.75" x14ac:dyDescent="0.25">
      <c r="A127" s="113" t="s">
        <v>355</v>
      </c>
      <c r="B127" s="106" t="s">
        <v>114</v>
      </c>
      <c r="C127" s="26" t="s">
        <v>80</v>
      </c>
      <c r="D127" s="25" t="s">
        <v>1122</v>
      </c>
      <c r="E127" s="32">
        <v>0</v>
      </c>
      <c r="F127" s="133">
        <v>85</v>
      </c>
      <c r="G127" s="50">
        <f t="shared" si="11"/>
        <v>0</v>
      </c>
      <c r="H127" s="103"/>
      <c r="I127" s="141"/>
      <c r="J127" s="104"/>
      <c r="K127" s="103"/>
      <c r="L127" s="103"/>
      <c r="M127" s="141">
        <f t="shared" si="13"/>
        <v>0</v>
      </c>
      <c r="N127" s="103"/>
      <c r="O127" s="103" t="s">
        <v>946</v>
      </c>
      <c r="P127" s="137">
        <f t="shared" si="10"/>
        <v>0</v>
      </c>
    </row>
    <row r="128" spans="1:16" s="8" customFormat="1" ht="15.75" x14ac:dyDescent="0.25">
      <c r="A128" s="113" t="s">
        <v>356</v>
      </c>
      <c r="B128" s="102">
        <v>44193</v>
      </c>
      <c r="C128" s="9" t="s">
        <v>628</v>
      </c>
      <c r="D128" s="25" t="s">
        <v>1122</v>
      </c>
      <c r="E128" s="58">
        <v>1</v>
      </c>
      <c r="F128" s="132">
        <v>550</v>
      </c>
      <c r="G128" s="50">
        <f t="shared" si="11"/>
        <v>550</v>
      </c>
      <c r="H128" s="103"/>
      <c r="I128" s="141"/>
      <c r="J128" s="104"/>
      <c r="K128" s="103"/>
      <c r="L128" s="103"/>
      <c r="M128" s="141">
        <f t="shared" si="13"/>
        <v>1</v>
      </c>
      <c r="N128" s="103"/>
      <c r="O128" s="103" t="s">
        <v>946</v>
      </c>
      <c r="P128" s="137">
        <f t="shared" si="10"/>
        <v>550</v>
      </c>
    </row>
    <row r="129" spans="1:16" s="92" customFormat="1" x14ac:dyDescent="0.3">
      <c r="A129" s="113" t="s">
        <v>357</v>
      </c>
      <c r="B129" s="102">
        <v>44193</v>
      </c>
      <c r="C129" s="9" t="s">
        <v>629</v>
      </c>
      <c r="D129" s="25" t="s">
        <v>1122</v>
      </c>
      <c r="E129" s="48">
        <v>0</v>
      </c>
      <c r="F129" s="132">
        <v>60</v>
      </c>
      <c r="G129" s="50">
        <f t="shared" si="11"/>
        <v>0</v>
      </c>
      <c r="H129" s="103"/>
      <c r="I129" s="141"/>
      <c r="J129" s="104"/>
      <c r="K129" s="103"/>
      <c r="L129" s="103"/>
      <c r="M129" s="141">
        <f t="shared" si="13"/>
        <v>0</v>
      </c>
      <c r="N129" s="103"/>
      <c r="O129" s="103" t="s">
        <v>945</v>
      </c>
      <c r="P129" s="137">
        <f t="shared" si="10"/>
        <v>0</v>
      </c>
    </row>
    <row r="130" spans="1:16" s="92" customFormat="1" x14ac:dyDescent="0.3">
      <c r="A130" s="113" t="s">
        <v>358</v>
      </c>
      <c r="B130" s="102">
        <v>45019</v>
      </c>
      <c r="C130" s="25" t="s">
        <v>631</v>
      </c>
      <c r="D130" s="25" t="s">
        <v>1122</v>
      </c>
      <c r="E130" s="32">
        <f>7*12</f>
        <v>84</v>
      </c>
      <c r="F130" s="132">
        <v>115.53</v>
      </c>
      <c r="G130" s="50">
        <f t="shared" si="11"/>
        <v>9704.52</v>
      </c>
      <c r="H130" s="103"/>
      <c r="I130" s="141"/>
      <c r="J130" s="104"/>
      <c r="K130" s="103"/>
      <c r="L130" s="103">
        <f>2+1+2+1+1+1+1+1+1</f>
        <v>11</v>
      </c>
      <c r="M130" s="151">
        <f>+E130+I130-L130</f>
        <v>73</v>
      </c>
      <c r="N130" s="103"/>
      <c r="O130" s="103" t="s">
        <v>945</v>
      </c>
      <c r="P130" s="137">
        <f t="shared" si="10"/>
        <v>8433.69</v>
      </c>
    </row>
    <row r="131" spans="1:16" s="92" customFormat="1" x14ac:dyDescent="0.3">
      <c r="A131" s="113" t="s">
        <v>359</v>
      </c>
      <c r="B131" s="102">
        <v>44656</v>
      </c>
      <c r="C131" s="26" t="s">
        <v>632</v>
      </c>
      <c r="D131" s="25" t="s">
        <v>1122</v>
      </c>
      <c r="E131" s="32">
        <v>12</v>
      </c>
      <c r="F131" s="132">
        <v>128.62</v>
      </c>
      <c r="G131" s="50">
        <f t="shared" si="11"/>
        <v>1543.44</v>
      </c>
      <c r="H131" s="103"/>
      <c r="I131" s="141"/>
      <c r="J131" s="104"/>
      <c r="K131" s="103"/>
      <c r="L131" s="103">
        <v>12</v>
      </c>
      <c r="M131" s="141">
        <f t="shared" si="13"/>
        <v>0</v>
      </c>
      <c r="N131" s="103"/>
      <c r="O131" s="103" t="s">
        <v>945</v>
      </c>
      <c r="P131" s="137">
        <f t="shared" si="10"/>
        <v>0</v>
      </c>
    </row>
    <row r="132" spans="1:16" s="92" customFormat="1" x14ac:dyDescent="0.3">
      <c r="A132" s="113" t="s">
        <v>360</v>
      </c>
      <c r="B132" s="102">
        <v>44659</v>
      </c>
      <c r="C132" s="26" t="s">
        <v>633</v>
      </c>
      <c r="D132" s="25" t="s">
        <v>1122</v>
      </c>
      <c r="E132" s="14">
        <v>41</v>
      </c>
      <c r="F132" s="132">
        <v>325</v>
      </c>
      <c r="G132" s="50">
        <f t="shared" si="11"/>
        <v>13325</v>
      </c>
      <c r="H132" s="103"/>
      <c r="I132" s="141"/>
      <c r="J132" s="104"/>
      <c r="K132" s="103"/>
      <c r="L132" s="103"/>
      <c r="M132" s="141">
        <f t="shared" si="13"/>
        <v>41</v>
      </c>
      <c r="N132" s="103"/>
      <c r="O132" s="103" t="s">
        <v>945</v>
      </c>
      <c r="P132" s="137">
        <f t="shared" si="10"/>
        <v>13325</v>
      </c>
    </row>
    <row r="133" spans="1:16" s="8" customFormat="1" ht="15.75" x14ac:dyDescent="0.25">
      <c r="A133" s="113" t="s">
        <v>361</v>
      </c>
      <c r="B133" s="102"/>
      <c r="C133" s="25" t="s">
        <v>861</v>
      </c>
      <c r="D133" s="25" t="s">
        <v>1122</v>
      </c>
      <c r="E133" s="38">
        <f>8+48</f>
        <v>56</v>
      </c>
      <c r="F133" s="132"/>
      <c r="G133" s="50">
        <f t="shared" ref="G133:G138" si="14">+E133*F133</f>
        <v>0</v>
      </c>
      <c r="H133" s="103"/>
      <c r="I133" s="141"/>
      <c r="J133" s="104"/>
      <c r="K133" s="103"/>
      <c r="L133" s="103"/>
      <c r="M133" s="141">
        <f t="shared" si="13"/>
        <v>56</v>
      </c>
      <c r="N133" s="103"/>
      <c r="O133" s="103" t="s">
        <v>947</v>
      </c>
      <c r="P133" s="137">
        <f t="shared" si="10"/>
        <v>0</v>
      </c>
    </row>
    <row r="134" spans="1:16" s="8" customFormat="1" ht="15.75" x14ac:dyDescent="0.25">
      <c r="A134" s="113" t="s">
        <v>362</v>
      </c>
      <c r="B134" s="102"/>
      <c r="C134" s="25" t="s">
        <v>862</v>
      </c>
      <c r="D134" s="25" t="s">
        <v>1122</v>
      </c>
      <c r="E134" s="38">
        <v>74</v>
      </c>
      <c r="F134" s="132"/>
      <c r="G134" s="50">
        <f t="shared" si="14"/>
        <v>0</v>
      </c>
      <c r="H134" s="103"/>
      <c r="I134" s="141"/>
      <c r="J134" s="104"/>
      <c r="K134" s="103"/>
      <c r="L134" s="103"/>
      <c r="M134" s="141">
        <f t="shared" si="13"/>
        <v>74</v>
      </c>
      <c r="N134" s="103"/>
      <c r="O134" s="103" t="s">
        <v>947</v>
      </c>
      <c r="P134" s="137">
        <f t="shared" si="10"/>
        <v>0</v>
      </c>
    </row>
    <row r="135" spans="1:16" s="8" customFormat="1" ht="15.75" x14ac:dyDescent="0.25">
      <c r="A135" s="113" t="s">
        <v>363</v>
      </c>
      <c r="B135" s="102"/>
      <c r="C135" s="25" t="s">
        <v>863</v>
      </c>
      <c r="D135" s="25" t="s">
        <v>1122</v>
      </c>
      <c r="E135" s="38">
        <f>79+33+106</f>
        <v>218</v>
      </c>
      <c r="F135" s="132"/>
      <c r="G135" s="50">
        <f t="shared" si="14"/>
        <v>0</v>
      </c>
      <c r="H135" s="103"/>
      <c r="I135" s="141"/>
      <c r="J135" s="104"/>
      <c r="K135" s="103"/>
      <c r="L135" s="103"/>
      <c r="M135" s="141">
        <f t="shared" si="13"/>
        <v>218</v>
      </c>
      <c r="N135" s="103"/>
      <c r="O135" s="103" t="s">
        <v>947</v>
      </c>
      <c r="P135" s="137">
        <f t="shared" si="10"/>
        <v>0</v>
      </c>
    </row>
    <row r="136" spans="1:16" s="8" customFormat="1" ht="15.75" x14ac:dyDescent="0.25">
      <c r="A136" s="113" t="s">
        <v>364</v>
      </c>
      <c r="B136" s="102"/>
      <c r="C136" s="25" t="s">
        <v>864</v>
      </c>
      <c r="D136" s="25" t="s">
        <v>1122</v>
      </c>
      <c r="E136" s="38">
        <v>46</v>
      </c>
      <c r="F136" s="132"/>
      <c r="G136" s="50">
        <f t="shared" si="14"/>
        <v>0</v>
      </c>
      <c r="H136" s="103"/>
      <c r="I136" s="141"/>
      <c r="J136" s="104"/>
      <c r="K136" s="103"/>
      <c r="L136" s="103"/>
      <c r="M136" s="141">
        <f t="shared" si="13"/>
        <v>46</v>
      </c>
      <c r="N136" s="103"/>
      <c r="O136" s="103" t="s">
        <v>947</v>
      </c>
      <c r="P136" s="137">
        <f t="shared" si="10"/>
        <v>0</v>
      </c>
    </row>
    <row r="137" spans="1:16" s="8" customFormat="1" ht="15.75" x14ac:dyDescent="0.25">
      <c r="A137" s="113" t="s">
        <v>365</v>
      </c>
      <c r="B137" s="102"/>
      <c r="C137" s="25" t="s">
        <v>865</v>
      </c>
      <c r="D137" s="25" t="s">
        <v>1122</v>
      </c>
      <c r="E137" s="38">
        <v>41</v>
      </c>
      <c r="F137" s="132"/>
      <c r="G137" s="50">
        <f t="shared" si="14"/>
        <v>0</v>
      </c>
      <c r="H137" s="103"/>
      <c r="I137" s="141"/>
      <c r="J137" s="104"/>
      <c r="K137" s="103"/>
      <c r="L137" s="103"/>
      <c r="M137" s="141">
        <f t="shared" si="13"/>
        <v>41</v>
      </c>
      <c r="N137" s="103"/>
      <c r="O137" s="103" t="s">
        <v>947</v>
      </c>
      <c r="P137" s="137">
        <f t="shared" si="10"/>
        <v>0</v>
      </c>
    </row>
    <row r="138" spans="1:16" s="8" customFormat="1" ht="15.75" x14ac:dyDescent="0.25">
      <c r="A138" s="113" t="s">
        <v>366</v>
      </c>
      <c r="B138" s="102"/>
      <c r="C138" s="25" t="s">
        <v>866</v>
      </c>
      <c r="D138" s="25" t="s">
        <v>1122</v>
      </c>
      <c r="E138" s="38">
        <f>34+1</f>
        <v>35</v>
      </c>
      <c r="F138" s="132"/>
      <c r="G138" s="50">
        <f t="shared" si="14"/>
        <v>0</v>
      </c>
      <c r="H138" s="103"/>
      <c r="I138" s="141"/>
      <c r="J138" s="104"/>
      <c r="K138" s="103"/>
      <c r="L138" s="103"/>
      <c r="M138" s="141">
        <f t="shared" si="13"/>
        <v>35</v>
      </c>
      <c r="N138" s="103"/>
      <c r="O138" s="103" t="s">
        <v>947</v>
      </c>
      <c r="P138" s="137">
        <f t="shared" si="10"/>
        <v>0</v>
      </c>
    </row>
    <row r="139" spans="1:16" s="92" customFormat="1" x14ac:dyDescent="0.3">
      <c r="A139" s="113" t="s">
        <v>367</v>
      </c>
      <c r="B139" s="107">
        <v>44748</v>
      </c>
      <c r="C139" s="25" t="s">
        <v>719</v>
      </c>
      <c r="D139" s="25" t="s">
        <v>1122</v>
      </c>
      <c r="E139" s="32"/>
      <c r="F139" s="133">
        <v>161.66999999999999</v>
      </c>
      <c r="G139" s="50">
        <f>E139*F139</f>
        <v>0</v>
      </c>
      <c r="H139" s="107">
        <v>44748</v>
      </c>
      <c r="I139" s="137">
        <f>3*6</f>
        <v>18</v>
      </c>
      <c r="J139" s="104">
        <v>161.66666666666666</v>
      </c>
      <c r="K139" s="108">
        <f>+I139*J139</f>
        <v>2910</v>
      </c>
      <c r="L139" s="103">
        <v>18</v>
      </c>
      <c r="M139" s="141">
        <f t="shared" si="13"/>
        <v>0</v>
      </c>
      <c r="N139" s="103"/>
      <c r="O139" s="103" t="s">
        <v>945</v>
      </c>
      <c r="P139" s="137">
        <f t="shared" si="10"/>
        <v>0</v>
      </c>
    </row>
    <row r="140" spans="1:16" s="8" customFormat="1" ht="15.75" x14ac:dyDescent="0.25">
      <c r="A140" s="113" t="s">
        <v>368</v>
      </c>
      <c r="B140" s="102">
        <v>44193</v>
      </c>
      <c r="C140" s="25" t="s">
        <v>813</v>
      </c>
      <c r="D140" s="25" t="s">
        <v>1122</v>
      </c>
      <c r="E140" s="32">
        <v>8</v>
      </c>
      <c r="F140" s="132">
        <v>1375</v>
      </c>
      <c r="G140" s="50">
        <f>E140*F140</f>
        <v>11000</v>
      </c>
      <c r="H140" s="103"/>
      <c r="I140" s="141"/>
      <c r="J140" s="104"/>
      <c r="K140" s="103"/>
      <c r="L140" s="103"/>
      <c r="M140" s="141">
        <f t="shared" si="13"/>
        <v>8</v>
      </c>
      <c r="N140" s="103"/>
      <c r="O140" s="103" t="s">
        <v>946</v>
      </c>
      <c r="P140" s="137">
        <f t="shared" si="10"/>
        <v>11000</v>
      </c>
    </row>
    <row r="141" spans="1:16" s="8" customFormat="1" ht="15.75" x14ac:dyDescent="0.25">
      <c r="A141" s="113" t="s">
        <v>369</v>
      </c>
      <c r="B141" s="106" t="s">
        <v>114</v>
      </c>
      <c r="C141" s="25" t="s">
        <v>642</v>
      </c>
      <c r="D141" s="25" t="s">
        <v>1122</v>
      </c>
      <c r="E141" s="32">
        <v>8</v>
      </c>
      <c r="F141" s="132">
        <v>1375</v>
      </c>
      <c r="G141" s="50">
        <f>E141*F141</f>
        <v>11000</v>
      </c>
      <c r="H141" s="103"/>
      <c r="I141" s="141"/>
      <c r="J141" s="104"/>
      <c r="K141" s="103"/>
      <c r="L141" s="103">
        <v>1</v>
      </c>
      <c r="M141" s="141">
        <f t="shared" si="13"/>
        <v>7</v>
      </c>
      <c r="N141" s="103"/>
      <c r="O141" s="103" t="s">
        <v>946</v>
      </c>
      <c r="P141" s="137">
        <f t="shared" si="10"/>
        <v>9625</v>
      </c>
    </row>
    <row r="142" spans="1:16" s="8" customFormat="1" ht="15.75" x14ac:dyDescent="0.25">
      <c r="A142" s="113" t="s">
        <v>370</v>
      </c>
      <c r="B142" s="102"/>
      <c r="C142" s="25" t="s">
        <v>833</v>
      </c>
      <c r="D142" s="25" t="s">
        <v>1122</v>
      </c>
      <c r="E142" s="32">
        <v>7</v>
      </c>
      <c r="F142" s="132"/>
      <c r="G142" s="50"/>
      <c r="H142" s="103"/>
      <c r="I142" s="141"/>
      <c r="J142" s="104"/>
      <c r="K142" s="103"/>
      <c r="L142" s="103"/>
      <c r="M142" s="141">
        <f t="shared" si="13"/>
        <v>7</v>
      </c>
      <c r="N142" s="103"/>
      <c r="O142" s="103" t="s">
        <v>946</v>
      </c>
      <c r="P142" s="137">
        <f t="shared" si="10"/>
        <v>0</v>
      </c>
    </row>
    <row r="143" spans="1:16" s="8" customFormat="1" ht="15.75" x14ac:dyDescent="0.25">
      <c r="A143" s="113" t="s">
        <v>371</v>
      </c>
      <c r="B143" s="102">
        <v>44193</v>
      </c>
      <c r="C143" s="25" t="s">
        <v>643</v>
      </c>
      <c r="D143" s="25" t="s">
        <v>1122</v>
      </c>
      <c r="E143" s="32">
        <v>4</v>
      </c>
      <c r="F143" s="132">
        <v>1375</v>
      </c>
      <c r="G143" s="50">
        <f>E143*F143</f>
        <v>5500</v>
      </c>
      <c r="H143" s="103"/>
      <c r="I143" s="141"/>
      <c r="J143" s="104"/>
      <c r="K143" s="103"/>
      <c r="L143" s="103"/>
      <c r="M143" s="141">
        <f t="shared" si="13"/>
        <v>4</v>
      </c>
      <c r="N143" s="103"/>
      <c r="O143" s="103" t="s">
        <v>946</v>
      </c>
      <c r="P143" s="137">
        <f t="shared" si="10"/>
        <v>5500</v>
      </c>
    </row>
    <row r="144" spans="1:16" s="8" customFormat="1" ht="15.75" x14ac:dyDescent="0.25">
      <c r="A144" s="113" t="s">
        <v>372</v>
      </c>
      <c r="B144" s="106"/>
      <c r="C144" s="25" t="s">
        <v>816</v>
      </c>
      <c r="D144" s="25" t="s">
        <v>1122</v>
      </c>
      <c r="E144" s="32">
        <v>2</v>
      </c>
      <c r="F144" s="132"/>
      <c r="G144" s="50"/>
      <c r="H144" s="103"/>
      <c r="I144" s="141"/>
      <c r="J144" s="104"/>
      <c r="K144" s="103"/>
      <c r="L144" s="103"/>
      <c r="M144" s="141">
        <f t="shared" si="13"/>
        <v>2</v>
      </c>
      <c r="N144" s="103"/>
      <c r="O144" s="103" t="s">
        <v>946</v>
      </c>
      <c r="P144" s="137">
        <f t="shared" si="10"/>
        <v>0</v>
      </c>
    </row>
    <row r="145" spans="1:16" s="8" customFormat="1" ht="15.75" x14ac:dyDescent="0.25">
      <c r="A145" s="113" t="s">
        <v>373</v>
      </c>
      <c r="B145" s="102"/>
      <c r="C145" s="25" t="s">
        <v>829</v>
      </c>
      <c r="D145" s="25" t="s">
        <v>1122</v>
      </c>
      <c r="E145" s="32">
        <v>2</v>
      </c>
      <c r="F145" s="132"/>
      <c r="G145" s="50"/>
      <c r="H145" s="103"/>
      <c r="I145" s="141"/>
      <c r="J145" s="104"/>
      <c r="K145" s="103"/>
      <c r="L145" s="103"/>
      <c r="M145" s="141">
        <f t="shared" si="13"/>
        <v>2</v>
      </c>
      <c r="N145" s="103"/>
      <c r="O145" s="103" t="s">
        <v>946</v>
      </c>
      <c r="P145" s="137">
        <f t="shared" si="10"/>
        <v>0</v>
      </c>
    </row>
    <row r="146" spans="1:16" s="8" customFormat="1" ht="15.75" x14ac:dyDescent="0.25">
      <c r="A146" s="113" t="s">
        <v>374</v>
      </c>
      <c r="B146" s="106" t="s">
        <v>106</v>
      </c>
      <c r="C146" s="25" t="s">
        <v>635</v>
      </c>
      <c r="D146" s="25" t="s">
        <v>1122</v>
      </c>
      <c r="E146" s="32">
        <v>8</v>
      </c>
      <c r="F146" s="132">
        <v>1375</v>
      </c>
      <c r="G146" s="50">
        <f>E146*F146</f>
        <v>11000</v>
      </c>
      <c r="H146" s="103"/>
      <c r="I146" s="141"/>
      <c r="J146" s="104"/>
      <c r="K146" s="103"/>
      <c r="L146" s="103">
        <v>2</v>
      </c>
      <c r="M146" s="141">
        <f t="shared" si="13"/>
        <v>6</v>
      </c>
      <c r="N146" s="103"/>
      <c r="O146" s="103" t="s">
        <v>946</v>
      </c>
      <c r="P146" s="137">
        <f t="shared" si="10"/>
        <v>8250</v>
      </c>
    </row>
    <row r="147" spans="1:16" s="8" customFormat="1" ht="15.75" x14ac:dyDescent="0.25">
      <c r="A147" s="113" t="s">
        <v>375</v>
      </c>
      <c r="B147" s="102">
        <v>45020</v>
      </c>
      <c r="C147" s="25" t="s">
        <v>636</v>
      </c>
      <c r="D147" s="25" t="s">
        <v>1122</v>
      </c>
      <c r="E147" s="55">
        <v>30</v>
      </c>
      <c r="F147" s="132">
        <v>436.6</v>
      </c>
      <c r="G147" s="50">
        <f>E147*F147</f>
        <v>13098</v>
      </c>
      <c r="H147" s="103"/>
      <c r="I147" s="141"/>
      <c r="J147" s="104"/>
      <c r="K147" s="103"/>
      <c r="L147" s="103"/>
      <c r="M147" s="141">
        <f t="shared" si="13"/>
        <v>30</v>
      </c>
      <c r="N147" s="103"/>
      <c r="O147" s="103" t="s">
        <v>946</v>
      </c>
      <c r="P147" s="137">
        <f t="shared" si="10"/>
        <v>13098</v>
      </c>
    </row>
    <row r="148" spans="1:16" s="8" customFormat="1" ht="15.75" x14ac:dyDescent="0.25">
      <c r="A148" s="113" t="s">
        <v>376</v>
      </c>
      <c r="B148" s="102"/>
      <c r="C148" s="25" t="s">
        <v>831</v>
      </c>
      <c r="D148" s="25" t="s">
        <v>1122</v>
      </c>
      <c r="E148" s="32">
        <f>25+28</f>
        <v>53</v>
      </c>
      <c r="F148" s="132"/>
      <c r="G148" s="50"/>
      <c r="H148" s="103"/>
      <c r="I148" s="141"/>
      <c r="J148" s="104"/>
      <c r="K148" s="103"/>
      <c r="L148" s="103">
        <v>10</v>
      </c>
      <c r="M148" s="141">
        <f t="shared" si="13"/>
        <v>43</v>
      </c>
      <c r="N148" s="103"/>
      <c r="O148" s="103" t="s">
        <v>946</v>
      </c>
      <c r="P148" s="137">
        <f t="shared" si="10"/>
        <v>0</v>
      </c>
    </row>
    <row r="149" spans="1:16" s="8" customFormat="1" ht="15.75" x14ac:dyDescent="0.25">
      <c r="A149" s="113" t="s">
        <v>377</v>
      </c>
      <c r="B149" s="102"/>
      <c r="C149" s="25" t="s">
        <v>832</v>
      </c>
      <c r="D149" s="25" t="s">
        <v>1122</v>
      </c>
      <c r="E149" s="32">
        <v>5</v>
      </c>
      <c r="F149" s="132"/>
      <c r="G149" s="50"/>
      <c r="H149" s="103"/>
      <c r="I149" s="141"/>
      <c r="J149" s="104"/>
      <c r="K149" s="103"/>
      <c r="L149" s="103"/>
      <c r="M149" s="141">
        <f t="shared" si="13"/>
        <v>5</v>
      </c>
      <c r="N149" s="103"/>
      <c r="O149" s="103" t="s">
        <v>946</v>
      </c>
      <c r="P149" s="137">
        <f t="shared" si="10"/>
        <v>0</v>
      </c>
    </row>
    <row r="150" spans="1:16" s="8" customFormat="1" ht="15.75" x14ac:dyDescent="0.25">
      <c r="A150" s="113" t="s">
        <v>378</v>
      </c>
      <c r="B150" s="106" t="s">
        <v>106</v>
      </c>
      <c r="C150" s="25" t="s">
        <v>812</v>
      </c>
      <c r="D150" s="25" t="s">
        <v>1122</v>
      </c>
      <c r="E150" s="32">
        <v>3</v>
      </c>
      <c r="F150" s="132">
        <v>1180</v>
      </c>
      <c r="G150" s="50">
        <f>E150*F150</f>
        <v>3540</v>
      </c>
      <c r="H150" s="103"/>
      <c r="I150" s="141"/>
      <c r="J150" s="104"/>
      <c r="K150" s="103"/>
      <c r="L150" s="103"/>
      <c r="M150" s="141">
        <f t="shared" si="13"/>
        <v>3</v>
      </c>
      <c r="N150" s="103"/>
      <c r="O150" s="103" t="s">
        <v>946</v>
      </c>
      <c r="P150" s="137">
        <f t="shared" si="10"/>
        <v>3540</v>
      </c>
    </row>
    <row r="151" spans="1:16" s="8" customFormat="1" ht="15.75" x14ac:dyDescent="0.25">
      <c r="A151" s="113" t="s">
        <v>379</v>
      </c>
      <c r="B151" s="102">
        <v>44193</v>
      </c>
      <c r="C151" s="25" t="s">
        <v>637</v>
      </c>
      <c r="D151" s="25" t="s">
        <v>1122</v>
      </c>
      <c r="E151" s="55">
        <v>9</v>
      </c>
      <c r="F151" s="132">
        <v>1180</v>
      </c>
      <c r="G151" s="50">
        <f>E151*F151</f>
        <v>10620</v>
      </c>
      <c r="H151" s="103"/>
      <c r="I151" s="141"/>
      <c r="J151" s="104"/>
      <c r="K151" s="103"/>
      <c r="L151" s="103"/>
      <c r="M151" s="141">
        <f t="shared" si="13"/>
        <v>9</v>
      </c>
      <c r="N151" s="103"/>
      <c r="O151" s="103" t="s">
        <v>946</v>
      </c>
      <c r="P151" s="137">
        <f t="shared" si="10"/>
        <v>10620</v>
      </c>
    </row>
    <row r="152" spans="1:16" s="8" customFormat="1" ht="15.75" x14ac:dyDescent="0.25">
      <c r="A152" s="113" t="s">
        <v>380</v>
      </c>
      <c r="B152" s="102"/>
      <c r="C152" s="25" t="s">
        <v>834</v>
      </c>
      <c r="D152" s="25" t="s">
        <v>1122</v>
      </c>
      <c r="E152" s="32">
        <v>1</v>
      </c>
      <c r="F152" s="132"/>
      <c r="G152" s="50"/>
      <c r="H152" s="103"/>
      <c r="I152" s="141"/>
      <c r="J152" s="104"/>
      <c r="K152" s="103"/>
      <c r="L152" s="103"/>
      <c r="M152" s="141">
        <f t="shared" si="13"/>
        <v>1</v>
      </c>
      <c r="N152" s="103"/>
      <c r="O152" s="103" t="s">
        <v>946</v>
      </c>
      <c r="P152" s="137">
        <f t="shared" si="10"/>
        <v>0</v>
      </c>
    </row>
    <row r="153" spans="1:16" s="8" customFormat="1" ht="15.75" x14ac:dyDescent="0.25">
      <c r="A153" s="113" t="s">
        <v>381</v>
      </c>
      <c r="B153" s="106" t="s">
        <v>106</v>
      </c>
      <c r="C153" s="25" t="s">
        <v>639</v>
      </c>
      <c r="D153" s="25" t="s">
        <v>1122</v>
      </c>
      <c r="E153" s="32">
        <v>8</v>
      </c>
      <c r="F153" s="133">
        <v>1375</v>
      </c>
      <c r="G153" s="50">
        <f t="shared" ref="G153:G165" si="15">E153*F153</f>
        <v>11000</v>
      </c>
      <c r="H153" s="103"/>
      <c r="I153" s="141"/>
      <c r="J153" s="104"/>
      <c r="K153" s="103"/>
      <c r="L153" s="103"/>
      <c r="M153" s="141">
        <f t="shared" si="13"/>
        <v>8</v>
      </c>
      <c r="N153" s="103"/>
      <c r="O153" s="103" t="s">
        <v>946</v>
      </c>
      <c r="P153" s="137">
        <f t="shared" ref="P153:P216" si="16">+F153*M153</f>
        <v>11000</v>
      </c>
    </row>
    <row r="154" spans="1:16" s="8" customFormat="1" ht="15.75" x14ac:dyDescent="0.25">
      <c r="A154" s="113" t="s">
        <v>382</v>
      </c>
      <c r="B154" s="102">
        <v>44193</v>
      </c>
      <c r="C154" s="25" t="s">
        <v>638</v>
      </c>
      <c r="D154" s="25" t="s">
        <v>1122</v>
      </c>
      <c r="E154" s="32">
        <v>4</v>
      </c>
      <c r="F154" s="132">
        <v>1294.3699999999999</v>
      </c>
      <c r="G154" s="50">
        <f t="shared" si="15"/>
        <v>5177.4799999999996</v>
      </c>
      <c r="H154" s="103"/>
      <c r="I154" s="141"/>
      <c r="J154" s="104"/>
      <c r="K154" s="103"/>
      <c r="L154" s="103"/>
      <c r="M154" s="141">
        <f t="shared" si="13"/>
        <v>4</v>
      </c>
      <c r="N154" s="103"/>
      <c r="O154" s="103" t="s">
        <v>946</v>
      </c>
      <c r="P154" s="137">
        <f t="shared" si="16"/>
        <v>5177.4799999999996</v>
      </c>
    </row>
    <row r="155" spans="1:16" s="8" customFormat="1" ht="15.75" x14ac:dyDescent="0.25">
      <c r="A155" s="113" t="s">
        <v>383</v>
      </c>
      <c r="B155" s="106" t="s">
        <v>114</v>
      </c>
      <c r="C155" s="25" t="s">
        <v>640</v>
      </c>
      <c r="D155" s="25" t="s">
        <v>1122</v>
      </c>
      <c r="E155" s="32">
        <v>4</v>
      </c>
      <c r="F155" s="135">
        <v>2600</v>
      </c>
      <c r="G155" s="50">
        <f t="shared" si="15"/>
        <v>10400</v>
      </c>
      <c r="H155" s="103"/>
      <c r="I155" s="141"/>
      <c r="J155" s="104"/>
      <c r="K155" s="103"/>
      <c r="L155" s="103"/>
      <c r="M155" s="141">
        <f t="shared" si="13"/>
        <v>4</v>
      </c>
      <c r="N155" s="103"/>
      <c r="O155" s="103" t="s">
        <v>946</v>
      </c>
      <c r="P155" s="137">
        <f t="shared" si="16"/>
        <v>10400</v>
      </c>
    </row>
    <row r="156" spans="1:16" s="8" customFormat="1" ht="15.75" x14ac:dyDescent="0.25">
      <c r="A156" s="113" t="s">
        <v>384</v>
      </c>
      <c r="B156" s="102">
        <v>44193</v>
      </c>
      <c r="C156" s="25" t="s">
        <v>830</v>
      </c>
      <c r="D156" s="25" t="s">
        <v>1122</v>
      </c>
      <c r="E156" s="32">
        <v>2</v>
      </c>
      <c r="F156" s="132">
        <v>2600</v>
      </c>
      <c r="G156" s="50">
        <f t="shared" si="15"/>
        <v>5200</v>
      </c>
      <c r="H156" s="103"/>
      <c r="I156" s="141"/>
      <c r="J156" s="104"/>
      <c r="K156" s="103"/>
      <c r="L156" s="103">
        <v>2</v>
      </c>
      <c r="M156" s="141">
        <f t="shared" si="13"/>
        <v>0</v>
      </c>
      <c r="N156" s="103"/>
      <c r="O156" s="103" t="s">
        <v>946</v>
      </c>
      <c r="P156" s="137">
        <f t="shared" si="16"/>
        <v>0</v>
      </c>
    </row>
    <row r="157" spans="1:16" s="105" customFormat="1" ht="15.75" x14ac:dyDescent="0.25">
      <c r="A157" s="113" t="s">
        <v>385</v>
      </c>
      <c r="B157" s="107">
        <v>44852</v>
      </c>
      <c r="C157" s="9" t="s">
        <v>951</v>
      </c>
      <c r="D157" s="25" t="s">
        <v>1122</v>
      </c>
      <c r="E157" s="58">
        <v>46</v>
      </c>
      <c r="F157" s="132">
        <v>5.07</v>
      </c>
      <c r="G157" s="50">
        <f t="shared" si="15"/>
        <v>233.22000000000003</v>
      </c>
      <c r="H157" s="107">
        <v>44852</v>
      </c>
      <c r="I157" s="141">
        <f>10*100</f>
        <v>1000</v>
      </c>
      <c r="J157" s="104">
        <v>5.07</v>
      </c>
      <c r="K157" s="108">
        <f>+I157*J157</f>
        <v>5070</v>
      </c>
      <c r="L157" s="103">
        <f>12+100+15+819</f>
        <v>946</v>
      </c>
      <c r="M157" s="151">
        <f t="shared" si="13"/>
        <v>100</v>
      </c>
      <c r="N157" s="103" t="s">
        <v>1037</v>
      </c>
      <c r="O157" s="103" t="s">
        <v>947</v>
      </c>
      <c r="P157" s="137">
        <f t="shared" si="16"/>
        <v>507</v>
      </c>
    </row>
    <row r="158" spans="1:16" s="8" customFormat="1" ht="15.75" x14ac:dyDescent="0.25">
      <c r="A158" s="113" t="s">
        <v>386</v>
      </c>
      <c r="B158" s="102">
        <v>44193</v>
      </c>
      <c r="C158" s="9" t="s">
        <v>647</v>
      </c>
      <c r="D158" s="25" t="s">
        <v>1122</v>
      </c>
      <c r="E158" s="58">
        <v>15</v>
      </c>
      <c r="F158" s="132">
        <v>4.55</v>
      </c>
      <c r="G158" s="50">
        <f t="shared" si="15"/>
        <v>68.25</v>
      </c>
      <c r="H158" s="103"/>
      <c r="I158" s="141"/>
      <c r="J158" s="104"/>
      <c r="K158" s="103"/>
      <c r="L158" s="103"/>
      <c r="M158" s="141">
        <f t="shared" si="13"/>
        <v>15</v>
      </c>
      <c r="N158" s="103"/>
      <c r="O158" s="103" t="s">
        <v>947</v>
      </c>
      <c r="P158" s="137">
        <f t="shared" si="16"/>
        <v>68.25</v>
      </c>
    </row>
    <row r="159" spans="1:16" s="8" customFormat="1" ht="15.75" x14ac:dyDescent="0.25">
      <c r="A159" s="113" t="s">
        <v>387</v>
      </c>
      <c r="B159" s="102">
        <v>44193</v>
      </c>
      <c r="C159" s="26" t="s">
        <v>645</v>
      </c>
      <c r="D159" s="25" t="s">
        <v>1122</v>
      </c>
      <c r="E159" s="58">
        <v>820</v>
      </c>
      <c r="F159" s="132">
        <v>7.5</v>
      </c>
      <c r="G159" s="50">
        <f t="shared" si="15"/>
        <v>6150</v>
      </c>
      <c r="H159" s="103"/>
      <c r="I159" s="141"/>
      <c r="J159" s="104"/>
      <c r="K159" s="103"/>
      <c r="L159" s="103"/>
      <c r="M159" s="141">
        <f t="shared" si="13"/>
        <v>820</v>
      </c>
      <c r="N159" s="103"/>
      <c r="O159" s="103" t="s">
        <v>947</v>
      </c>
      <c r="P159" s="137">
        <f t="shared" si="16"/>
        <v>6150</v>
      </c>
    </row>
    <row r="160" spans="1:16" s="92" customFormat="1" x14ac:dyDescent="0.3">
      <c r="A160" s="113" t="s">
        <v>388</v>
      </c>
      <c r="B160" s="102">
        <v>44659</v>
      </c>
      <c r="C160" s="26" t="s">
        <v>854</v>
      </c>
      <c r="D160" s="25" t="s">
        <v>1122</v>
      </c>
      <c r="E160" s="30">
        <f>30*100</f>
        <v>3000</v>
      </c>
      <c r="F160" s="132">
        <v>3.4</v>
      </c>
      <c r="G160" s="50">
        <f t="shared" si="15"/>
        <v>10200</v>
      </c>
      <c r="H160" s="103"/>
      <c r="I160" s="141"/>
      <c r="J160" s="104"/>
      <c r="K160" s="103"/>
      <c r="L160" s="103">
        <v>3000</v>
      </c>
      <c r="M160" s="151">
        <f t="shared" si="13"/>
        <v>0</v>
      </c>
      <c r="N160" s="103"/>
      <c r="O160" s="103" t="s">
        <v>945</v>
      </c>
      <c r="P160" s="137">
        <f t="shared" si="16"/>
        <v>0</v>
      </c>
    </row>
    <row r="161" spans="1:16" s="92" customFormat="1" x14ac:dyDescent="0.3">
      <c r="A161" s="113" t="s">
        <v>389</v>
      </c>
      <c r="B161" s="107">
        <v>45019</v>
      </c>
      <c r="C161" s="9" t="s">
        <v>648</v>
      </c>
      <c r="D161" s="25" t="s">
        <v>1122</v>
      </c>
      <c r="E161" s="30">
        <v>0</v>
      </c>
      <c r="F161" s="132">
        <v>4.01</v>
      </c>
      <c r="G161" s="50">
        <f t="shared" si="15"/>
        <v>0</v>
      </c>
      <c r="H161" s="107">
        <v>45019</v>
      </c>
      <c r="I161" s="144">
        <v>700</v>
      </c>
      <c r="J161" s="104">
        <f>3.4+0.612</f>
        <v>4.0119999999999996</v>
      </c>
      <c r="K161" s="108">
        <f>+I161*J161</f>
        <v>2808.3999999999996</v>
      </c>
      <c r="L161" s="103">
        <f>400+100</f>
        <v>500</v>
      </c>
      <c r="M161" s="158">
        <f>+E161+I161-L161</f>
        <v>200</v>
      </c>
      <c r="N161" s="103"/>
      <c r="O161" s="103" t="s">
        <v>945</v>
      </c>
      <c r="P161" s="137">
        <f t="shared" si="16"/>
        <v>802</v>
      </c>
    </row>
    <row r="162" spans="1:16" s="92" customFormat="1" x14ac:dyDescent="0.3">
      <c r="A162" s="113" t="s">
        <v>390</v>
      </c>
      <c r="B162" s="107">
        <v>44778</v>
      </c>
      <c r="C162" s="25" t="s">
        <v>855</v>
      </c>
      <c r="D162" s="25" t="s">
        <v>1122</v>
      </c>
      <c r="E162" s="38">
        <f>25*100</f>
        <v>2500</v>
      </c>
      <c r="F162" s="132">
        <v>4.8899999999999997</v>
      </c>
      <c r="G162" s="50">
        <f t="shared" si="15"/>
        <v>12225</v>
      </c>
      <c r="H162" s="107">
        <v>44778</v>
      </c>
      <c r="I162" s="144">
        <f>10*100</f>
        <v>1000</v>
      </c>
      <c r="J162" s="104">
        <v>4.8899999999999997</v>
      </c>
      <c r="K162" s="108">
        <f>+I162*J162</f>
        <v>4890</v>
      </c>
      <c r="L162" s="103">
        <v>3500</v>
      </c>
      <c r="M162" s="151">
        <f t="shared" si="13"/>
        <v>0</v>
      </c>
      <c r="N162" s="103" t="s">
        <v>943</v>
      </c>
      <c r="O162" s="103" t="s">
        <v>945</v>
      </c>
      <c r="P162" s="137">
        <f t="shared" si="16"/>
        <v>0</v>
      </c>
    </row>
    <row r="163" spans="1:16" s="92" customFormat="1" x14ac:dyDescent="0.3">
      <c r="A163" s="113" t="s">
        <v>391</v>
      </c>
      <c r="B163" s="107">
        <v>45019</v>
      </c>
      <c r="C163" s="25" t="s">
        <v>651</v>
      </c>
      <c r="D163" s="25" t="s">
        <v>1122</v>
      </c>
      <c r="E163" s="38">
        <f>60*100</f>
        <v>6000</v>
      </c>
      <c r="F163" s="132">
        <v>9.56</v>
      </c>
      <c r="G163" s="50">
        <f t="shared" si="15"/>
        <v>57360</v>
      </c>
      <c r="H163" s="107">
        <v>45019</v>
      </c>
      <c r="I163" s="144">
        <v>700</v>
      </c>
      <c r="J163" s="104">
        <v>9.56</v>
      </c>
      <c r="K163" s="108">
        <f t="shared" ref="K163:K166" si="17">+I163*J163</f>
        <v>6692</v>
      </c>
      <c r="L163" s="103">
        <f>100+100+100+3600</f>
        <v>3900</v>
      </c>
      <c r="M163" s="152">
        <f t="shared" si="13"/>
        <v>2800</v>
      </c>
      <c r="N163" s="103"/>
      <c r="O163" s="103" t="s">
        <v>945</v>
      </c>
      <c r="P163" s="137">
        <f t="shared" si="16"/>
        <v>26768</v>
      </c>
    </row>
    <row r="164" spans="1:16" s="92" customFormat="1" x14ac:dyDescent="0.3">
      <c r="A164" s="113" t="s">
        <v>392</v>
      </c>
      <c r="B164" s="107">
        <v>45019</v>
      </c>
      <c r="C164" s="25" t="s">
        <v>652</v>
      </c>
      <c r="D164" s="25" t="s">
        <v>1122</v>
      </c>
      <c r="E164" s="38">
        <f>30*100</f>
        <v>3000</v>
      </c>
      <c r="F164" s="132">
        <v>11.21</v>
      </c>
      <c r="G164" s="50">
        <f t="shared" si="15"/>
        <v>33630</v>
      </c>
      <c r="H164" s="107">
        <v>45019</v>
      </c>
      <c r="I164" s="144">
        <f>7*100</f>
        <v>700</v>
      </c>
      <c r="J164" s="104">
        <v>11.21</v>
      </c>
      <c r="K164" s="108">
        <f t="shared" si="17"/>
        <v>7847.0000000000009</v>
      </c>
      <c r="L164" s="103">
        <v>3100</v>
      </c>
      <c r="M164" s="151">
        <f t="shared" si="13"/>
        <v>600</v>
      </c>
      <c r="N164" s="103"/>
      <c r="O164" s="103" t="s">
        <v>945</v>
      </c>
      <c r="P164" s="137">
        <f t="shared" si="16"/>
        <v>6726.0000000000009</v>
      </c>
    </row>
    <row r="165" spans="1:16" s="92" customFormat="1" x14ac:dyDescent="0.3">
      <c r="A165" s="113" t="s">
        <v>393</v>
      </c>
      <c r="B165" s="102">
        <v>44193</v>
      </c>
      <c r="C165" s="26" t="s">
        <v>786</v>
      </c>
      <c r="D165" s="25" t="s">
        <v>1122</v>
      </c>
      <c r="E165" s="32">
        <f>4+8</f>
        <v>12</v>
      </c>
      <c r="F165" s="132">
        <v>150</v>
      </c>
      <c r="G165" s="50">
        <f t="shared" si="15"/>
        <v>1800</v>
      </c>
      <c r="H165" s="103"/>
      <c r="I165" s="144"/>
      <c r="J165" s="104"/>
      <c r="K165" s="108">
        <f t="shared" si="17"/>
        <v>0</v>
      </c>
      <c r="L165" s="103">
        <v>5</v>
      </c>
      <c r="M165" s="151">
        <f t="shared" si="13"/>
        <v>7</v>
      </c>
      <c r="N165" s="103"/>
      <c r="O165" s="103" t="s">
        <v>945</v>
      </c>
      <c r="P165" s="137">
        <f t="shared" si="16"/>
        <v>1050</v>
      </c>
    </row>
    <row r="166" spans="1:16" s="8" customFormat="1" ht="15.75" x14ac:dyDescent="0.25">
      <c r="A166" s="113" t="s">
        <v>394</v>
      </c>
      <c r="B166" s="102"/>
      <c r="C166" s="25" t="s">
        <v>827</v>
      </c>
      <c r="D166" s="25" t="s">
        <v>1122</v>
      </c>
      <c r="E166" s="38">
        <v>2</v>
      </c>
      <c r="F166" s="132"/>
      <c r="G166" s="50"/>
      <c r="H166" s="103"/>
      <c r="I166" s="144"/>
      <c r="J166" s="104"/>
      <c r="K166" s="108">
        <f t="shared" si="17"/>
        <v>0</v>
      </c>
      <c r="L166" s="103"/>
      <c r="M166" s="141">
        <f t="shared" si="13"/>
        <v>2</v>
      </c>
      <c r="N166" s="103"/>
      <c r="O166" s="103" t="s">
        <v>946</v>
      </c>
      <c r="P166" s="137">
        <f t="shared" si="16"/>
        <v>0</v>
      </c>
    </row>
    <row r="167" spans="1:16" s="8" customFormat="1" ht="15.75" x14ac:dyDescent="0.25">
      <c r="A167" s="113" t="s">
        <v>395</v>
      </c>
      <c r="B167" s="102"/>
      <c r="C167" s="25" t="s">
        <v>828</v>
      </c>
      <c r="D167" s="25" t="s">
        <v>1122</v>
      </c>
      <c r="E167" s="38">
        <v>1</v>
      </c>
      <c r="F167" s="132"/>
      <c r="G167" s="50"/>
      <c r="H167" s="103"/>
      <c r="I167" s="144"/>
      <c r="J167" s="104"/>
      <c r="K167" s="103"/>
      <c r="L167" s="103"/>
      <c r="M167" s="141">
        <f t="shared" si="13"/>
        <v>1</v>
      </c>
      <c r="N167" s="103"/>
      <c r="O167" s="103" t="s">
        <v>946</v>
      </c>
      <c r="P167" s="137">
        <f t="shared" si="16"/>
        <v>0</v>
      </c>
    </row>
    <row r="168" spans="1:16" s="92" customFormat="1" x14ac:dyDescent="0.3">
      <c r="A168" s="113" t="s">
        <v>396</v>
      </c>
      <c r="B168" s="102">
        <v>44193</v>
      </c>
      <c r="C168" s="25" t="s">
        <v>653</v>
      </c>
      <c r="D168" s="25" t="s">
        <v>1122</v>
      </c>
      <c r="E168" s="38">
        <v>50</v>
      </c>
      <c r="F168" s="132">
        <v>575</v>
      </c>
      <c r="G168" s="50">
        <f t="shared" ref="G168:G198" si="18">E168*F168</f>
        <v>28750</v>
      </c>
      <c r="H168" s="103"/>
      <c r="I168" s="144"/>
      <c r="J168" s="104"/>
      <c r="K168" s="103"/>
      <c r="L168" s="103">
        <f>1+1</f>
        <v>2</v>
      </c>
      <c r="M168" s="141">
        <f t="shared" si="13"/>
        <v>48</v>
      </c>
      <c r="N168" s="103"/>
      <c r="O168" s="103" t="s">
        <v>945</v>
      </c>
      <c r="P168" s="137">
        <f t="shared" si="16"/>
        <v>27600</v>
      </c>
    </row>
    <row r="169" spans="1:16" s="105" customFormat="1" ht="15.75" x14ac:dyDescent="0.25">
      <c r="A169" s="113" t="s">
        <v>397</v>
      </c>
      <c r="B169" s="107">
        <v>45042</v>
      </c>
      <c r="C169" s="26" t="s">
        <v>655</v>
      </c>
      <c r="D169" s="25" t="s">
        <v>1122</v>
      </c>
      <c r="E169" s="32">
        <v>20</v>
      </c>
      <c r="F169" s="132">
        <v>8.08</v>
      </c>
      <c r="G169" s="50">
        <f t="shared" si="18"/>
        <v>161.6</v>
      </c>
      <c r="H169" s="107">
        <v>44851</v>
      </c>
      <c r="I169" s="144">
        <v>5.56</v>
      </c>
      <c r="J169" s="104">
        <v>8.08</v>
      </c>
      <c r="K169" s="104">
        <f>+J169*I169</f>
        <v>44.924799999999998</v>
      </c>
      <c r="L169" s="103">
        <v>3</v>
      </c>
      <c r="M169" s="157">
        <f>+E169+I169-L169</f>
        <v>22.56</v>
      </c>
      <c r="N169" s="103" t="s">
        <v>1037</v>
      </c>
      <c r="O169" s="103" t="s">
        <v>947</v>
      </c>
      <c r="P169" s="137">
        <f t="shared" si="16"/>
        <v>182.28479999999999</v>
      </c>
    </row>
    <row r="170" spans="1:16" s="8" customFormat="1" ht="15.75" x14ac:dyDescent="0.25">
      <c r="A170" s="113" t="s">
        <v>398</v>
      </c>
      <c r="B170" s="102">
        <v>44193</v>
      </c>
      <c r="C170" s="9" t="s">
        <v>1241</v>
      </c>
      <c r="D170" s="25" t="s">
        <v>1122</v>
      </c>
      <c r="E170" s="32">
        <v>15</v>
      </c>
      <c r="F170" s="132">
        <v>275</v>
      </c>
      <c r="G170" s="50">
        <f t="shared" si="18"/>
        <v>4125</v>
      </c>
      <c r="H170" s="107">
        <v>45022</v>
      </c>
      <c r="I170" s="144">
        <v>10</v>
      </c>
      <c r="J170" s="104">
        <v>168</v>
      </c>
      <c r="K170" s="104">
        <f t="shared" ref="K170:K173" si="19">+J170*I170</f>
        <v>1680</v>
      </c>
      <c r="L170" s="103">
        <f>17+1</f>
        <v>18</v>
      </c>
      <c r="M170" s="151">
        <f t="shared" si="13"/>
        <v>7</v>
      </c>
      <c r="N170" s="103"/>
      <c r="O170" s="103" t="s">
        <v>947</v>
      </c>
      <c r="P170" s="137">
        <f t="shared" si="16"/>
        <v>1925</v>
      </c>
    </row>
    <row r="171" spans="1:16" s="8" customFormat="1" ht="15.75" x14ac:dyDescent="0.25">
      <c r="A171" s="113" t="s">
        <v>399</v>
      </c>
      <c r="B171" s="102">
        <v>44193</v>
      </c>
      <c r="C171" s="9" t="s">
        <v>658</v>
      </c>
      <c r="D171" s="25" t="s">
        <v>1122</v>
      </c>
      <c r="E171" s="30">
        <v>2</v>
      </c>
      <c r="F171" s="132">
        <v>50</v>
      </c>
      <c r="G171" s="50">
        <f t="shared" si="18"/>
        <v>100</v>
      </c>
      <c r="H171" s="103"/>
      <c r="I171" s="144"/>
      <c r="J171" s="104"/>
      <c r="K171" s="104">
        <f t="shared" si="19"/>
        <v>0</v>
      </c>
      <c r="L171" s="103">
        <v>1</v>
      </c>
      <c r="M171" s="151">
        <f t="shared" si="13"/>
        <v>1</v>
      </c>
      <c r="N171" s="103"/>
      <c r="O171" s="103" t="s">
        <v>947</v>
      </c>
      <c r="P171" s="137">
        <f t="shared" si="16"/>
        <v>50</v>
      </c>
    </row>
    <row r="172" spans="1:16" s="8" customFormat="1" ht="15.75" x14ac:dyDescent="0.25">
      <c r="A172" s="113" t="s">
        <v>400</v>
      </c>
      <c r="B172" s="102">
        <v>44193</v>
      </c>
      <c r="C172" s="9" t="s">
        <v>657</v>
      </c>
      <c r="D172" s="25" t="s">
        <v>1122</v>
      </c>
      <c r="E172" s="30">
        <f>20+9</f>
        <v>29</v>
      </c>
      <c r="F172" s="132">
        <v>50</v>
      </c>
      <c r="G172" s="50">
        <f t="shared" si="18"/>
        <v>1450</v>
      </c>
      <c r="H172" s="107">
        <v>45042</v>
      </c>
      <c r="I172" s="144">
        <v>10</v>
      </c>
      <c r="J172" s="104">
        <v>44.55</v>
      </c>
      <c r="K172" s="104">
        <f t="shared" si="19"/>
        <v>445.5</v>
      </c>
      <c r="L172" s="103">
        <v>14</v>
      </c>
      <c r="M172" s="151">
        <f t="shared" si="13"/>
        <v>25</v>
      </c>
      <c r="N172" s="103"/>
      <c r="O172" s="103" t="s">
        <v>947</v>
      </c>
      <c r="P172" s="137">
        <f t="shared" si="16"/>
        <v>1250</v>
      </c>
    </row>
    <row r="173" spans="1:16" s="92" customFormat="1" x14ac:dyDescent="0.3">
      <c r="A173" s="113" t="s">
        <v>401</v>
      </c>
      <c r="B173" s="102">
        <v>44193</v>
      </c>
      <c r="C173" s="26" t="s">
        <v>660</v>
      </c>
      <c r="D173" s="25" t="s">
        <v>1122</v>
      </c>
      <c r="E173" s="30">
        <v>35</v>
      </c>
      <c r="F173" s="132">
        <v>7</v>
      </c>
      <c r="G173" s="50">
        <f t="shared" si="18"/>
        <v>245</v>
      </c>
      <c r="H173" s="103"/>
      <c r="I173" s="144"/>
      <c r="J173" s="104"/>
      <c r="K173" s="104">
        <f t="shared" si="19"/>
        <v>0</v>
      </c>
      <c r="L173" s="103"/>
      <c r="M173" s="141">
        <f t="shared" si="13"/>
        <v>35</v>
      </c>
      <c r="N173" s="103"/>
      <c r="O173" s="103" t="s">
        <v>945</v>
      </c>
      <c r="P173" s="137">
        <f t="shared" si="16"/>
        <v>245</v>
      </c>
    </row>
    <row r="174" spans="1:16" s="92" customFormat="1" x14ac:dyDescent="0.3">
      <c r="A174" s="113" t="s">
        <v>402</v>
      </c>
      <c r="B174" s="102">
        <v>44193</v>
      </c>
      <c r="C174" s="26" t="s">
        <v>659</v>
      </c>
      <c r="D174" s="25" t="s">
        <v>1122</v>
      </c>
      <c r="E174" s="30">
        <v>34</v>
      </c>
      <c r="F174" s="132">
        <v>125</v>
      </c>
      <c r="G174" s="50">
        <f t="shared" si="18"/>
        <v>4250</v>
      </c>
      <c r="H174" s="103"/>
      <c r="I174" s="144"/>
      <c r="J174" s="104"/>
      <c r="K174" s="103"/>
      <c r="L174" s="103">
        <v>1</v>
      </c>
      <c r="M174" s="141">
        <f t="shared" si="13"/>
        <v>33</v>
      </c>
      <c r="N174" s="103"/>
      <c r="O174" s="103" t="s">
        <v>945</v>
      </c>
      <c r="P174" s="137">
        <f t="shared" si="16"/>
        <v>4125</v>
      </c>
    </row>
    <row r="175" spans="1:16" s="92" customFormat="1" x14ac:dyDescent="0.3">
      <c r="A175" s="113" t="s">
        <v>403</v>
      </c>
      <c r="B175" s="102">
        <v>44193</v>
      </c>
      <c r="C175" s="26" t="s">
        <v>661</v>
      </c>
      <c r="D175" s="25" t="s">
        <v>1122</v>
      </c>
      <c r="E175" s="30">
        <v>106</v>
      </c>
      <c r="F175" s="132">
        <v>7</v>
      </c>
      <c r="G175" s="50">
        <f t="shared" si="18"/>
        <v>742</v>
      </c>
      <c r="H175" s="103"/>
      <c r="I175" s="144"/>
      <c r="J175" s="104"/>
      <c r="K175" s="103"/>
      <c r="L175" s="103">
        <v>3</v>
      </c>
      <c r="M175" s="141">
        <f t="shared" si="13"/>
        <v>103</v>
      </c>
      <c r="N175" s="103"/>
      <c r="O175" s="103" t="s">
        <v>945</v>
      </c>
      <c r="P175" s="137">
        <f t="shared" si="16"/>
        <v>721</v>
      </c>
    </row>
    <row r="176" spans="1:16" s="92" customFormat="1" x14ac:dyDescent="0.3">
      <c r="A176" s="113" t="s">
        <v>404</v>
      </c>
      <c r="B176" s="102">
        <v>44456</v>
      </c>
      <c r="C176" s="26" t="s">
        <v>662</v>
      </c>
      <c r="D176" s="25" t="s">
        <v>1122</v>
      </c>
      <c r="E176" s="30">
        <v>27</v>
      </c>
      <c r="F176" s="132">
        <v>7</v>
      </c>
      <c r="G176" s="50">
        <f t="shared" si="18"/>
        <v>189</v>
      </c>
      <c r="H176" s="103"/>
      <c r="I176" s="144"/>
      <c r="J176" s="104"/>
      <c r="K176" s="103"/>
      <c r="L176" s="103"/>
      <c r="M176" s="141">
        <f t="shared" ref="M176:M239" si="20">+E176+I176-L176</f>
        <v>27</v>
      </c>
      <c r="N176" s="103"/>
      <c r="O176" s="103" t="s">
        <v>945</v>
      </c>
      <c r="P176" s="137">
        <f t="shared" si="16"/>
        <v>189</v>
      </c>
    </row>
    <row r="177" spans="1:17" s="8" customFormat="1" ht="15.75" x14ac:dyDescent="0.25">
      <c r="A177" s="113" t="s">
        <v>405</v>
      </c>
      <c r="B177" s="102">
        <v>44193</v>
      </c>
      <c r="C177" s="26" t="s">
        <v>800</v>
      </c>
      <c r="D177" s="25" t="s">
        <v>1122</v>
      </c>
      <c r="E177" s="32">
        <f>6+6</f>
        <v>12</v>
      </c>
      <c r="F177" s="132">
        <v>135</v>
      </c>
      <c r="G177" s="50">
        <f t="shared" si="18"/>
        <v>1620</v>
      </c>
      <c r="H177" s="103"/>
      <c r="I177" s="144"/>
      <c r="J177" s="104"/>
      <c r="K177" s="103"/>
      <c r="L177" s="103"/>
      <c r="M177" s="141">
        <f t="shared" si="20"/>
        <v>12</v>
      </c>
      <c r="N177" s="103"/>
      <c r="O177" s="103" t="s">
        <v>946</v>
      </c>
      <c r="P177" s="137">
        <f t="shared" si="16"/>
        <v>1620</v>
      </c>
    </row>
    <row r="178" spans="1:17" s="8" customFormat="1" ht="15.75" x14ac:dyDescent="0.25">
      <c r="A178" s="113" t="s">
        <v>406</v>
      </c>
      <c r="B178" s="102">
        <v>44193</v>
      </c>
      <c r="C178" s="26" t="s">
        <v>663</v>
      </c>
      <c r="D178" s="25" t="s">
        <v>1122</v>
      </c>
      <c r="E178" s="55">
        <v>42</v>
      </c>
      <c r="F178" s="132">
        <v>115</v>
      </c>
      <c r="G178" s="50">
        <f t="shared" si="18"/>
        <v>4830</v>
      </c>
      <c r="H178" s="103"/>
      <c r="I178" s="144"/>
      <c r="J178" s="104"/>
      <c r="K178" s="103"/>
      <c r="L178" s="103"/>
      <c r="M178" s="141">
        <f t="shared" si="20"/>
        <v>42</v>
      </c>
      <c r="N178" s="103"/>
      <c r="O178" s="103" t="s">
        <v>946</v>
      </c>
      <c r="P178" s="137">
        <f t="shared" si="16"/>
        <v>4830</v>
      </c>
    </row>
    <row r="179" spans="1:17" s="92" customFormat="1" x14ac:dyDescent="0.3">
      <c r="A179" s="113" t="s">
        <v>407</v>
      </c>
      <c r="B179" s="107">
        <v>44903</v>
      </c>
      <c r="C179" s="26" t="s">
        <v>768</v>
      </c>
      <c r="D179" s="25" t="s">
        <v>1122</v>
      </c>
      <c r="E179" s="32">
        <v>104</v>
      </c>
      <c r="F179" s="132">
        <v>154.58000000000001</v>
      </c>
      <c r="G179" s="50">
        <f t="shared" si="18"/>
        <v>16076.320000000002</v>
      </c>
      <c r="H179" s="107">
        <v>44903</v>
      </c>
      <c r="I179" s="144">
        <f>20*4</f>
        <v>80</v>
      </c>
      <c r="J179" s="104">
        <v>154.58000000000001</v>
      </c>
      <c r="K179" s="108">
        <f>+I179*J179</f>
        <v>12366.400000000001</v>
      </c>
      <c r="L179" s="103">
        <f>13+4</f>
        <v>17</v>
      </c>
      <c r="M179" s="141">
        <f t="shared" si="20"/>
        <v>167</v>
      </c>
      <c r="N179" s="103"/>
      <c r="O179" s="103" t="s">
        <v>945</v>
      </c>
      <c r="P179" s="137">
        <f t="shared" si="16"/>
        <v>25814.86</v>
      </c>
    </row>
    <row r="180" spans="1:17" s="92" customFormat="1" x14ac:dyDescent="0.3">
      <c r="A180" s="113" t="s">
        <v>408</v>
      </c>
      <c r="B180" s="107">
        <v>45019</v>
      </c>
      <c r="C180" s="25" t="s">
        <v>769</v>
      </c>
      <c r="D180" s="25" t="s">
        <v>1173</v>
      </c>
      <c r="E180" s="32">
        <v>132</v>
      </c>
      <c r="F180" s="132">
        <v>139.04</v>
      </c>
      <c r="G180" s="50">
        <f t="shared" si="18"/>
        <v>18353.28</v>
      </c>
      <c r="H180" s="107">
        <v>45019</v>
      </c>
      <c r="I180" s="144">
        <f>10*6</f>
        <v>60</v>
      </c>
      <c r="J180" s="104">
        <v>139.04</v>
      </c>
      <c r="K180" s="108">
        <f>+I180*J180</f>
        <v>8342.4</v>
      </c>
      <c r="L180" s="103">
        <f>4+1+1+1</f>
        <v>7</v>
      </c>
      <c r="M180" s="141">
        <f>+E180+I180-L180</f>
        <v>185</v>
      </c>
      <c r="N180" s="154"/>
      <c r="O180" s="154" t="s">
        <v>945</v>
      </c>
      <c r="P180" s="155">
        <f t="shared" si="16"/>
        <v>25722.399999999998</v>
      </c>
      <c r="Q180" s="156">
        <v>24</v>
      </c>
    </row>
    <row r="181" spans="1:17" s="8" customFormat="1" ht="15.75" x14ac:dyDescent="0.25">
      <c r="A181" s="113" t="s">
        <v>409</v>
      </c>
      <c r="B181" s="102">
        <v>44193</v>
      </c>
      <c r="C181" s="25" t="s">
        <v>796</v>
      </c>
      <c r="D181" s="25" t="s">
        <v>1122</v>
      </c>
      <c r="E181" s="38">
        <v>3</v>
      </c>
      <c r="F181" s="132">
        <v>352</v>
      </c>
      <c r="G181" s="50">
        <f t="shared" si="18"/>
        <v>1056</v>
      </c>
      <c r="H181" s="103"/>
      <c r="I181" s="144"/>
      <c r="J181" s="104"/>
      <c r="K181" s="103"/>
      <c r="L181" s="103"/>
      <c r="M181" s="141">
        <f t="shared" si="20"/>
        <v>3</v>
      </c>
      <c r="N181" s="103"/>
      <c r="O181" s="103" t="s">
        <v>946</v>
      </c>
      <c r="P181" s="137">
        <f t="shared" si="16"/>
        <v>1056</v>
      </c>
    </row>
    <row r="182" spans="1:17" s="8" customFormat="1" ht="15.75" x14ac:dyDescent="0.25">
      <c r="A182" s="113" t="s">
        <v>410</v>
      </c>
      <c r="B182" s="102">
        <v>44193</v>
      </c>
      <c r="C182" s="25" t="s">
        <v>670</v>
      </c>
      <c r="D182" s="25" t="s">
        <v>1122</v>
      </c>
      <c r="E182" s="55">
        <f>38+19</f>
        <v>57</v>
      </c>
      <c r="F182" s="132">
        <v>67.8</v>
      </c>
      <c r="G182" s="50">
        <f t="shared" si="18"/>
        <v>3864.6</v>
      </c>
      <c r="H182" s="103"/>
      <c r="I182" s="144"/>
      <c r="J182" s="104"/>
      <c r="K182" s="103"/>
      <c r="L182" s="103"/>
      <c r="M182" s="141">
        <f t="shared" si="20"/>
        <v>57</v>
      </c>
      <c r="N182" s="103"/>
      <c r="O182" s="103" t="s">
        <v>946</v>
      </c>
      <c r="P182" s="137">
        <f t="shared" si="16"/>
        <v>3864.6</v>
      </c>
    </row>
    <row r="183" spans="1:17" s="8" customFormat="1" ht="15.75" x14ac:dyDescent="0.25">
      <c r="A183" s="113" t="s">
        <v>411</v>
      </c>
      <c r="B183" s="102">
        <v>44193</v>
      </c>
      <c r="C183" s="25" t="s">
        <v>671</v>
      </c>
      <c r="D183" s="25" t="s">
        <v>1122</v>
      </c>
      <c r="E183" s="55">
        <f>19+19</f>
        <v>38</v>
      </c>
      <c r="F183" s="132">
        <v>67.8</v>
      </c>
      <c r="G183" s="50">
        <f t="shared" si="18"/>
        <v>2576.4</v>
      </c>
      <c r="H183" s="103"/>
      <c r="I183" s="144"/>
      <c r="J183" s="104"/>
      <c r="K183" s="103"/>
      <c r="L183" s="103"/>
      <c r="M183" s="141">
        <f t="shared" si="20"/>
        <v>38</v>
      </c>
      <c r="N183" s="103"/>
      <c r="O183" s="103" t="s">
        <v>946</v>
      </c>
      <c r="P183" s="137">
        <f t="shared" si="16"/>
        <v>2576.4</v>
      </c>
    </row>
    <row r="184" spans="1:17" s="8" customFormat="1" ht="15.75" x14ac:dyDescent="0.25">
      <c r="A184" s="113" t="s">
        <v>412</v>
      </c>
      <c r="B184" s="102">
        <v>44193</v>
      </c>
      <c r="C184" s="25" t="s">
        <v>669</v>
      </c>
      <c r="D184" s="25" t="s">
        <v>1122</v>
      </c>
      <c r="E184" s="32">
        <v>0</v>
      </c>
      <c r="F184" s="132">
        <v>67.8</v>
      </c>
      <c r="G184" s="50">
        <f t="shared" si="18"/>
        <v>0</v>
      </c>
      <c r="H184" s="103"/>
      <c r="I184" s="144"/>
      <c r="J184" s="104"/>
      <c r="K184" s="103"/>
      <c r="L184" s="103"/>
      <c r="M184" s="141">
        <f t="shared" si="20"/>
        <v>0</v>
      </c>
      <c r="N184" s="103"/>
      <c r="O184" s="103" t="s">
        <v>946</v>
      </c>
      <c r="P184" s="137">
        <f t="shared" si="16"/>
        <v>0</v>
      </c>
    </row>
    <row r="185" spans="1:17" s="8" customFormat="1" ht="15.75" x14ac:dyDescent="0.25">
      <c r="A185" s="113" t="s">
        <v>413</v>
      </c>
      <c r="B185" s="102">
        <v>44193</v>
      </c>
      <c r="C185" s="9" t="s">
        <v>672</v>
      </c>
      <c r="D185" s="25" t="s">
        <v>1122</v>
      </c>
      <c r="E185" s="55">
        <v>50</v>
      </c>
      <c r="F185" s="132">
        <v>170.69</v>
      </c>
      <c r="G185" s="50">
        <f t="shared" si="18"/>
        <v>8534.5</v>
      </c>
      <c r="H185" s="103"/>
      <c r="I185" s="144"/>
      <c r="J185" s="104"/>
      <c r="K185" s="103"/>
      <c r="L185" s="103"/>
      <c r="M185" s="141">
        <f t="shared" si="20"/>
        <v>50</v>
      </c>
      <c r="N185" s="103"/>
      <c r="O185" s="103" t="s">
        <v>947</v>
      </c>
      <c r="P185" s="137">
        <f t="shared" si="16"/>
        <v>8534.5</v>
      </c>
    </row>
    <row r="186" spans="1:17" s="8" customFormat="1" ht="15.75" x14ac:dyDescent="0.25">
      <c r="A186" s="113" t="s">
        <v>414</v>
      </c>
      <c r="B186" s="102">
        <v>44193</v>
      </c>
      <c r="C186" s="9" t="s">
        <v>673</v>
      </c>
      <c r="D186" s="25" t="s">
        <v>1122</v>
      </c>
      <c r="E186" s="55">
        <v>1040</v>
      </c>
      <c r="F186" s="132">
        <v>170.69</v>
      </c>
      <c r="G186" s="50">
        <f t="shared" si="18"/>
        <v>177517.6</v>
      </c>
      <c r="H186" s="103"/>
      <c r="I186" s="144"/>
      <c r="J186" s="104"/>
      <c r="K186" s="103"/>
      <c r="L186" s="103"/>
      <c r="M186" s="141">
        <f t="shared" si="20"/>
        <v>1040</v>
      </c>
      <c r="N186" s="103"/>
      <c r="O186" s="103" t="s">
        <v>947</v>
      </c>
      <c r="P186" s="137">
        <f t="shared" si="16"/>
        <v>177517.6</v>
      </c>
    </row>
    <row r="187" spans="1:17" s="8" customFormat="1" ht="15.75" x14ac:dyDescent="0.25">
      <c r="A187" s="113" t="s">
        <v>415</v>
      </c>
      <c r="B187" s="102">
        <v>44193</v>
      </c>
      <c r="C187" s="9" t="s">
        <v>674</v>
      </c>
      <c r="D187" s="25" t="s">
        <v>1122</v>
      </c>
      <c r="E187" s="56">
        <v>1</v>
      </c>
      <c r="F187" s="132">
        <v>170.69</v>
      </c>
      <c r="G187" s="50">
        <f t="shared" si="18"/>
        <v>170.69</v>
      </c>
      <c r="H187" s="103"/>
      <c r="I187" s="144"/>
      <c r="J187" s="104"/>
      <c r="K187" s="103"/>
      <c r="L187" s="103"/>
      <c r="M187" s="141">
        <f t="shared" si="20"/>
        <v>1</v>
      </c>
      <c r="N187" s="103"/>
      <c r="O187" s="103" t="s">
        <v>947</v>
      </c>
      <c r="P187" s="137">
        <f t="shared" si="16"/>
        <v>170.69</v>
      </c>
    </row>
    <row r="188" spans="1:17" s="8" customFormat="1" ht="15.75" x14ac:dyDescent="0.25">
      <c r="A188" s="113" t="s">
        <v>416</v>
      </c>
      <c r="B188" s="102">
        <v>44193</v>
      </c>
      <c r="C188" s="9" t="s">
        <v>675</v>
      </c>
      <c r="D188" s="25" t="s">
        <v>1122</v>
      </c>
      <c r="E188" s="30">
        <v>300</v>
      </c>
      <c r="F188" s="132">
        <v>6.5</v>
      </c>
      <c r="G188" s="50">
        <f t="shared" si="18"/>
        <v>1950</v>
      </c>
      <c r="H188" s="103"/>
      <c r="I188" s="144"/>
      <c r="J188" s="104"/>
      <c r="K188" s="103"/>
      <c r="L188" s="103"/>
      <c r="M188" s="141">
        <f t="shared" si="20"/>
        <v>300</v>
      </c>
      <c r="N188" s="103"/>
      <c r="O188" s="103" t="s">
        <v>947</v>
      </c>
      <c r="P188" s="137">
        <f t="shared" si="16"/>
        <v>1950</v>
      </c>
    </row>
    <row r="189" spans="1:17" s="8" customFormat="1" ht="15.75" x14ac:dyDescent="0.25">
      <c r="A189" s="113" t="s">
        <v>417</v>
      </c>
      <c r="B189" s="102">
        <v>44193</v>
      </c>
      <c r="C189" s="9" t="s">
        <v>676</v>
      </c>
      <c r="D189" s="25" t="s">
        <v>1122</v>
      </c>
      <c r="E189" s="30">
        <v>2</v>
      </c>
      <c r="F189" s="132">
        <v>3.5</v>
      </c>
      <c r="G189" s="50">
        <f t="shared" si="18"/>
        <v>7</v>
      </c>
      <c r="H189" s="103"/>
      <c r="I189" s="144"/>
      <c r="J189" s="104"/>
      <c r="K189" s="103"/>
      <c r="L189" s="103"/>
      <c r="M189" s="141">
        <f t="shared" si="20"/>
        <v>2</v>
      </c>
      <c r="N189" s="103"/>
      <c r="O189" s="103" t="s">
        <v>947</v>
      </c>
      <c r="P189" s="137">
        <f t="shared" si="16"/>
        <v>7</v>
      </c>
    </row>
    <row r="190" spans="1:17" s="8" customFormat="1" ht="15.75" x14ac:dyDescent="0.25">
      <c r="A190" s="113" t="s">
        <v>418</v>
      </c>
      <c r="B190" s="102">
        <v>44193</v>
      </c>
      <c r="C190" s="26" t="s">
        <v>678</v>
      </c>
      <c r="D190" s="25" t="s">
        <v>1122</v>
      </c>
      <c r="E190" s="30">
        <v>5</v>
      </c>
      <c r="F190" s="132">
        <v>5000</v>
      </c>
      <c r="G190" s="50">
        <f t="shared" si="18"/>
        <v>25000</v>
      </c>
      <c r="H190" s="103"/>
      <c r="I190" s="144"/>
      <c r="J190" s="104"/>
      <c r="K190" s="103"/>
      <c r="L190" s="103"/>
      <c r="M190" s="141">
        <f t="shared" si="20"/>
        <v>5</v>
      </c>
      <c r="N190" s="103"/>
      <c r="O190" s="103" t="s">
        <v>946</v>
      </c>
      <c r="P190" s="137">
        <f t="shared" si="16"/>
        <v>25000</v>
      </c>
    </row>
    <row r="191" spans="1:17" s="8" customFormat="1" ht="15.75" x14ac:dyDescent="0.25">
      <c r="A191" s="113" t="s">
        <v>419</v>
      </c>
      <c r="B191" s="102">
        <v>44193</v>
      </c>
      <c r="C191" s="26" t="s">
        <v>677</v>
      </c>
      <c r="D191" s="25" t="s">
        <v>1122</v>
      </c>
      <c r="E191" s="30">
        <v>2</v>
      </c>
      <c r="F191" s="132">
        <v>10800</v>
      </c>
      <c r="G191" s="50">
        <f t="shared" si="18"/>
        <v>21600</v>
      </c>
      <c r="H191" s="103"/>
      <c r="I191" s="144"/>
      <c r="J191" s="104"/>
      <c r="K191" s="103"/>
      <c r="L191" s="103"/>
      <c r="M191" s="141">
        <f t="shared" si="20"/>
        <v>2</v>
      </c>
      <c r="N191" s="103"/>
      <c r="O191" s="103" t="s">
        <v>946</v>
      </c>
      <c r="P191" s="137">
        <f t="shared" si="16"/>
        <v>21600</v>
      </c>
    </row>
    <row r="192" spans="1:17" s="8" customFormat="1" ht="15.75" x14ac:dyDescent="0.25">
      <c r="A192" s="113" t="s">
        <v>420</v>
      </c>
      <c r="B192" s="102">
        <v>44193</v>
      </c>
      <c r="C192" s="9" t="s">
        <v>679</v>
      </c>
      <c r="D192" s="25" t="s">
        <v>1122</v>
      </c>
      <c r="E192" s="38">
        <v>29</v>
      </c>
      <c r="F192" s="132">
        <v>33</v>
      </c>
      <c r="G192" s="50">
        <f t="shared" si="18"/>
        <v>957</v>
      </c>
      <c r="H192" s="103"/>
      <c r="I192" s="144"/>
      <c r="J192" s="104"/>
      <c r="K192" s="103"/>
      <c r="L192" s="103"/>
      <c r="M192" s="141">
        <f t="shared" si="20"/>
        <v>29</v>
      </c>
      <c r="N192" s="103"/>
      <c r="O192" s="103" t="s">
        <v>947</v>
      </c>
      <c r="P192" s="137">
        <f t="shared" si="16"/>
        <v>957</v>
      </c>
    </row>
    <row r="193" spans="1:16" s="8" customFormat="1" ht="15.75" x14ac:dyDescent="0.25">
      <c r="A193" s="113" t="s">
        <v>421</v>
      </c>
      <c r="B193" s="102">
        <v>44193</v>
      </c>
      <c r="C193" s="9" t="s">
        <v>1035</v>
      </c>
      <c r="D193" s="25" t="s">
        <v>1122</v>
      </c>
      <c r="E193" s="30">
        <f>8*12</f>
        <v>96</v>
      </c>
      <c r="F193" s="132">
        <v>15</v>
      </c>
      <c r="G193" s="50">
        <f t="shared" si="18"/>
        <v>1440</v>
      </c>
      <c r="H193" s="107">
        <v>45042</v>
      </c>
      <c r="I193" s="144">
        <f>20*12</f>
        <v>240</v>
      </c>
      <c r="J193" s="104">
        <v>11.51</v>
      </c>
      <c r="K193" s="104">
        <f>+J193*I193</f>
        <v>2762.4</v>
      </c>
      <c r="L193" s="103">
        <f>12+6+12+12+12+12</f>
        <v>66</v>
      </c>
      <c r="M193" s="151">
        <f t="shared" si="20"/>
        <v>270</v>
      </c>
      <c r="N193" s="103"/>
      <c r="O193" s="103" t="s">
        <v>947</v>
      </c>
      <c r="P193" s="137">
        <f t="shared" si="16"/>
        <v>4050</v>
      </c>
    </row>
    <row r="194" spans="1:16" s="8" customFormat="1" ht="15.75" x14ac:dyDescent="0.25">
      <c r="A194" s="113" t="s">
        <v>422</v>
      </c>
      <c r="B194" s="102">
        <v>44547</v>
      </c>
      <c r="C194" s="9" t="s">
        <v>777</v>
      </c>
      <c r="D194" s="25" t="s">
        <v>1122</v>
      </c>
      <c r="E194" s="30">
        <v>27</v>
      </c>
      <c r="F194" s="132">
        <v>8.34</v>
      </c>
      <c r="G194" s="50">
        <f t="shared" si="18"/>
        <v>225.18</v>
      </c>
      <c r="H194" s="103"/>
      <c r="I194" s="144"/>
      <c r="J194" s="104"/>
      <c r="K194" s="103"/>
      <c r="L194" s="103"/>
      <c r="M194" s="141">
        <f t="shared" si="20"/>
        <v>27</v>
      </c>
      <c r="N194" s="103"/>
      <c r="O194" s="103" t="s">
        <v>947</v>
      </c>
      <c r="P194" s="137">
        <f t="shared" si="16"/>
        <v>225.18</v>
      </c>
    </row>
    <row r="195" spans="1:16" s="8" customFormat="1" ht="15.75" x14ac:dyDescent="0.25">
      <c r="A195" s="113" t="s">
        <v>423</v>
      </c>
      <c r="B195" s="102">
        <v>44193</v>
      </c>
      <c r="C195" s="9" t="s">
        <v>1222</v>
      </c>
      <c r="D195" s="25" t="s">
        <v>1122</v>
      </c>
      <c r="E195" s="30">
        <f>12+8</f>
        <v>20</v>
      </c>
      <c r="F195" s="132">
        <v>8.34</v>
      </c>
      <c r="G195" s="50">
        <f t="shared" si="18"/>
        <v>166.8</v>
      </c>
      <c r="H195" s="103"/>
      <c r="I195" s="144">
        <v>12</v>
      </c>
      <c r="J195" s="104"/>
      <c r="K195" s="103"/>
      <c r="L195" s="103"/>
      <c r="M195" s="151">
        <f t="shared" si="20"/>
        <v>32</v>
      </c>
      <c r="N195" s="103"/>
      <c r="O195" s="103" t="s">
        <v>947</v>
      </c>
      <c r="P195" s="137">
        <f t="shared" si="16"/>
        <v>266.88</v>
      </c>
    </row>
    <row r="196" spans="1:16" s="8" customFormat="1" ht="15.75" x14ac:dyDescent="0.25">
      <c r="A196" s="113" t="s">
        <v>424</v>
      </c>
      <c r="B196" s="102">
        <v>45042</v>
      </c>
      <c r="C196" s="9" t="s">
        <v>681</v>
      </c>
      <c r="D196" s="25" t="s">
        <v>1122</v>
      </c>
      <c r="E196" s="30">
        <v>139</v>
      </c>
      <c r="F196" s="132">
        <v>5.6</v>
      </c>
      <c r="G196" s="50">
        <f t="shared" si="18"/>
        <v>778.4</v>
      </c>
      <c r="H196" s="103"/>
      <c r="I196" s="144">
        <f>20*12</f>
        <v>240</v>
      </c>
      <c r="J196" s="104">
        <v>4.43</v>
      </c>
      <c r="K196" s="104">
        <f>+J196*I196</f>
        <v>1063.1999999999998</v>
      </c>
      <c r="L196" s="103">
        <f>188+3+12</f>
        <v>203</v>
      </c>
      <c r="M196" s="151">
        <f t="shared" si="20"/>
        <v>176</v>
      </c>
      <c r="N196" s="103"/>
      <c r="O196" s="103" t="s">
        <v>947</v>
      </c>
      <c r="P196" s="137">
        <f t="shared" si="16"/>
        <v>985.59999999999991</v>
      </c>
    </row>
    <row r="197" spans="1:16" s="92" customFormat="1" x14ac:dyDescent="0.3">
      <c r="A197" s="113" t="s">
        <v>425</v>
      </c>
      <c r="B197" s="102">
        <v>44193</v>
      </c>
      <c r="C197" s="9" t="s">
        <v>684</v>
      </c>
      <c r="D197" s="25" t="s">
        <v>1122</v>
      </c>
      <c r="E197" s="30">
        <v>79</v>
      </c>
      <c r="F197" s="132">
        <v>160</v>
      </c>
      <c r="G197" s="50">
        <f t="shared" si="18"/>
        <v>12640</v>
      </c>
      <c r="H197" s="103"/>
      <c r="I197" s="144"/>
      <c r="J197" s="104"/>
      <c r="K197" s="103"/>
      <c r="L197" s="103"/>
      <c r="M197" s="141">
        <f t="shared" si="20"/>
        <v>79</v>
      </c>
      <c r="N197" s="103"/>
      <c r="O197" s="103" t="s">
        <v>945</v>
      </c>
      <c r="P197" s="137">
        <f t="shared" si="16"/>
        <v>12640</v>
      </c>
    </row>
    <row r="198" spans="1:16" s="105" customFormat="1" ht="15.75" x14ac:dyDescent="0.25">
      <c r="A198" s="113" t="s">
        <v>426</v>
      </c>
      <c r="B198" s="107">
        <v>45042</v>
      </c>
      <c r="C198" s="9" t="s">
        <v>787</v>
      </c>
      <c r="D198" s="25" t="s">
        <v>1122</v>
      </c>
      <c r="E198" s="30">
        <v>18</v>
      </c>
      <c r="F198" s="132">
        <v>38.65</v>
      </c>
      <c r="G198" s="50">
        <f t="shared" si="18"/>
        <v>695.69999999999993</v>
      </c>
      <c r="H198" s="107"/>
      <c r="I198" s="144">
        <v>10</v>
      </c>
      <c r="J198" s="104">
        <v>58</v>
      </c>
      <c r="K198" s="103">
        <f>+J198*I198</f>
        <v>580</v>
      </c>
      <c r="L198" s="103">
        <v>3</v>
      </c>
      <c r="M198" s="151">
        <f t="shared" si="20"/>
        <v>25</v>
      </c>
      <c r="N198" s="103" t="s">
        <v>1037</v>
      </c>
      <c r="O198" s="103" t="s">
        <v>947</v>
      </c>
      <c r="P198" s="137">
        <f t="shared" si="16"/>
        <v>966.25</v>
      </c>
    </row>
    <row r="199" spans="1:16" s="8" customFormat="1" ht="15.75" x14ac:dyDescent="0.25">
      <c r="A199" s="113" t="s">
        <v>427</v>
      </c>
      <c r="B199" s="102"/>
      <c r="C199" s="25" t="s">
        <v>1224</v>
      </c>
      <c r="D199" s="25" t="s">
        <v>1122</v>
      </c>
      <c r="E199" s="38">
        <v>56</v>
      </c>
      <c r="F199" s="132"/>
      <c r="G199" s="50"/>
      <c r="H199" s="103"/>
      <c r="I199" s="144"/>
      <c r="J199" s="104"/>
      <c r="K199" s="103"/>
      <c r="L199" s="103"/>
      <c r="M199" s="141">
        <f t="shared" si="20"/>
        <v>56</v>
      </c>
      <c r="N199" s="103"/>
      <c r="O199" s="103" t="s">
        <v>947</v>
      </c>
      <c r="P199" s="137">
        <f t="shared" si="16"/>
        <v>0</v>
      </c>
    </row>
    <row r="200" spans="1:16" s="105" customFormat="1" ht="15.75" x14ac:dyDescent="0.25">
      <c r="A200" s="113" t="s">
        <v>428</v>
      </c>
      <c r="B200" s="107">
        <v>45042</v>
      </c>
      <c r="C200" s="9" t="s">
        <v>780</v>
      </c>
      <c r="D200" s="25" t="s">
        <v>1122</v>
      </c>
      <c r="E200" s="30">
        <v>8</v>
      </c>
      <c r="F200" s="133">
        <v>310.33999999999997</v>
      </c>
      <c r="G200" s="50">
        <f>E200*F200</f>
        <v>2482.7199999999998</v>
      </c>
      <c r="H200" s="107">
        <v>45042</v>
      </c>
      <c r="I200" s="144">
        <v>10</v>
      </c>
      <c r="J200" s="104">
        <v>310.33999999999997</v>
      </c>
      <c r="K200" s="104">
        <f>+J200*I200</f>
        <v>3103.3999999999996</v>
      </c>
      <c r="L200" s="103">
        <v>1</v>
      </c>
      <c r="M200" s="151">
        <f t="shared" si="20"/>
        <v>17</v>
      </c>
      <c r="N200" s="103" t="s">
        <v>1037</v>
      </c>
      <c r="O200" s="103" t="s">
        <v>947</v>
      </c>
      <c r="P200" s="137">
        <f t="shared" si="16"/>
        <v>5275.78</v>
      </c>
    </row>
    <row r="201" spans="1:16" s="8" customFormat="1" ht="15.75" x14ac:dyDescent="0.25">
      <c r="A201" s="113" t="s">
        <v>429</v>
      </c>
      <c r="B201" s="102"/>
      <c r="C201" s="25" t="s">
        <v>783</v>
      </c>
      <c r="D201" s="25" t="s">
        <v>1122</v>
      </c>
      <c r="E201" s="38">
        <v>15</v>
      </c>
      <c r="F201" s="132"/>
      <c r="G201" s="50"/>
      <c r="H201" s="103"/>
      <c r="I201" s="144"/>
      <c r="J201" s="104"/>
      <c r="K201" s="103"/>
      <c r="L201" s="103"/>
      <c r="M201" s="141">
        <f t="shared" si="20"/>
        <v>15</v>
      </c>
      <c r="N201" s="103"/>
      <c r="O201" s="103" t="s">
        <v>947</v>
      </c>
      <c r="P201" s="137">
        <f t="shared" si="16"/>
        <v>0</v>
      </c>
    </row>
    <row r="202" spans="1:16" s="8" customFormat="1" ht="15.75" x14ac:dyDescent="0.25">
      <c r="A202" s="113" t="s">
        <v>430</v>
      </c>
      <c r="B202" s="102">
        <v>44193</v>
      </c>
      <c r="C202" s="9" t="s">
        <v>687</v>
      </c>
      <c r="D202" s="25" t="s">
        <v>1122</v>
      </c>
      <c r="E202" s="32">
        <v>2</v>
      </c>
      <c r="F202" s="132">
        <v>175</v>
      </c>
      <c r="G202" s="50">
        <f t="shared" ref="G202:G260" si="21">E202*F202</f>
        <v>350</v>
      </c>
      <c r="H202" s="103"/>
      <c r="I202" s="144"/>
      <c r="J202" s="104"/>
      <c r="K202" s="103"/>
      <c r="L202" s="103"/>
      <c r="M202" s="141">
        <f t="shared" si="20"/>
        <v>2</v>
      </c>
      <c r="N202" s="103"/>
      <c r="O202" s="103" t="s">
        <v>947</v>
      </c>
      <c r="P202" s="137">
        <f t="shared" si="16"/>
        <v>350</v>
      </c>
    </row>
    <row r="203" spans="1:16" s="8" customFormat="1" ht="15.75" x14ac:dyDescent="0.25">
      <c r="A203" s="113" t="s">
        <v>431</v>
      </c>
      <c r="B203" s="102">
        <v>44193</v>
      </c>
      <c r="C203" s="26" t="s">
        <v>695</v>
      </c>
      <c r="D203" s="25" t="s">
        <v>1122</v>
      </c>
      <c r="E203" s="38">
        <v>1</v>
      </c>
      <c r="F203" s="132">
        <v>270.55</v>
      </c>
      <c r="G203" s="50">
        <f t="shared" si="21"/>
        <v>270.55</v>
      </c>
      <c r="H203" s="103"/>
      <c r="I203" s="144"/>
      <c r="J203" s="104"/>
      <c r="K203" s="103"/>
      <c r="L203" s="103"/>
      <c r="M203" s="141">
        <f t="shared" si="20"/>
        <v>1</v>
      </c>
      <c r="N203" s="103"/>
      <c r="O203" s="103" t="s">
        <v>946</v>
      </c>
      <c r="P203" s="137">
        <f t="shared" si="16"/>
        <v>270.55</v>
      </c>
    </row>
    <row r="204" spans="1:16" s="8" customFormat="1" ht="15.75" x14ac:dyDescent="0.25">
      <c r="A204" s="113" t="s">
        <v>432</v>
      </c>
      <c r="B204" s="102">
        <v>44193</v>
      </c>
      <c r="C204" s="25" t="s">
        <v>688</v>
      </c>
      <c r="D204" s="25" t="s">
        <v>1122</v>
      </c>
      <c r="E204" s="58">
        <v>3</v>
      </c>
      <c r="F204" s="132">
        <v>79.8</v>
      </c>
      <c r="G204" s="50">
        <f t="shared" si="21"/>
        <v>239.39999999999998</v>
      </c>
      <c r="H204" s="103"/>
      <c r="I204" s="144"/>
      <c r="J204" s="104"/>
      <c r="K204" s="103"/>
      <c r="L204" s="103"/>
      <c r="M204" s="141">
        <f t="shared" si="20"/>
        <v>3</v>
      </c>
      <c r="N204" s="103"/>
      <c r="O204" s="103" t="s">
        <v>946</v>
      </c>
      <c r="P204" s="137">
        <f t="shared" si="16"/>
        <v>239.39999999999998</v>
      </c>
    </row>
    <row r="205" spans="1:16" s="8" customFormat="1" ht="15.75" x14ac:dyDescent="0.25">
      <c r="A205" s="113" t="s">
        <v>433</v>
      </c>
      <c r="B205" s="102">
        <v>44193</v>
      </c>
      <c r="C205" s="25" t="s">
        <v>689</v>
      </c>
      <c r="D205" s="25" t="s">
        <v>1122</v>
      </c>
      <c r="E205" s="55">
        <v>7</v>
      </c>
      <c r="F205" s="132">
        <v>79.8</v>
      </c>
      <c r="G205" s="50">
        <f t="shared" si="21"/>
        <v>558.6</v>
      </c>
      <c r="H205" s="103"/>
      <c r="I205" s="144"/>
      <c r="J205" s="104"/>
      <c r="K205" s="103"/>
      <c r="L205" s="103"/>
      <c r="M205" s="141">
        <f t="shared" si="20"/>
        <v>7</v>
      </c>
      <c r="N205" s="103"/>
      <c r="O205" s="103" t="s">
        <v>946</v>
      </c>
      <c r="P205" s="137">
        <f t="shared" si="16"/>
        <v>558.6</v>
      </c>
    </row>
    <row r="206" spans="1:16" s="8" customFormat="1" ht="15.75" x14ac:dyDescent="0.25">
      <c r="A206" s="113" t="s">
        <v>434</v>
      </c>
      <c r="B206" s="102">
        <v>44193</v>
      </c>
      <c r="C206" s="25" t="s">
        <v>690</v>
      </c>
      <c r="D206" s="25" t="s">
        <v>1122</v>
      </c>
      <c r="E206" s="57">
        <v>7</v>
      </c>
      <c r="F206" s="132">
        <v>62.93</v>
      </c>
      <c r="G206" s="50">
        <f t="shared" si="21"/>
        <v>440.51</v>
      </c>
      <c r="H206" s="103"/>
      <c r="I206" s="144"/>
      <c r="J206" s="104"/>
      <c r="K206" s="103"/>
      <c r="L206" s="103"/>
      <c r="M206" s="141">
        <f t="shared" si="20"/>
        <v>7</v>
      </c>
      <c r="N206" s="103"/>
      <c r="O206" s="103" t="s">
        <v>946</v>
      </c>
      <c r="P206" s="137">
        <f t="shared" si="16"/>
        <v>440.51</v>
      </c>
    </row>
    <row r="207" spans="1:16" s="8" customFormat="1" ht="15.75" x14ac:dyDescent="0.25">
      <c r="A207" s="113" t="s">
        <v>435</v>
      </c>
      <c r="B207" s="102">
        <v>44193</v>
      </c>
      <c r="C207" s="26" t="s">
        <v>691</v>
      </c>
      <c r="D207" s="25" t="s">
        <v>1122</v>
      </c>
      <c r="E207" s="57">
        <v>21</v>
      </c>
      <c r="F207" s="132">
        <v>165</v>
      </c>
      <c r="G207" s="50">
        <f t="shared" si="21"/>
        <v>3465</v>
      </c>
      <c r="H207" s="103"/>
      <c r="I207" s="144"/>
      <c r="J207" s="104"/>
      <c r="K207" s="103"/>
      <c r="L207" s="103"/>
      <c r="M207" s="141">
        <f t="shared" si="20"/>
        <v>21</v>
      </c>
      <c r="N207" s="103"/>
      <c r="O207" s="103" t="s">
        <v>946</v>
      </c>
      <c r="P207" s="137">
        <f t="shared" si="16"/>
        <v>3465</v>
      </c>
    </row>
    <row r="208" spans="1:16" s="8" customFormat="1" ht="15.75" x14ac:dyDescent="0.25">
      <c r="A208" s="113" t="s">
        <v>436</v>
      </c>
      <c r="B208" s="102">
        <v>44193</v>
      </c>
      <c r="C208" s="26" t="s">
        <v>791</v>
      </c>
      <c r="D208" s="25" t="s">
        <v>1122</v>
      </c>
      <c r="E208" s="38">
        <v>18</v>
      </c>
      <c r="F208" s="132">
        <v>52</v>
      </c>
      <c r="G208" s="50">
        <f t="shared" si="21"/>
        <v>936</v>
      </c>
      <c r="H208" s="103"/>
      <c r="I208" s="144"/>
      <c r="J208" s="104"/>
      <c r="K208" s="103"/>
      <c r="L208" s="103">
        <v>1</v>
      </c>
      <c r="M208" s="141">
        <f t="shared" si="20"/>
        <v>17</v>
      </c>
      <c r="N208" s="103"/>
      <c r="O208" s="103" t="s">
        <v>946</v>
      </c>
      <c r="P208" s="137">
        <f t="shared" si="16"/>
        <v>884</v>
      </c>
    </row>
    <row r="209" spans="1:16" s="8" customFormat="1" ht="15.75" x14ac:dyDescent="0.25">
      <c r="A209" s="113" t="s">
        <v>437</v>
      </c>
      <c r="B209" s="102">
        <v>44193</v>
      </c>
      <c r="C209" s="26" t="s">
        <v>790</v>
      </c>
      <c r="D209" s="25" t="s">
        <v>1122</v>
      </c>
      <c r="E209" s="38">
        <v>11</v>
      </c>
      <c r="F209" s="132">
        <v>79.8</v>
      </c>
      <c r="G209" s="50">
        <f t="shared" si="21"/>
        <v>877.8</v>
      </c>
      <c r="H209" s="103"/>
      <c r="I209" s="144"/>
      <c r="J209" s="104"/>
      <c r="K209" s="103"/>
      <c r="L209" s="103"/>
      <c r="M209" s="141">
        <f t="shared" si="20"/>
        <v>11</v>
      </c>
      <c r="N209" s="103"/>
      <c r="O209" s="103" t="s">
        <v>946</v>
      </c>
      <c r="P209" s="137">
        <f t="shared" si="16"/>
        <v>877.8</v>
      </c>
    </row>
    <row r="210" spans="1:16" s="8" customFormat="1" ht="15.75" x14ac:dyDescent="0.25">
      <c r="A210" s="113" t="s">
        <v>438</v>
      </c>
      <c r="B210" s="102">
        <v>44193</v>
      </c>
      <c r="C210" s="26" t="s">
        <v>693</v>
      </c>
      <c r="D210" s="25" t="s">
        <v>1122</v>
      </c>
      <c r="E210" s="38">
        <v>1</v>
      </c>
      <c r="F210" s="132">
        <v>2075</v>
      </c>
      <c r="G210" s="50">
        <f t="shared" si="21"/>
        <v>2075</v>
      </c>
      <c r="H210" s="103"/>
      <c r="I210" s="144"/>
      <c r="J210" s="104"/>
      <c r="K210" s="103"/>
      <c r="L210" s="103"/>
      <c r="M210" s="141">
        <f t="shared" si="20"/>
        <v>1</v>
      </c>
      <c r="N210" s="103"/>
      <c r="O210" s="103" t="s">
        <v>946</v>
      </c>
      <c r="P210" s="137">
        <f t="shared" si="16"/>
        <v>2075</v>
      </c>
    </row>
    <row r="211" spans="1:16" s="8" customFormat="1" ht="15.75" x14ac:dyDescent="0.25">
      <c r="A211" s="113" t="s">
        <v>439</v>
      </c>
      <c r="B211" s="102">
        <v>44193</v>
      </c>
      <c r="C211" s="26" t="s">
        <v>692</v>
      </c>
      <c r="D211" s="25" t="s">
        <v>1122</v>
      </c>
      <c r="E211" s="57">
        <v>18</v>
      </c>
      <c r="F211" s="132">
        <v>165</v>
      </c>
      <c r="G211" s="50">
        <f t="shared" si="21"/>
        <v>2970</v>
      </c>
      <c r="H211" s="103"/>
      <c r="I211" s="144"/>
      <c r="J211" s="104"/>
      <c r="K211" s="103"/>
      <c r="L211" s="103"/>
      <c r="M211" s="141">
        <f t="shared" si="20"/>
        <v>18</v>
      </c>
      <c r="N211" s="103"/>
      <c r="O211" s="103" t="s">
        <v>946</v>
      </c>
      <c r="P211" s="137">
        <f t="shared" si="16"/>
        <v>2970</v>
      </c>
    </row>
    <row r="212" spans="1:16" s="8" customFormat="1" ht="15.75" x14ac:dyDescent="0.25">
      <c r="A212" s="113" t="s">
        <v>440</v>
      </c>
      <c r="B212" s="102">
        <v>44193</v>
      </c>
      <c r="C212" s="26" t="s">
        <v>697</v>
      </c>
      <c r="D212" s="25" t="s">
        <v>1122</v>
      </c>
      <c r="E212" s="38">
        <v>20</v>
      </c>
      <c r="F212" s="132">
        <v>79.8</v>
      </c>
      <c r="G212" s="50">
        <f t="shared" si="21"/>
        <v>1596</v>
      </c>
      <c r="H212" s="103"/>
      <c r="I212" s="144"/>
      <c r="J212" s="104"/>
      <c r="K212" s="103"/>
      <c r="L212" s="103"/>
      <c r="M212" s="141">
        <f t="shared" si="20"/>
        <v>20</v>
      </c>
      <c r="N212" s="103"/>
      <c r="O212" s="103" t="s">
        <v>946</v>
      </c>
      <c r="P212" s="137">
        <f t="shared" si="16"/>
        <v>1596</v>
      </c>
    </row>
    <row r="213" spans="1:16" s="8" customFormat="1" ht="15.75" x14ac:dyDescent="0.25">
      <c r="A213" s="113" t="s">
        <v>441</v>
      </c>
      <c r="B213" s="102">
        <v>44193</v>
      </c>
      <c r="C213" s="26" t="s">
        <v>696</v>
      </c>
      <c r="D213" s="25" t="s">
        <v>1122</v>
      </c>
      <c r="E213" s="38">
        <v>9</v>
      </c>
      <c r="F213" s="132">
        <v>79.8</v>
      </c>
      <c r="G213" s="50">
        <f t="shared" si="21"/>
        <v>718.19999999999993</v>
      </c>
      <c r="H213" s="103"/>
      <c r="I213" s="144"/>
      <c r="J213" s="104"/>
      <c r="K213" s="103"/>
      <c r="L213" s="103">
        <v>1</v>
      </c>
      <c r="M213" s="141">
        <f t="shared" si="20"/>
        <v>8</v>
      </c>
      <c r="N213" s="103"/>
      <c r="O213" s="103" t="s">
        <v>946</v>
      </c>
      <c r="P213" s="137">
        <f t="shared" si="16"/>
        <v>638.4</v>
      </c>
    </row>
    <row r="214" spans="1:16" s="8" customFormat="1" ht="15.75" x14ac:dyDescent="0.25">
      <c r="A214" s="113" t="s">
        <v>442</v>
      </c>
      <c r="B214" s="102"/>
      <c r="C214" s="26" t="s">
        <v>808</v>
      </c>
      <c r="D214" s="25" t="s">
        <v>1122</v>
      </c>
      <c r="E214" s="38">
        <v>9</v>
      </c>
      <c r="F214" s="132">
        <v>352</v>
      </c>
      <c r="G214" s="50">
        <f t="shared" si="21"/>
        <v>3168</v>
      </c>
      <c r="H214" s="103"/>
      <c r="I214" s="144"/>
      <c r="J214" s="104"/>
      <c r="K214" s="103"/>
      <c r="L214" s="103"/>
      <c r="M214" s="141">
        <f t="shared" si="20"/>
        <v>9</v>
      </c>
      <c r="N214" s="103"/>
      <c r="O214" s="103" t="s">
        <v>946</v>
      </c>
      <c r="P214" s="137">
        <f t="shared" si="16"/>
        <v>3168</v>
      </c>
    </row>
    <row r="215" spans="1:16" s="92" customFormat="1" x14ac:dyDescent="0.3">
      <c r="A215" s="113" t="s">
        <v>443</v>
      </c>
      <c r="B215" s="107">
        <v>45019</v>
      </c>
      <c r="C215" s="26" t="s">
        <v>698</v>
      </c>
      <c r="D215" s="25" t="s">
        <v>1122</v>
      </c>
      <c r="E215" s="38">
        <v>4</v>
      </c>
      <c r="F215" s="132">
        <v>600</v>
      </c>
      <c r="G215" s="50">
        <f t="shared" si="21"/>
        <v>2400</v>
      </c>
      <c r="H215" s="103"/>
      <c r="I215" s="144"/>
      <c r="J215" s="104"/>
      <c r="K215" s="103"/>
      <c r="L215" s="103"/>
      <c r="M215" s="151">
        <f t="shared" si="20"/>
        <v>4</v>
      </c>
      <c r="N215" s="103"/>
      <c r="O215" s="103" t="s">
        <v>945</v>
      </c>
      <c r="P215" s="137">
        <f t="shared" si="16"/>
        <v>2400</v>
      </c>
    </row>
    <row r="216" spans="1:16" s="92" customFormat="1" x14ac:dyDescent="0.3">
      <c r="A216" s="113" t="s">
        <v>444</v>
      </c>
      <c r="B216" s="102">
        <v>44193</v>
      </c>
      <c r="C216" s="26" t="s">
        <v>699</v>
      </c>
      <c r="D216" s="25" t="s">
        <v>1122</v>
      </c>
      <c r="E216" s="38">
        <v>15</v>
      </c>
      <c r="F216" s="132">
        <v>140</v>
      </c>
      <c r="G216" s="50">
        <f t="shared" si="21"/>
        <v>2100</v>
      </c>
      <c r="H216" s="103"/>
      <c r="I216" s="144"/>
      <c r="J216" s="104"/>
      <c r="K216" s="103"/>
      <c r="L216" s="103">
        <v>1</v>
      </c>
      <c r="M216" s="141">
        <f t="shared" si="20"/>
        <v>14</v>
      </c>
      <c r="N216" s="103"/>
      <c r="O216" s="103" t="s">
        <v>945</v>
      </c>
      <c r="P216" s="137">
        <f t="shared" si="16"/>
        <v>1960</v>
      </c>
    </row>
    <row r="217" spans="1:16" s="8" customFormat="1" ht="15.75" x14ac:dyDescent="0.25">
      <c r="A217" s="113" t="s">
        <v>445</v>
      </c>
      <c r="B217" s="102">
        <v>44193</v>
      </c>
      <c r="C217" s="9" t="s">
        <v>706</v>
      </c>
      <c r="D217" s="25" t="s">
        <v>1122</v>
      </c>
      <c r="E217" s="48">
        <v>1</v>
      </c>
      <c r="F217" s="132">
        <v>5250</v>
      </c>
      <c r="G217" s="50">
        <f t="shared" si="21"/>
        <v>5250</v>
      </c>
      <c r="H217" s="103"/>
      <c r="I217" s="144"/>
      <c r="J217" s="104"/>
      <c r="K217" s="103"/>
      <c r="L217" s="103"/>
      <c r="M217" s="141">
        <f t="shared" si="20"/>
        <v>1</v>
      </c>
      <c r="N217" s="103"/>
      <c r="O217" s="103" t="s">
        <v>947</v>
      </c>
      <c r="P217" s="137">
        <f t="shared" ref="P217:P280" si="22">+F217*M217</f>
        <v>5250</v>
      </c>
    </row>
    <row r="218" spans="1:16" s="8" customFormat="1" ht="15.75" x14ac:dyDescent="0.25">
      <c r="A218" s="113" t="s">
        <v>446</v>
      </c>
      <c r="B218" s="102">
        <v>44193</v>
      </c>
      <c r="C218" s="9" t="s">
        <v>700</v>
      </c>
      <c r="D218" s="25" t="s">
        <v>1122</v>
      </c>
      <c r="E218" s="48">
        <f>9+12+12+24</f>
        <v>57</v>
      </c>
      <c r="F218" s="132">
        <v>12.93</v>
      </c>
      <c r="G218" s="50">
        <f t="shared" si="21"/>
        <v>737.01</v>
      </c>
      <c r="H218" s="103"/>
      <c r="I218" s="144"/>
      <c r="J218" s="104"/>
      <c r="K218" s="103"/>
      <c r="L218" s="103"/>
      <c r="M218" s="141">
        <f t="shared" si="20"/>
        <v>57</v>
      </c>
      <c r="N218" s="103"/>
      <c r="O218" s="103" t="s">
        <v>947</v>
      </c>
      <c r="P218" s="137">
        <f t="shared" si="22"/>
        <v>737.01</v>
      </c>
    </row>
    <row r="219" spans="1:16" s="8" customFormat="1" ht="15.75" x14ac:dyDescent="0.25">
      <c r="A219" s="113" t="s">
        <v>447</v>
      </c>
      <c r="B219" s="102">
        <v>44193</v>
      </c>
      <c r="C219" s="9" t="s">
        <v>701</v>
      </c>
      <c r="D219" s="25" t="s">
        <v>1122</v>
      </c>
      <c r="E219" s="48">
        <f>16+12+12</f>
        <v>40</v>
      </c>
      <c r="F219" s="132">
        <v>14.37</v>
      </c>
      <c r="G219" s="50">
        <f t="shared" si="21"/>
        <v>574.79999999999995</v>
      </c>
      <c r="H219" s="103"/>
      <c r="I219" s="144"/>
      <c r="J219" s="104"/>
      <c r="K219" s="103"/>
      <c r="L219" s="103"/>
      <c r="M219" s="141">
        <f t="shared" si="20"/>
        <v>40</v>
      </c>
      <c r="N219" s="103"/>
      <c r="O219" s="103" t="s">
        <v>947</v>
      </c>
      <c r="P219" s="137">
        <f t="shared" si="22"/>
        <v>574.79999999999995</v>
      </c>
    </row>
    <row r="220" spans="1:16" s="8" customFormat="1" ht="15.75" x14ac:dyDescent="0.25">
      <c r="A220" s="113" t="s">
        <v>448</v>
      </c>
      <c r="B220" s="102">
        <v>44193</v>
      </c>
      <c r="C220" s="9" t="s">
        <v>702</v>
      </c>
      <c r="D220" s="25" t="s">
        <v>1122</v>
      </c>
      <c r="E220" s="48">
        <v>6</v>
      </c>
      <c r="F220" s="132">
        <v>35</v>
      </c>
      <c r="G220" s="50">
        <f t="shared" si="21"/>
        <v>210</v>
      </c>
      <c r="H220" s="103"/>
      <c r="I220" s="144"/>
      <c r="J220" s="104"/>
      <c r="K220" s="103"/>
      <c r="L220" s="103"/>
      <c r="M220" s="141">
        <f t="shared" si="20"/>
        <v>6</v>
      </c>
      <c r="N220" s="103"/>
      <c r="O220" s="103" t="s">
        <v>947</v>
      </c>
      <c r="P220" s="137">
        <f t="shared" si="22"/>
        <v>210</v>
      </c>
    </row>
    <row r="221" spans="1:16" s="8" customFormat="1" ht="15.75" x14ac:dyDescent="0.25">
      <c r="A221" s="113" t="s">
        <v>449</v>
      </c>
      <c r="B221" s="102">
        <v>44193</v>
      </c>
      <c r="C221" s="9" t="s">
        <v>703</v>
      </c>
      <c r="D221" s="25" t="s">
        <v>1122</v>
      </c>
      <c r="E221" s="48"/>
      <c r="F221" s="132">
        <v>30</v>
      </c>
      <c r="G221" s="50">
        <f t="shared" si="21"/>
        <v>0</v>
      </c>
      <c r="H221" s="103"/>
      <c r="I221" s="144"/>
      <c r="J221" s="104"/>
      <c r="K221" s="103"/>
      <c r="L221" s="103"/>
      <c r="M221" s="141">
        <f t="shared" si="20"/>
        <v>0</v>
      </c>
      <c r="N221" s="103"/>
      <c r="O221" s="103" t="s">
        <v>947</v>
      </c>
      <c r="P221" s="137">
        <f t="shared" si="22"/>
        <v>0</v>
      </c>
    </row>
    <row r="222" spans="1:16" s="8" customFormat="1" ht="15.75" x14ac:dyDescent="0.25">
      <c r="A222" s="113" t="s">
        <v>450</v>
      </c>
      <c r="B222" s="102">
        <v>44193</v>
      </c>
      <c r="C222" s="9" t="s">
        <v>704</v>
      </c>
      <c r="D222" s="25" t="s">
        <v>1122</v>
      </c>
      <c r="E222" s="48">
        <v>1300</v>
      </c>
      <c r="F222" s="132">
        <v>2.6</v>
      </c>
      <c r="G222" s="50">
        <f t="shared" si="21"/>
        <v>3380</v>
      </c>
      <c r="H222" s="103"/>
      <c r="I222" s="144"/>
      <c r="J222" s="104"/>
      <c r="K222" s="103"/>
      <c r="L222" s="103">
        <v>1150</v>
      </c>
      <c r="M222" s="151">
        <f t="shared" si="20"/>
        <v>150</v>
      </c>
      <c r="N222" s="103"/>
      <c r="O222" s="103" t="s">
        <v>947</v>
      </c>
      <c r="P222" s="137">
        <f t="shared" si="22"/>
        <v>390</v>
      </c>
    </row>
    <row r="223" spans="1:16" s="8" customFormat="1" ht="15.75" x14ac:dyDescent="0.25">
      <c r="A223" s="113" t="s">
        <v>451</v>
      </c>
      <c r="B223" s="102">
        <v>44193</v>
      </c>
      <c r="C223" s="9" t="s">
        <v>705</v>
      </c>
      <c r="D223" s="25" t="s">
        <v>1122</v>
      </c>
      <c r="E223" s="48">
        <v>1</v>
      </c>
      <c r="F223" s="132">
        <v>728.81</v>
      </c>
      <c r="G223" s="50">
        <f t="shared" si="21"/>
        <v>728.81</v>
      </c>
      <c r="H223" s="103"/>
      <c r="I223" s="144"/>
      <c r="J223" s="104"/>
      <c r="K223" s="103"/>
      <c r="L223" s="103"/>
      <c r="M223" s="141">
        <f t="shared" si="20"/>
        <v>1</v>
      </c>
      <c r="N223" s="103"/>
      <c r="O223" s="103" t="s">
        <v>947</v>
      </c>
      <c r="P223" s="137">
        <f t="shared" si="22"/>
        <v>728.81</v>
      </c>
    </row>
    <row r="224" spans="1:16" s="8" customFormat="1" ht="15.75" x14ac:dyDescent="0.25">
      <c r="A224" s="113" t="s">
        <v>452</v>
      </c>
      <c r="B224" s="102">
        <v>44193</v>
      </c>
      <c r="C224" s="9" t="s">
        <v>709</v>
      </c>
      <c r="D224" s="25" t="s">
        <v>1122</v>
      </c>
      <c r="E224" s="58">
        <v>2</v>
      </c>
      <c r="F224" s="132">
        <v>350</v>
      </c>
      <c r="G224" s="50">
        <f t="shared" si="21"/>
        <v>700</v>
      </c>
      <c r="H224" s="103"/>
      <c r="I224" s="144"/>
      <c r="J224" s="104"/>
      <c r="K224" s="103"/>
      <c r="L224" s="103"/>
      <c r="M224" s="141">
        <f t="shared" si="20"/>
        <v>2</v>
      </c>
      <c r="N224" s="103"/>
      <c r="O224" s="103" t="s">
        <v>947</v>
      </c>
      <c r="P224" s="137">
        <f t="shared" si="22"/>
        <v>700</v>
      </c>
    </row>
    <row r="225" spans="1:16" s="8" customFormat="1" ht="15.75" x14ac:dyDescent="0.25">
      <c r="A225" s="113" t="s">
        <v>453</v>
      </c>
      <c r="B225" s="102">
        <v>44193</v>
      </c>
      <c r="C225" s="9" t="s">
        <v>707</v>
      </c>
      <c r="D225" s="25" t="s">
        <v>1122</v>
      </c>
      <c r="E225" s="48">
        <v>5</v>
      </c>
      <c r="F225" s="132">
        <v>595</v>
      </c>
      <c r="G225" s="50">
        <f t="shared" si="21"/>
        <v>2975</v>
      </c>
      <c r="H225" s="103"/>
      <c r="I225" s="144"/>
      <c r="J225" s="104"/>
      <c r="K225" s="103"/>
      <c r="L225" s="103"/>
      <c r="M225" s="141">
        <f t="shared" si="20"/>
        <v>5</v>
      </c>
      <c r="N225" s="103"/>
      <c r="O225" s="103" t="s">
        <v>947</v>
      </c>
      <c r="P225" s="137">
        <f t="shared" si="22"/>
        <v>2975</v>
      </c>
    </row>
    <row r="226" spans="1:16" s="8" customFormat="1" ht="15.75" x14ac:dyDescent="0.25">
      <c r="A226" s="113" t="s">
        <v>454</v>
      </c>
      <c r="B226" s="102">
        <v>44193</v>
      </c>
      <c r="C226" s="9" t="s">
        <v>868</v>
      </c>
      <c r="D226" s="25" t="s">
        <v>1122</v>
      </c>
      <c r="E226" s="48">
        <v>2</v>
      </c>
      <c r="F226" s="132">
        <v>300</v>
      </c>
      <c r="G226" s="50">
        <f t="shared" si="21"/>
        <v>600</v>
      </c>
      <c r="H226" s="103"/>
      <c r="I226" s="144"/>
      <c r="J226" s="104"/>
      <c r="K226" s="103"/>
      <c r="L226" s="103"/>
      <c r="M226" s="141">
        <f t="shared" si="20"/>
        <v>2</v>
      </c>
      <c r="N226" s="103"/>
      <c r="O226" s="103" t="s">
        <v>947</v>
      </c>
      <c r="P226" s="137">
        <f t="shared" si="22"/>
        <v>600</v>
      </c>
    </row>
    <row r="227" spans="1:16" s="8" customFormat="1" ht="15.75" x14ac:dyDescent="0.25">
      <c r="A227" s="113" t="s">
        <v>455</v>
      </c>
      <c r="B227" s="102">
        <v>44193</v>
      </c>
      <c r="C227" s="26" t="s">
        <v>710</v>
      </c>
      <c r="D227" s="25" t="s">
        <v>1122</v>
      </c>
      <c r="E227" s="32">
        <v>0</v>
      </c>
      <c r="F227" s="132">
        <v>3950</v>
      </c>
      <c r="G227" s="50">
        <f t="shared" si="21"/>
        <v>0</v>
      </c>
      <c r="H227" s="103"/>
      <c r="I227" s="144"/>
      <c r="J227" s="104"/>
      <c r="K227" s="103"/>
      <c r="L227" s="103"/>
      <c r="M227" s="141">
        <f t="shared" si="20"/>
        <v>0</v>
      </c>
      <c r="N227" s="103"/>
      <c r="O227" s="103" t="s">
        <v>947</v>
      </c>
      <c r="P227" s="137">
        <f t="shared" si="22"/>
        <v>0</v>
      </c>
    </row>
    <row r="228" spans="1:16" s="8" customFormat="1" ht="15.75" x14ac:dyDescent="0.25">
      <c r="A228" s="113" t="s">
        <v>456</v>
      </c>
      <c r="B228" s="106" t="s">
        <v>108</v>
      </c>
      <c r="C228" s="26" t="s">
        <v>714</v>
      </c>
      <c r="D228" s="25" t="s">
        <v>1122</v>
      </c>
      <c r="E228" s="55">
        <v>6</v>
      </c>
      <c r="F228" s="133">
        <v>11000</v>
      </c>
      <c r="G228" s="50">
        <f t="shared" si="21"/>
        <v>66000</v>
      </c>
      <c r="H228" s="103"/>
      <c r="I228" s="144"/>
      <c r="J228" s="104"/>
      <c r="K228" s="103"/>
      <c r="L228" s="103"/>
      <c r="M228" s="141">
        <f t="shared" si="20"/>
        <v>6</v>
      </c>
      <c r="N228" s="103"/>
      <c r="O228" s="103" t="s">
        <v>947</v>
      </c>
      <c r="P228" s="137">
        <f t="shared" si="22"/>
        <v>66000</v>
      </c>
    </row>
    <row r="229" spans="1:16" s="8" customFormat="1" ht="15.75" x14ac:dyDescent="0.25">
      <c r="A229" s="113" t="s">
        <v>457</v>
      </c>
      <c r="B229" s="102">
        <v>44652</v>
      </c>
      <c r="C229" s="26" t="s">
        <v>856</v>
      </c>
      <c r="D229" s="25" t="s">
        <v>1122</v>
      </c>
      <c r="E229" s="38">
        <v>5</v>
      </c>
      <c r="F229" s="136">
        <v>1700</v>
      </c>
      <c r="G229" s="50">
        <f t="shared" si="21"/>
        <v>8500</v>
      </c>
      <c r="H229" s="103"/>
      <c r="I229" s="144"/>
      <c r="J229" s="104"/>
      <c r="K229" s="103"/>
      <c r="L229" s="103"/>
      <c r="M229" s="141">
        <f t="shared" si="20"/>
        <v>5</v>
      </c>
      <c r="N229" s="103"/>
      <c r="O229" s="103" t="s">
        <v>946</v>
      </c>
      <c r="P229" s="137">
        <f t="shared" si="22"/>
        <v>8500</v>
      </c>
    </row>
    <row r="230" spans="1:16" s="8" customFormat="1" ht="15.75" x14ac:dyDescent="0.25">
      <c r="A230" s="113" t="s">
        <v>458</v>
      </c>
      <c r="B230" s="102">
        <v>44193</v>
      </c>
      <c r="C230" s="26" t="s">
        <v>712</v>
      </c>
      <c r="D230" s="25" t="s">
        <v>1122</v>
      </c>
      <c r="E230" s="32">
        <v>0</v>
      </c>
      <c r="F230" s="132">
        <v>148.31</v>
      </c>
      <c r="G230" s="50">
        <f t="shared" si="21"/>
        <v>0</v>
      </c>
      <c r="H230" s="103"/>
      <c r="I230" s="144"/>
      <c r="J230" s="104"/>
      <c r="K230" s="103"/>
      <c r="L230" s="103"/>
      <c r="M230" s="141">
        <f t="shared" si="20"/>
        <v>0</v>
      </c>
      <c r="N230" s="103"/>
      <c r="O230" s="103" t="s">
        <v>946</v>
      </c>
      <c r="P230" s="137">
        <f t="shared" si="22"/>
        <v>0</v>
      </c>
    </row>
    <row r="231" spans="1:16" s="8" customFormat="1" ht="15.75" x14ac:dyDescent="0.25">
      <c r="A231" s="113" t="s">
        <v>459</v>
      </c>
      <c r="B231" s="102">
        <v>44193</v>
      </c>
      <c r="C231" s="26" t="s">
        <v>713</v>
      </c>
      <c r="D231" s="25" t="s">
        <v>1122</v>
      </c>
      <c r="E231" s="32">
        <v>0</v>
      </c>
      <c r="F231" s="132">
        <v>122.88</v>
      </c>
      <c r="G231" s="50">
        <f t="shared" si="21"/>
        <v>0</v>
      </c>
      <c r="H231" s="103"/>
      <c r="I231" s="144"/>
      <c r="J231" s="104"/>
      <c r="K231" s="103"/>
      <c r="L231" s="103"/>
      <c r="M231" s="141">
        <f t="shared" si="20"/>
        <v>0</v>
      </c>
      <c r="N231" s="103"/>
      <c r="O231" s="103" t="s">
        <v>946</v>
      </c>
      <c r="P231" s="137">
        <f t="shared" si="22"/>
        <v>0</v>
      </c>
    </row>
    <row r="232" spans="1:16" s="8" customFormat="1" ht="15.75" x14ac:dyDescent="0.25">
      <c r="A232" s="113" t="s">
        <v>460</v>
      </c>
      <c r="B232" s="102">
        <v>44193</v>
      </c>
      <c r="C232" s="26" t="s">
        <v>847</v>
      </c>
      <c r="D232" s="25" t="s">
        <v>1122</v>
      </c>
      <c r="E232" s="32">
        <v>0</v>
      </c>
      <c r="F232" s="132">
        <v>0</v>
      </c>
      <c r="G232" s="50">
        <f t="shared" si="21"/>
        <v>0</v>
      </c>
      <c r="H232" s="103"/>
      <c r="I232" s="144"/>
      <c r="J232" s="104"/>
      <c r="K232" s="103"/>
      <c r="L232" s="103"/>
      <c r="M232" s="141">
        <f t="shared" si="20"/>
        <v>0</v>
      </c>
      <c r="N232" s="103"/>
      <c r="O232" s="103" t="s">
        <v>946</v>
      </c>
      <c r="P232" s="137">
        <f t="shared" si="22"/>
        <v>0</v>
      </c>
    </row>
    <row r="233" spans="1:16" s="8" customFormat="1" ht="15.75" x14ac:dyDescent="0.25">
      <c r="A233" s="113" t="s">
        <v>461</v>
      </c>
      <c r="B233" s="124">
        <v>44851</v>
      </c>
      <c r="C233" s="26" t="s">
        <v>711</v>
      </c>
      <c r="D233" s="25" t="s">
        <v>1122</v>
      </c>
      <c r="E233" s="32">
        <v>0</v>
      </c>
      <c r="F233" s="132">
        <v>156.35</v>
      </c>
      <c r="G233" s="50">
        <f t="shared" si="21"/>
        <v>0</v>
      </c>
      <c r="H233" s="124">
        <v>44851</v>
      </c>
      <c r="I233" s="144">
        <v>100</v>
      </c>
      <c r="J233" s="126">
        <v>156.35</v>
      </c>
      <c r="K233" s="127">
        <f>+I233*J233</f>
        <v>15635</v>
      </c>
      <c r="L233" s="125">
        <v>2</v>
      </c>
      <c r="M233" s="141">
        <f t="shared" si="20"/>
        <v>98</v>
      </c>
      <c r="N233" s="103"/>
      <c r="O233" s="103" t="s">
        <v>946</v>
      </c>
      <c r="P233" s="137">
        <f t="shared" si="22"/>
        <v>15322.3</v>
      </c>
    </row>
    <row r="234" spans="1:16" s="92" customFormat="1" x14ac:dyDescent="0.3">
      <c r="A234" s="113" t="s">
        <v>462</v>
      </c>
      <c r="B234" s="102">
        <v>44193</v>
      </c>
      <c r="C234" s="25" t="s">
        <v>716</v>
      </c>
      <c r="D234" s="25" t="s">
        <v>1122</v>
      </c>
      <c r="E234" s="32">
        <v>0</v>
      </c>
      <c r="F234" s="133">
        <v>82</v>
      </c>
      <c r="G234" s="50">
        <f t="shared" si="21"/>
        <v>0</v>
      </c>
      <c r="H234" s="125"/>
      <c r="I234" s="144"/>
      <c r="J234" s="126"/>
      <c r="K234" s="125"/>
      <c r="L234" s="125">
        <v>2</v>
      </c>
      <c r="M234" s="141">
        <f t="shared" si="20"/>
        <v>-2</v>
      </c>
      <c r="N234" s="103"/>
      <c r="O234" s="103" t="s">
        <v>945</v>
      </c>
      <c r="P234" s="137">
        <f t="shared" si="22"/>
        <v>-164</v>
      </c>
    </row>
    <row r="235" spans="1:16" s="92" customFormat="1" x14ac:dyDescent="0.3">
      <c r="A235" s="113" t="s">
        <v>463</v>
      </c>
      <c r="B235" s="102">
        <v>44193</v>
      </c>
      <c r="C235" s="25" t="s">
        <v>717</v>
      </c>
      <c r="D235" s="25" t="s">
        <v>1122</v>
      </c>
      <c r="E235" s="32">
        <v>0</v>
      </c>
      <c r="F235" s="133">
        <v>14.29</v>
      </c>
      <c r="G235" s="50">
        <f t="shared" si="21"/>
        <v>0</v>
      </c>
      <c r="H235" s="103"/>
      <c r="I235" s="144"/>
      <c r="J235" s="104"/>
      <c r="K235" s="103"/>
      <c r="L235" s="103"/>
      <c r="M235" s="141">
        <f t="shared" si="20"/>
        <v>0</v>
      </c>
      <c r="N235" s="103"/>
      <c r="O235" s="103" t="s">
        <v>945</v>
      </c>
      <c r="P235" s="137">
        <f t="shared" si="22"/>
        <v>0</v>
      </c>
    </row>
    <row r="236" spans="1:16" s="92" customFormat="1" x14ac:dyDescent="0.3">
      <c r="A236" s="113" t="s">
        <v>464</v>
      </c>
      <c r="B236" s="106" t="s">
        <v>770</v>
      </c>
      <c r="C236" s="25" t="s">
        <v>715</v>
      </c>
      <c r="D236" s="25" t="s">
        <v>1122</v>
      </c>
      <c r="E236" s="32">
        <v>6</v>
      </c>
      <c r="F236" s="133">
        <v>82</v>
      </c>
      <c r="G236" s="50">
        <f t="shared" si="21"/>
        <v>492</v>
      </c>
      <c r="H236" s="103"/>
      <c r="I236" s="144"/>
      <c r="J236" s="104"/>
      <c r="K236" s="103"/>
      <c r="L236" s="103"/>
      <c r="M236" s="141">
        <f t="shared" si="20"/>
        <v>6</v>
      </c>
      <c r="N236" s="103"/>
      <c r="O236" s="103" t="s">
        <v>945</v>
      </c>
      <c r="P236" s="137">
        <f t="shared" si="22"/>
        <v>492</v>
      </c>
    </row>
    <row r="237" spans="1:16" s="8" customFormat="1" ht="15.75" x14ac:dyDescent="0.25">
      <c r="A237" s="113" t="s">
        <v>465</v>
      </c>
      <c r="B237" s="106" t="s">
        <v>108</v>
      </c>
      <c r="C237" s="25" t="s">
        <v>718</v>
      </c>
      <c r="D237" s="25" t="s">
        <v>1122</v>
      </c>
      <c r="E237" s="32">
        <v>0</v>
      </c>
      <c r="F237" s="133">
        <v>6375</v>
      </c>
      <c r="G237" s="50">
        <f t="shared" si="21"/>
        <v>0</v>
      </c>
      <c r="H237" s="103"/>
      <c r="I237" s="144"/>
      <c r="J237" s="104"/>
      <c r="K237" s="103"/>
      <c r="L237" s="103">
        <v>1</v>
      </c>
      <c r="M237" s="141">
        <f t="shared" si="20"/>
        <v>-1</v>
      </c>
      <c r="N237" s="103"/>
      <c r="O237" s="103" t="s">
        <v>946</v>
      </c>
      <c r="P237" s="137">
        <f t="shared" si="22"/>
        <v>-6375</v>
      </c>
    </row>
    <row r="238" spans="1:16" s="8" customFormat="1" ht="15.75" x14ac:dyDescent="0.25">
      <c r="A238" s="113" t="s">
        <v>466</v>
      </c>
      <c r="B238" s="102">
        <v>44193</v>
      </c>
      <c r="C238" s="9" t="s">
        <v>781</v>
      </c>
      <c r="D238" s="25" t="s">
        <v>1122</v>
      </c>
      <c r="E238" s="48">
        <v>2</v>
      </c>
      <c r="F238" s="132">
        <v>725</v>
      </c>
      <c r="G238" s="50">
        <f t="shared" si="21"/>
        <v>1450</v>
      </c>
      <c r="H238" s="103"/>
      <c r="I238" s="144"/>
      <c r="J238" s="104"/>
      <c r="K238" s="103"/>
      <c r="L238" s="103"/>
      <c r="M238" s="151">
        <f t="shared" si="20"/>
        <v>2</v>
      </c>
      <c r="N238" s="103"/>
      <c r="O238" s="103" t="s">
        <v>947</v>
      </c>
      <c r="P238" s="137">
        <f t="shared" si="22"/>
        <v>1450</v>
      </c>
    </row>
    <row r="239" spans="1:16" s="8" customFormat="1" ht="15.75" x14ac:dyDescent="0.25">
      <c r="A239" s="113" t="s">
        <v>467</v>
      </c>
      <c r="B239" s="107">
        <v>45042</v>
      </c>
      <c r="C239" s="9" t="s">
        <v>1168</v>
      </c>
      <c r="D239" s="25" t="s">
        <v>1122</v>
      </c>
      <c r="E239" s="30">
        <v>40</v>
      </c>
      <c r="F239" s="132">
        <v>326.62</v>
      </c>
      <c r="G239" s="50">
        <f t="shared" si="21"/>
        <v>13064.8</v>
      </c>
      <c r="H239" s="107">
        <v>45042</v>
      </c>
      <c r="I239" s="144">
        <v>50</v>
      </c>
      <c r="J239" s="104">
        <v>279.66000000000003</v>
      </c>
      <c r="K239" s="104">
        <f>+J239*I239</f>
        <v>13983.000000000002</v>
      </c>
      <c r="L239" s="103">
        <f>17+1+1+5</f>
        <v>24</v>
      </c>
      <c r="M239" s="151">
        <f t="shared" si="20"/>
        <v>66</v>
      </c>
      <c r="N239" s="103" t="s">
        <v>1037</v>
      </c>
      <c r="O239" s="103" t="s">
        <v>947</v>
      </c>
      <c r="P239" s="137">
        <f t="shared" si="22"/>
        <v>21556.920000000002</v>
      </c>
    </row>
    <row r="240" spans="1:16" s="8" customFormat="1" ht="15.75" x14ac:dyDescent="0.25">
      <c r="A240" s="113" t="s">
        <v>468</v>
      </c>
      <c r="B240" s="102">
        <v>44193</v>
      </c>
      <c r="C240" s="9" t="s">
        <v>722</v>
      </c>
      <c r="D240" s="25" t="s">
        <v>1122</v>
      </c>
      <c r="E240" s="48">
        <v>100</v>
      </c>
      <c r="F240" s="132">
        <v>2.25</v>
      </c>
      <c r="G240" s="50">
        <f t="shared" si="21"/>
        <v>225</v>
      </c>
      <c r="H240" s="103"/>
      <c r="I240" s="144"/>
      <c r="J240" s="104"/>
      <c r="K240" s="104">
        <f t="shared" ref="K240:K251" si="23">+J240*I240</f>
        <v>0</v>
      </c>
      <c r="L240" s="103">
        <v>5</v>
      </c>
      <c r="M240" s="141">
        <f t="shared" ref="M240:M303" si="24">+E240+I240-L240</f>
        <v>95</v>
      </c>
      <c r="N240" s="103"/>
      <c r="O240" s="103" t="s">
        <v>947</v>
      </c>
      <c r="P240" s="137">
        <f t="shared" si="22"/>
        <v>213.75</v>
      </c>
    </row>
    <row r="241" spans="1:16" s="105" customFormat="1" ht="15.75" x14ac:dyDescent="0.25">
      <c r="A241" s="113" t="s">
        <v>469</v>
      </c>
      <c r="B241" s="107">
        <v>44852</v>
      </c>
      <c r="C241" s="9" t="s">
        <v>1039</v>
      </c>
      <c r="D241" s="25" t="s">
        <v>1122</v>
      </c>
      <c r="E241" s="48">
        <v>7</v>
      </c>
      <c r="F241" s="132">
        <v>428.22</v>
      </c>
      <c r="G241" s="50">
        <f t="shared" si="21"/>
        <v>2997.54</v>
      </c>
      <c r="H241" s="107">
        <v>44852</v>
      </c>
      <c r="I241" s="144">
        <f>2*10</f>
        <v>20</v>
      </c>
      <c r="J241" s="104">
        <v>428.22</v>
      </c>
      <c r="K241" s="104">
        <f t="shared" si="23"/>
        <v>8564.4000000000015</v>
      </c>
      <c r="L241" s="103">
        <v>4</v>
      </c>
      <c r="M241" s="151">
        <f t="shared" si="24"/>
        <v>23</v>
      </c>
      <c r="N241" s="103" t="s">
        <v>1037</v>
      </c>
      <c r="O241" s="103" t="s">
        <v>947</v>
      </c>
      <c r="P241" s="137">
        <f t="shared" si="22"/>
        <v>9849.0600000000013</v>
      </c>
    </row>
    <row r="242" spans="1:16" s="8" customFormat="1" ht="15.75" x14ac:dyDescent="0.25">
      <c r="A242" s="113" t="s">
        <v>470</v>
      </c>
      <c r="B242" s="107">
        <v>44852</v>
      </c>
      <c r="C242" s="9" t="s">
        <v>725</v>
      </c>
      <c r="D242" s="25" t="s">
        <v>1122</v>
      </c>
      <c r="E242" s="48">
        <v>61</v>
      </c>
      <c r="F242" s="132">
        <v>21.69</v>
      </c>
      <c r="G242" s="50">
        <f t="shared" si="21"/>
        <v>1323.0900000000001</v>
      </c>
      <c r="H242" s="107">
        <v>44852</v>
      </c>
      <c r="I242" s="144">
        <v>2</v>
      </c>
      <c r="J242" s="104">
        <v>21.69</v>
      </c>
      <c r="K242" s="104">
        <f t="shared" si="23"/>
        <v>43.38</v>
      </c>
      <c r="L242" s="103">
        <v>16</v>
      </c>
      <c r="M242" s="141">
        <f t="shared" si="24"/>
        <v>47</v>
      </c>
      <c r="N242" s="103" t="s">
        <v>1037</v>
      </c>
      <c r="O242" s="103" t="s">
        <v>947</v>
      </c>
      <c r="P242" s="137">
        <f t="shared" si="22"/>
        <v>1019.4300000000001</v>
      </c>
    </row>
    <row r="243" spans="1:16" s="105" customFormat="1" ht="15.75" x14ac:dyDescent="0.25">
      <c r="A243" s="113" t="s">
        <v>466</v>
      </c>
      <c r="B243" s="107">
        <v>44851</v>
      </c>
      <c r="C243" s="9" t="s">
        <v>1228</v>
      </c>
      <c r="D243" s="25" t="s">
        <v>1122</v>
      </c>
      <c r="E243" s="48">
        <v>2</v>
      </c>
      <c r="F243" s="132">
        <v>857.86</v>
      </c>
      <c r="G243" s="50">
        <f t="shared" si="21"/>
        <v>1715.72</v>
      </c>
      <c r="H243" s="107">
        <v>44851</v>
      </c>
      <c r="I243" s="144">
        <v>2</v>
      </c>
      <c r="J243" s="104">
        <v>857.86</v>
      </c>
      <c r="K243" s="103">
        <f>+J243*I243</f>
        <v>1715.72</v>
      </c>
      <c r="L243" s="103">
        <v>2</v>
      </c>
      <c r="M243" s="151">
        <f t="shared" si="24"/>
        <v>2</v>
      </c>
      <c r="N243" s="103" t="s">
        <v>1037</v>
      </c>
      <c r="O243" s="103" t="s">
        <v>947</v>
      </c>
      <c r="P243" s="137">
        <f t="shared" si="22"/>
        <v>1715.72</v>
      </c>
    </row>
    <row r="244" spans="1:16" s="8" customFormat="1" ht="15.75" x14ac:dyDescent="0.25">
      <c r="A244" s="113" t="s">
        <v>472</v>
      </c>
      <c r="B244" s="107">
        <v>45019</v>
      </c>
      <c r="C244" s="128" t="s">
        <v>727</v>
      </c>
      <c r="D244" s="25" t="s">
        <v>1122</v>
      </c>
      <c r="E244" s="14">
        <v>367</v>
      </c>
      <c r="F244" s="132">
        <v>117.02</v>
      </c>
      <c r="G244" s="50">
        <f t="shared" si="21"/>
        <v>42946.34</v>
      </c>
      <c r="H244" s="107">
        <v>45019</v>
      </c>
      <c r="I244" s="144">
        <v>540</v>
      </c>
      <c r="J244" s="104">
        <v>117.02</v>
      </c>
      <c r="K244" s="104">
        <f t="shared" si="23"/>
        <v>63190.799999999996</v>
      </c>
      <c r="L244" s="103">
        <f>12+18+747+18</f>
        <v>795</v>
      </c>
      <c r="M244" s="151">
        <f t="shared" si="24"/>
        <v>112</v>
      </c>
      <c r="N244" s="103"/>
      <c r="O244" s="103" t="s">
        <v>947</v>
      </c>
      <c r="P244" s="137">
        <f t="shared" si="22"/>
        <v>13106.24</v>
      </c>
    </row>
    <row r="245" spans="1:16" s="8" customFormat="1" ht="15.75" x14ac:dyDescent="0.25">
      <c r="A245" s="113" t="s">
        <v>473</v>
      </c>
      <c r="B245" s="106" t="s">
        <v>112</v>
      </c>
      <c r="C245" s="26" t="s">
        <v>752</v>
      </c>
      <c r="D245" s="25" t="s">
        <v>1122</v>
      </c>
      <c r="E245" s="38">
        <v>3</v>
      </c>
      <c r="F245" s="132">
        <v>135</v>
      </c>
      <c r="G245" s="50">
        <f t="shared" si="21"/>
        <v>405</v>
      </c>
      <c r="H245" s="103"/>
      <c r="I245" s="144"/>
      <c r="J245" s="104"/>
      <c r="K245" s="104">
        <f t="shared" si="23"/>
        <v>0</v>
      </c>
      <c r="L245" s="103"/>
      <c r="M245" s="141">
        <f t="shared" si="24"/>
        <v>3</v>
      </c>
      <c r="N245" s="103"/>
      <c r="O245" s="103" t="s">
        <v>947</v>
      </c>
      <c r="P245" s="137">
        <f t="shared" si="22"/>
        <v>405</v>
      </c>
    </row>
    <row r="246" spans="1:16" s="105" customFormat="1" ht="15.75" x14ac:dyDescent="0.25">
      <c r="A246" s="113" t="s">
        <v>507</v>
      </c>
      <c r="B246" s="107">
        <v>44852</v>
      </c>
      <c r="C246" s="9" t="s">
        <v>728</v>
      </c>
      <c r="D246" s="25" t="s">
        <v>1122</v>
      </c>
      <c r="E246" s="30">
        <v>15</v>
      </c>
      <c r="F246" s="132">
        <v>206.54</v>
      </c>
      <c r="G246" s="50">
        <f t="shared" si="21"/>
        <v>3098.1</v>
      </c>
      <c r="H246" s="107">
        <v>45042</v>
      </c>
      <c r="I246" s="144">
        <v>10</v>
      </c>
      <c r="J246" s="104">
        <v>206.54</v>
      </c>
      <c r="K246" s="103">
        <f>+J246*I246</f>
        <v>2065.4</v>
      </c>
      <c r="L246" s="103">
        <v>2</v>
      </c>
      <c r="M246" s="151">
        <f t="shared" si="24"/>
        <v>23</v>
      </c>
      <c r="N246" s="103" t="s">
        <v>1037</v>
      </c>
      <c r="O246" s="103" t="s">
        <v>947</v>
      </c>
      <c r="P246" s="137">
        <f t="shared" si="22"/>
        <v>4750.42</v>
      </c>
    </row>
    <row r="247" spans="1:16" s="8" customFormat="1" ht="15.75" x14ac:dyDescent="0.25">
      <c r="A247" s="113" t="s">
        <v>508</v>
      </c>
      <c r="B247" s="102">
        <v>44193</v>
      </c>
      <c r="C247" s="9" t="s">
        <v>729</v>
      </c>
      <c r="D247" s="25" t="s">
        <v>1122</v>
      </c>
      <c r="E247" s="30">
        <v>226</v>
      </c>
      <c r="F247" s="132">
        <v>22.2</v>
      </c>
      <c r="G247" s="50">
        <f t="shared" si="21"/>
        <v>5017.2</v>
      </c>
      <c r="H247" s="103"/>
      <c r="I247" s="144"/>
      <c r="J247" s="104"/>
      <c r="K247" s="104">
        <f t="shared" si="23"/>
        <v>0</v>
      </c>
      <c r="L247" s="103"/>
      <c r="M247" s="141">
        <f t="shared" si="24"/>
        <v>226</v>
      </c>
      <c r="N247" s="103"/>
      <c r="O247" s="103" t="s">
        <v>947</v>
      </c>
      <c r="P247" s="137">
        <f t="shared" si="22"/>
        <v>5017.2</v>
      </c>
    </row>
    <row r="248" spans="1:16" s="8" customFormat="1" ht="15.75" x14ac:dyDescent="0.25">
      <c r="A248" s="113" t="s">
        <v>509</v>
      </c>
      <c r="B248" s="107">
        <v>44610</v>
      </c>
      <c r="C248" s="9" t="s">
        <v>730</v>
      </c>
      <c r="D248" s="25" t="s">
        <v>1122</v>
      </c>
      <c r="E248" s="30">
        <v>2</v>
      </c>
      <c r="F248" s="132">
        <v>284.99</v>
      </c>
      <c r="G248" s="50">
        <f t="shared" si="21"/>
        <v>569.98</v>
      </c>
      <c r="H248" s="107">
        <v>44610</v>
      </c>
      <c r="I248" s="144">
        <v>2</v>
      </c>
      <c r="J248" s="104">
        <v>284.99</v>
      </c>
      <c r="K248" s="104">
        <f t="shared" si="23"/>
        <v>569.98</v>
      </c>
      <c r="L248" s="103"/>
      <c r="M248" s="141">
        <f t="shared" si="24"/>
        <v>4</v>
      </c>
      <c r="N248" s="103" t="s">
        <v>1037</v>
      </c>
      <c r="O248" s="103" t="s">
        <v>947</v>
      </c>
      <c r="P248" s="137">
        <f t="shared" si="22"/>
        <v>1139.96</v>
      </c>
    </row>
    <row r="249" spans="1:16" s="8" customFormat="1" ht="15.75" x14ac:dyDescent="0.25">
      <c r="A249" s="113" t="s">
        <v>869</v>
      </c>
      <c r="B249" s="102">
        <v>44193</v>
      </c>
      <c r="C249" s="25" t="s">
        <v>825</v>
      </c>
      <c r="D249" s="25" t="s">
        <v>1122</v>
      </c>
      <c r="E249" s="38">
        <v>11</v>
      </c>
      <c r="F249" s="132">
        <v>301</v>
      </c>
      <c r="G249" s="50">
        <f t="shared" si="21"/>
        <v>3311</v>
      </c>
      <c r="H249" s="103"/>
      <c r="I249" s="144"/>
      <c r="J249" s="104"/>
      <c r="K249" s="104">
        <f t="shared" si="23"/>
        <v>0</v>
      </c>
      <c r="L249" s="103"/>
      <c r="M249" s="141">
        <f t="shared" si="24"/>
        <v>11</v>
      </c>
      <c r="N249" s="103"/>
      <c r="O249" s="103" t="s">
        <v>947</v>
      </c>
      <c r="P249" s="137">
        <f t="shared" si="22"/>
        <v>3311</v>
      </c>
    </row>
    <row r="250" spans="1:16" s="92" customFormat="1" x14ac:dyDescent="0.3">
      <c r="A250" s="113" t="s">
        <v>512</v>
      </c>
      <c r="B250" s="107">
        <v>45019</v>
      </c>
      <c r="C250" s="25" t="s">
        <v>731</v>
      </c>
      <c r="D250" s="25" t="s">
        <v>1122</v>
      </c>
      <c r="E250" s="30">
        <v>180</v>
      </c>
      <c r="F250" s="133">
        <v>38.19</v>
      </c>
      <c r="G250" s="50">
        <f t="shared" si="21"/>
        <v>6874.2</v>
      </c>
      <c r="H250" s="107">
        <v>45019</v>
      </c>
      <c r="I250" s="144">
        <f>7*48</f>
        <v>336</v>
      </c>
      <c r="J250" s="104">
        <v>38.19</v>
      </c>
      <c r="K250" s="104">
        <f t="shared" si="23"/>
        <v>12831.84</v>
      </c>
      <c r="L250" s="103">
        <f>48+3+3+2+4+6+7+3+3+6</f>
        <v>85</v>
      </c>
      <c r="M250" s="151">
        <f t="shared" si="24"/>
        <v>431</v>
      </c>
      <c r="N250" s="103" t="s">
        <v>1006</v>
      </c>
      <c r="O250" s="103" t="s">
        <v>945</v>
      </c>
      <c r="P250" s="137">
        <f t="shared" si="22"/>
        <v>16459.89</v>
      </c>
    </row>
    <row r="251" spans="1:16" s="105" customFormat="1" ht="15.75" x14ac:dyDescent="0.25">
      <c r="A251" s="113" t="s">
        <v>870</v>
      </c>
      <c r="B251" s="107">
        <v>44852</v>
      </c>
      <c r="C251" s="9" t="s">
        <v>950</v>
      </c>
      <c r="D251" s="25" t="s">
        <v>1122</v>
      </c>
      <c r="E251" s="30">
        <f>52+12</f>
        <v>64</v>
      </c>
      <c r="F251" s="132">
        <v>44.54</v>
      </c>
      <c r="G251" s="50">
        <f t="shared" si="21"/>
        <v>2850.56</v>
      </c>
      <c r="H251" s="107">
        <v>44852</v>
      </c>
      <c r="I251" s="144">
        <v>32</v>
      </c>
      <c r="J251" s="104">
        <v>44.54</v>
      </c>
      <c r="K251" s="104">
        <f t="shared" si="23"/>
        <v>1425.28</v>
      </c>
      <c r="L251" s="103">
        <f>4+4+6</f>
        <v>14</v>
      </c>
      <c r="M251" s="151">
        <f t="shared" si="24"/>
        <v>82</v>
      </c>
      <c r="N251" s="103"/>
      <c r="O251" s="103" t="s">
        <v>945</v>
      </c>
      <c r="P251" s="137">
        <f t="shared" si="22"/>
        <v>3652.2799999999997</v>
      </c>
    </row>
    <row r="252" spans="1:16" s="92" customFormat="1" x14ac:dyDescent="0.3">
      <c r="A252" s="113" t="s">
        <v>513</v>
      </c>
      <c r="B252" s="102">
        <v>44678</v>
      </c>
      <c r="C252" s="25" t="s">
        <v>853</v>
      </c>
      <c r="D252" s="25" t="s">
        <v>1122</v>
      </c>
      <c r="E252" s="56">
        <v>16</v>
      </c>
      <c r="F252" s="132">
        <v>3000</v>
      </c>
      <c r="G252" s="50">
        <f t="shared" si="21"/>
        <v>48000</v>
      </c>
      <c r="H252" s="103"/>
      <c r="I252" s="144"/>
      <c r="J252" s="104"/>
      <c r="K252" s="103"/>
      <c r="L252" s="103"/>
      <c r="M252" s="141">
        <f t="shared" si="24"/>
        <v>16</v>
      </c>
      <c r="N252" s="103"/>
      <c r="O252" s="103" t="s">
        <v>945</v>
      </c>
      <c r="P252" s="137">
        <f t="shared" si="22"/>
        <v>48000</v>
      </c>
    </row>
    <row r="253" spans="1:16" s="92" customFormat="1" x14ac:dyDescent="0.3">
      <c r="A253" s="113" t="s">
        <v>514</v>
      </c>
      <c r="B253" s="102">
        <v>44193</v>
      </c>
      <c r="C253" s="25" t="s">
        <v>734</v>
      </c>
      <c r="D253" s="25" t="s">
        <v>1122</v>
      </c>
      <c r="E253" s="38">
        <v>0</v>
      </c>
      <c r="F253" s="132">
        <v>1500</v>
      </c>
      <c r="G253" s="50">
        <f t="shared" si="21"/>
        <v>0</v>
      </c>
      <c r="H253" s="103"/>
      <c r="I253" s="144"/>
      <c r="J253" s="104"/>
      <c r="K253" s="103"/>
      <c r="L253" s="103"/>
      <c r="M253" s="141">
        <f t="shared" si="24"/>
        <v>0</v>
      </c>
      <c r="N253" s="103"/>
      <c r="O253" s="103" t="s">
        <v>945</v>
      </c>
      <c r="P253" s="137">
        <f t="shared" si="22"/>
        <v>0</v>
      </c>
    </row>
    <row r="254" spans="1:16" s="92" customFormat="1" x14ac:dyDescent="0.3">
      <c r="A254" s="113" t="s">
        <v>871</v>
      </c>
      <c r="B254" s="102">
        <v>44678</v>
      </c>
      <c r="C254" s="25" t="s">
        <v>852</v>
      </c>
      <c r="D254" s="25" t="s">
        <v>1122</v>
      </c>
      <c r="E254" s="57">
        <v>11</v>
      </c>
      <c r="F254" s="132">
        <v>1500</v>
      </c>
      <c r="G254" s="50">
        <f t="shared" si="21"/>
        <v>16500</v>
      </c>
      <c r="H254" s="103"/>
      <c r="I254" s="144"/>
      <c r="J254" s="104"/>
      <c r="K254" s="103"/>
      <c r="L254" s="103"/>
      <c r="M254" s="141">
        <f t="shared" si="24"/>
        <v>11</v>
      </c>
      <c r="N254" s="103"/>
      <c r="O254" s="103" t="s">
        <v>945</v>
      </c>
      <c r="P254" s="137">
        <f t="shared" si="22"/>
        <v>16500</v>
      </c>
    </row>
    <row r="255" spans="1:16" s="92" customFormat="1" x14ac:dyDescent="0.3">
      <c r="A255" s="113" t="s">
        <v>872</v>
      </c>
      <c r="B255" s="102">
        <v>44678</v>
      </c>
      <c r="C255" s="25" t="s">
        <v>735</v>
      </c>
      <c r="D255" s="25" t="s">
        <v>1122</v>
      </c>
      <c r="E255" s="57">
        <v>3</v>
      </c>
      <c r="F255" s="132">
        <v>3800</v>
      </c>
      <c r="G255" s="50">
        <f t="shared" si="21"/>
        <v>11400</v>
      </c>
      <c r="H255" s="103"/>
      <c r="I255" s="144"/>
      <c r="J255" s="104"/>
      <c r="K255" s="103"/>
      <c r="L255" s="103"/>
      <c r="M255" s="141">
        <f t="shared" si="24"/>
        <v>3</v>
      </c>
      <c r="N255" s="103"/>
      <c r="O255" s="103" t="s">
        <v>945</v>
      </c>
      <c r="P255" s="137">
        <f t="shared" si="22"/>
        <v>11400</v>
      </c>
    </row>
    <row r="256" spans="1:16" s="92" customFormat="1" x14ac:dyDescent="0.3">
      <c r="A256" s="113" t="s">
        <v>515</v>
      </c>
      <c r="B256" s="102">
        <v>44678</v>
      </c>
      <c r="C256" s="25" t="s">
        <v>737</v>
      </c>
      <c r="D256" s="25" t="s">
        <v>1122</v>
      </c>
      <c r="E256" s="57">
        <v>2</v>
      </c>
      <c r="F256" s="132">
        <v>1500</v>
      </c>
      <c r="G256" s="50">
        <f t="shared" si="21"/>
        <v>3000</v>
      </c>
      <c r="H256" s="103"/>
      <c r="I256" s="144"/>
      <c r="J256" s="104"/>
      <c r="K256" s="103"/>
      <c r="L256" s="103"/>
      <c r="M256" s="141">
        <f t="shared" si="24"/>
        <v>2</v>
      </c>
      <c r="N256" s="103"/>
      <c r="O256" s="103" t="s">
        <v>945</v>
      </c>
      <c r="P256" s="137">
        <f t="shared" si="22"/>
        <v>3000</v>
      </c>
    </row>
    <row r="257" spans="1:16" s="92" customFormat="1" x14ac:dyDescent="0.3">
      <c r="A257" s="113" t="s">
        <v>516</v>
      </c>
      <c r="B257" s="102">
        <v>44678</v>
      </c>
      <c r="C257" s="25" t="s">
        <v>736</v>
      </c>
      <c r="D257" s="25" t="s">
        <v>1122</v>
      </c>
      <c r="E257" s="57">
        <v>2</v>
      </c>
      <c r="F257" s="132">
        <v>3800</v>
      </c>
      <c r="G257" s="50">
        <f t="shared" si="21"/>
        <v>7600</v>
      </c>
      <c r="H257" s="103"/>
      <c r="I257" s="144"/>
      <c r="J257" s="104"/>
      <c r="K257" s="103"/>
      <c r="L257" s="103"/>
      <c r="M257" s="141">
        <f t="shared" si="24"/>
        <v>2</v>
      </c>
      <c r="N257" s="103"/>
      <c r="O257" s="103" t="s">
        <v>945</v>
      </c>
      <c r="P257" s="137">
        <f t="shared" si="22"/>
        <v>7600</v>
      </c>
    </row>
    <row r="258" spans="1:16" s="92" customFormat="1" x14ac:dyDescent="0.3">
      <c r="A258" s="113" t="s">
        <v>517</v>
      </c>
      <c r="B258" s="102">
        <v>44678</v>
      </c>
      <c r="C258" s="25" t="s">
        <v>738</v>
      </c>
      <c r="D258" s="25" t="s">
        <v>1122</v>
      </c>
      <c r="E258" s="57">
        <v>4</v>
      </c>
      <c r="F258" s="132">
        <v>3800</v>
      </c>
      <c r="G258" s="50">
        <f t="shared" si="21"/>
        <v>15200</v>
      </c>
      <c r="H258" s="103"/>
      <c r="I258" s="144"/>
      <c r="J258" s="104"/>
      <c r="K258" s="103"/>
      <c r="L258" s="103"/>
      <c r="M258" s="141">
        <f t="shared" si="24"/>
        <v>4</v>
      </c>
      <c r="N258" s="103"/>
      <c r="O258" s="103" t="s">
        <v>945</v>
      </c>
      <c r="P258" s="137">
        <f t="shared" si="22"/>
        <v>15200</v>
      </c>
    </row>
    <row r="259" spans="1:16" s="92" customFormat="1" x14ac:dyDescent="0.3">
      <c r="A259" s="113" t="s">
        <v>518</v>
      </c>
      <c r="B259" s="102">
        <v>44678</v>
      </c>
      <c r="C259" s="26" t="s">
        <v>751</v>
      </c>
      <c r="D259" s="25" t="s">
        <v>1122</v>
      </c>
      <c r="E259" s="57">
        <v>16</v>
      </c>
      <c r="F259" s="132">
        <v>3000</v>
      </c>
      <c r="G259" s="50">
        <f t="shared" si="21"/>
        <v>48000</v>
      </c>
      <c r="H259" s="103"/>
      <c r="I259" s="144"/>
      <c r="J259" s="104"/>
      <c r="K259" s="103"/>
      <c r="L259" s="103"/>
      <c r="M259" s="141">
        <f t="shared" si="24"/>
        <v>16</v>
      </c>
      <c r="N259" s="103"/>
      <c r="O259" s="103" t="s">
        <v>945</v>
      </c>
      <c r="P259" s="137">
        <f t="shared" si="22"/>
        <v>48000</v>
      </c>
    </row>
    <row r="260" spans="1:16" s="92" customFormat="1" x14ac:dyDescent="0.3">
      <c r="A260" s="113" t="s">
        <v>519</v>
      </c>
      <c r="B260" s="102">
        <v>44678</v>
      </c>
      <c r="C260" s="25" t="s">
        <v>845</v>
      </c>
      <c r="D260" s="25" t="s">
        <v>1122</v>
      </c>
      <c r="E260" s="38">
        <v>2</v>
      </c>
      <c r="F260" s="132">
        <v>200</v>
      </c>
      <c r="G260" s="50">
        <f t="shared" si="21"/>
        <v>400</v>
      </c>
      <c r="H260" s="103"/>
      <c r="I260" s="144"/>
      <c r="J260" s="104"/>
      <c r="K260" s="103"/>
      <c r="L260" s="103"/>
      <c r="M260" s="141">
        <f t="shared" si="24"/>
        <v>2</v>
      </c>
      <c r="N260" s="103"/>
      <c r="O260" s="103" t="s">
        <v>945</v>
      </c>
      <c r="P260" s="137">
        <f t="shared" si="22"/>
        <v>400</v>
      </c>
    </row>
    <row r="261" spans="1:16" s="8" customFormat="1" ht="15.75" x14ac:dyDescent="0.25">
      <c r="A261" s="113" t="s">
        <v>520</v>
      </c>
      <c r="B261" s="102">
        <v>44193</v>
      </c>
      <c r="C261" s="9" t="s">
        <v>740</v>
      </c>
      <c r="D261" s="25" t="s">
        <v>1122</v>
      </c>
      <c r="E261" s="30">
        <v>3</v>
      </c>
      <c r="F261" s="132">
        <v>75</v>
      </c>
      <c r="G261" s="50">
        <f>E261*F261</f>
        <v>225</v>
      </c>
      <c r="H261" s="103"/>
      <c r="I261" s="144"/>
      <c r="J261" s="104"/>
      <c r="K261" s="103"/>
      <c r="L261" s="103"/>
      <c r="M261" s="141">
        <f t="shared" si="24"/>
        <v>3</v>
      </c>
      <c r="N261" s="103"/>
      <c r="O261" s="103" t="s">
        <v>947</v>
      </c>
      <c r="P261" s="137">
        <f t="shared" si="22"/>
        <v>225</v>
      </c>
    </row>
    <row r="262" spans="1:16" s="8" customFormat="1" ht="15.75" x14ac:dyDescent="0.25">
      <c r="A262" s="113" t="s">
        <v>521</v>
      </c>
      <c r="B262" s="102">
        <v>44193</v>
      </c>
      <c r="C262" s="9" t="s">
        <v>739</v>
      </c>
      <c r="D262" s="25" t="s">
        <v>1122</v>
      </c>
      <c r="E262" s="30">
        <v>300</v>
      </c>
      <c r="F262" s="132">
        <v>29</v>
      </c>
      <c r="G262" s="50">
        <f>E262*F262</f>
        <v>8700</v>
      </c>
      <c r="H262" s="103"/>
      <c r="I262" s="144"/>
      <c r="J262" s="104"/>
      <c r="K262" s="103"/>
      <c r="L262" s="103"/>
      <c r="M262" s="141">
        <f t="shared" si="24"/>
        <v>300</v>
      </c>
      <c r="N262" s="103"/>
      <c r="O262" s="103" t="s">
        <v>947</v>
      </c>
      <c r="P262" s="137">
        <f t="shared" si="22"/>
        <v>8700</v>
      </c>
    </row>
    <row r="263" spans="1:16" s="8" customFormat="1" ht="15.75" x14ac:dyDescent="0.25">
      <c r="A263" s="113" t="s">
        <v>522</v>
      </c>
      <c r="B263" s="102">
        <v>44193</v>
      </c>
      <c r="C263" s="25" t="s">
        <v>826</v>
      </c>
      <c r="D263" s="25" t="s">
        <v>1122</v>
      </c>
      <c r="E263" s="38">
        <v>16</v>
      </c>
      <c r="F263" s="132">
        <v>143</v>
      </c>
      <c r="G263" s="50">
        <f>E263*F263</f>
        <v>2288</v>
      </c>
      <c r="H263" s="103"/>
      <c r="I263" s="144"/>
      <c r="J263" s="104"/>
      <c r="K263" s="103"/>
      <c r="L263" s="103"/>
      <c r="M263" s="141">
        <f t="shared" si="24"/>
        <v>16</v>
      </c>
      <c r="N263" s="103"/>
      <c r="O263" s="103" t="s">
        <v>946</v>
      </c>
      <c r="P263" s="137">
        <f t="shared" si="22"/>
        <v>2288</v>
      </c>
    </row>
    <row r="264" spans="1:16" s="8" customFormat="1" ht="15.75" x14ac:dyDescent="0.25">
      <c r="A264" s="113" t="s">
        <v>523</v>
      </c>
      <c r="B264" s="102">
        <v>44193</v>
      </c>
      <c r="C264" s="9" t="s">
        <v>741</v>
      </c>
      <c r="D264" s="25" t="s">
        <v>1122</v>
      </c>
      <c r="E264" s="56">
        <v>112</v>
      </c>
      <c r="F264" s="132">
        <v>8.5</v>
      </c>
      <c r="G264" s="50">
        <f t="shared" ref="G264:G271" si="25">E264*F264</f>
        <v>952</v>
      </c>
      <c r="H264" s="103"/>
      <c r="I264" s="144"/>
      <c r="J264" s="104"/>
      <c r="K264" s="103"/>
      <c r="L264" s="103"/>
      <c r="M264" s="141">
        <f t="shared" si="24"/>
        <v>112</v>
      </c>
      <c r="N264" s="103"/>
      <c r="O264" s="103" t="s">
        <v>947</v>
      </c>
      <c r="P264" s="137">
        <f t="shared" si="22"/>
        <v>952</v>
      </c>
    </row>
    <row r="265" spans="1:16" s="8" customFormat="1" ht="15.75" x14ac:dyDescent="0.25">
      <c r="A265" s="113" t="s">
        <v>524</v>
      </c>
      <c r="B265" s="102">
        <v>44193</v>
      </c>
      <c r="C265" s="9" t="s">
        <v>742</v>
      </c>
      <c r="D265" s="25" t="s">
        <v>1122</v>
      </c>
      <c r="E265" s="56">
        <v>24</v>
      </c>
      <c r="F265" s="132">
        <v>12</v>
      </c>
      <c r="G265" s="50">
        <f t="shared" si="25"/>
        <v>288</v>
      </c>
      <c r="H265" s="103"/>
      <c r="I265" s="144"/>
      <c r="J265" s="104"/>
      <c r="K265" s="103"/>
      <c r="L265" s="103"/>
      <c r="M265" s="141">
        <f t="shared" si="24"/>
        <v>24</v>
      </c>
      <c r="N265" s="103"/>
      <c r="O265" s="103" t="s">
        <v>947</v>
      </c>
      <c r="P265" s="137">
        <f t="shared" si="22"/>
        <v>288</v>
      </c>
    </row>
    <row r="266" spans="1:16" s="8" customFormat="1" ht="15.75" x14ac:dyDescent="0.25">
      <c r="A266" s="113" t="s">
        <v>525</v>
      </c>
      <c r="B266" s="102">
        <v>44193</v>
      </c>
      <c r="C266" s="9" t="s">
        <v>743</v>
      </c>
      <c r="D266" s="25" t="s">
        <v>1122</v>
      </c>
      <c r="E266" s="30">
        <v>34</v>
      </c>
      <c r="F266" s="132">
        <v>8</v>
      </c>
      <c r="G266" s="50">
        <f t="shared" si="25"/>
        <v>272</v>
      </c>
      <c r="H266" s="103"/>
      <c r="I266" s="144"/>
      <c r="J266" s="104"/>
      <c r="K266" s="103"/>
      <c r="L266" s="103"/>
      <c r="M266" s="141">
        <f t="shared" si="24"/>
        <v>34</v>
      </c>
      <c r="N266" s="103"/>
      <c r="O266" s="103" t="s">
        <v>947</v>
      </c>
      <c r="P266" s="137">
        <f t="shared" si="22"/>
        <v>272</v>
      </c>
    </row>
    <row r="267" spans="1:16" s="105" customFormat="1" ht="15.75" x14ac:dyDescent="0.25">
      <c r="A267" s="113" t="s">
        <v>526</v>
      </c>
      <c r="B267" s="107">
        <v>45042</v>
      </c>
      <c r="C267" s="9" t="s">
        <v>744</v>
      </c>
      <c r="D267" s="25" t="s">
        <v>1122</v>
      </c>
      <c r="E267" s="30">
        <v>22</v>
      </c>
      <c r="F267" s="132">
        <v>91.99</v>
      </c>
      <c r="G267" s="50">
        <f t="shared" si="25"/>
        <v>2023.78</v>
      </c>
      <c r="H267" s="107"/>
      <c r="I267" s="144"/>
      <c r="J267" s="104"/>
      <c r="K267" s="108">
        <f>+I267*J267</f>
        <v>0</v>
      </c>
      <c r="L267" s="103"/>
      <c r="M267" s="151">
        <f t="shared" si="24"/>
        <v>22</v>
      </c>
      <c r="N267" s="103" t="s">
        <v>1037</v>
      </c>
      <c r="O267" s="103" t="s">
        <v>947</v>
      </c>
      <c r="P267" s="137">
        <f t="shared" si="22"/>
        <v>2023.78</v>
      </c>
    </row>
    <row r="268" spans="1:16" s="8" customFormat="1" ht="31.5" x14ac:dyDescent="0.25">
      <c r="A268" s="113" t="s">
        <v>527</v>
      </c>
      <c r="B268" s="107">
        <v>44851</v>
      </c>
      <c r="C268" s="9" t="s">
        <v>745</v>
      </c>
      <c r="D268" s="25" t="s">
        <v>1122</v>
      </c>
      <c r="E268" s="30">
        <v>1</v>
      </c>
      <c r="F268" s="132">
        <v>188.21</v>
      </c>
      <c r="G268" s="50">
        <f t="shared" si="25"/>
        <v>188.21</v>
      </c>
      <c r="H268" s="107">
        <v>44851</v>
      </c>
      <c r="I268" s="144">
        <v>20</v>
      </c>
      <c r="J268" s="104">
        <v>188.21</v>
      </c>
      <c r="K268" s="108">
        <f>+I268*J268</f>
        <v>3764.2000000000003</v>
      </c>
      <c r="L268" s="103">
        <v>1</v>
      </c>
      <c r="M268" s="141">
        <f t="shared" si="24"/>
        <v>20</v>
      </c>
      <c r="N268" s="121" t="s">
        <v>1006</v>
      </c>
      <c r="O268" s="103" t="s">
        <v>946</v>
      </c>
      <c r="P268" s="137">
        <f t="shared" si="22"/>
        <v>3764.2000000000003</v>
      </c>
    </row>
    <row r="269" spans="1:16" s="8" customFormat="1" ht="15.75" x14ac:dyDescent="0.25">
      <c r="A269" s="113" t="s">
        <v>528</v>
      </c>
      <c r="B269" s="107">
        <v>45042</v>
      </c>
      <c r="C269" s="9" t="s">
        <v>747</v>
      </c>
      <c r="D269" s="25" t="s">
        <v>1122</v>
      </c>
      <c r="E269" s="30"/>
      <c r="F269" s="132">
        <v>25.42</v>
      </c>
      <c r="G269" s="50">
        <f t="shared" si="25"/>
        <v>0</v>
      </c>
      <c r="H269" s="107">
        <v>45042</v>
      </c>
      <c r="I269" s="144">
        <v>240</v>
      </c>
      <c r="J269" s="104">
        <v>30.11</v>
      </c>
      <c r="K269" s="104">
        <f>+I269*J269</f>
        <v>7226.4</v>
      </c>
      <c r="L269" s="103">
        <v>22</v>
      </c>
      <c r="M269" s="151">
        <f t="shared" si="24"/>
        <v>218</v>
      </c>
      <c r="N269" s="103"/>
      <c r="O269" s="103" t="s">
        <v>947</v>
      </c>
      <c r="P269" s="137">
        <f t="shared" si="22"/>
        <v>5541.56</v>
      </c>
    </row>
    <row r="270" spans="1:16" s="8" customFormat="1" ht="15.75" x14ac:dyDescent="0.25">
      <c r="A270" s="113" t="s">
        <v>529</v>
      </c>
      <c r="B270" s="107">
        <v>44852</v>
      </c>
      <c r="C270" s="9" t="s">
        <v>748</v>
      </c>
      <c r="D270" s="25" t="s">
        <v>1122</v>
      </c>
      <c r="E270" s="30"/>
      <c r="F270" s="132">
        <v>23.82</v>
      </c>
      <c r="G270" s="50">
        <f t="shared" si="25"/>
        <v>0</v>
      </c>
      <c r="H270" s="107">
        <v>44852</v>
      </c>
      <c r="I270" s="144">
        <f>15*12</f>
        <v>180</v>
      </c>
      <c r="J270" s="104">
        <v>40.69</v>
      </c>
      <c r="K270" s="108">
        <f>+I270*J270</f>
        <v>7324.2</v>
      </c>
      <c r="L270" s="103">
        <f>72+12+6</f>
        <v>90</v>
      </c>
      <c r="M270" s="151">
        <f t="shared" si="24"/>
        <v>90</v>
      </c>
      <c r="N270" s="103" t="s">
        <v>1037</v>
      </c>
      <c r="O270" s="103" t="s">
        <v>947</v>
      </c>
      <c r="P270" s="137">
        <f t="shared" si="22"/>
        <v>2143.8000000000002</v>
      </c>
    </row>
    <row r="271" spans="1:16" s="8" customFormat="1" ht="15.75" x14ac:dyDescent="0.25">
      <c r="A271" s="113" t="s">
        <v>873</v>
      </c>
      <c r="B271" s="102">
        <v>44193</v>
      </c>
      <c r="C271" s="25" t="s">
        <v>785</v>
      </c>
      <c r="D271" s="25" t="s">
        <v>1122</v>
      </c>
      <c r="E271" s="38">
        <v>4</v>
      </c>
      <c r="F271" s="132">
        <v>45</v>
      </c>
      <c r="G271" s="50">
        <f t="shared" si="25"/>
        <v>180</v>
      </c>
      <c r="H271" s="103"/>
      <c r="I271" s="144"/>
      <c r="J271" s="104"/>
      <c r="K271" s="103"/>
      <c r="L271" s="103">
        <v>4</v>
      </c>
      <c r="M271" s="151">
        <f t="shared" si="24"/>
        <v>0</v>
      </c>
      <c r="N271" s="103"/>
      <c r="O271" s="103" t="s">
        <v>947</v>
      </c>
      <c r="P271" s="137">
        <f t="shared" si="22"/>
        <v>0</v>
      </c>
    </row>
    <row r="272" spans="1:16" s="8" customFormat="1" ht="15.75" x14ac:dyDescent="0.25">
      <c r="A272" s="113" t="s">
        <v>874</v>
      </c>
      <c r="B272" s="106" t="s">
        <v>105</v>
      </c>
      <c r="C272" s="9" t="s">
        <v>746</v>
      </c>
      <c r="D272" s="25" t="s">
        <v>1122</v>
      </c>
      <c r="E272" s="30">
        <v>7</v>
      </c>
      <c r="F272" s="133">
        <v>48</v>
      </c>
      <c r="G272" s="50">
        <f>E272*F272</f>
        <v>336</v>
      </c>
      <c r="H272" s="103"/>
      <c r="I272" s="144"/>
      <c r="J272" s="104"/>
      <c r="K272" s="103"/>
      <c r="L272" s="103">
        <v>7</v>
      </c>
      <c r="M272" s="151">
        <f t="shared" si="24"/>
        <v>0</v>
      </c>
      <c r="N272" s="103"/>
      <c r="O272" s="103" t="s">
        <v>947</v>
      </c>
      <c r="P272" s="137">
        <f t="shared" si="22"/>
        <v>0</v>
      </c>
    </row>
    <row r="273" spans="1:16" s="8" customFormat="1" ht="15.75" x14ac:dyDescent="0.25">
      <c r="A273" s="113" t="s">
        <v>875</v>
      </c>
      <c r="B273" s="102"/>
      <c r="C273" s="25" t="s">
        <v>815</v>
      </c>
      <c r="D273" s="25" t="s">
        <v>1122</v>
      </c>
      <c r="E273" s="38">
        <v>6</v>
      </c>
      <c r="F273" s="132"/>
      <c r="G273" s="50"/>
      <c r="H273" s="103"/>
      <c r="I273" s="144"/>
      <c r="J273" s="104"/>
      <c r="K273" s="103"/>
      <c r="L273" s="103"/>
      <c r="M273" s="141">
        <f t="shared" si="24"/>
        <v>6</v>
      </c>
      <c r="N273" s="103"/>
      <c r="O273" s="103" t="s">
        <v>946</v>
      </c>
      <c r="P273" s="137">
        <f t="shared" si="22"/>
        <v>0</v>
      </c>
    </row>
    <row r="274" spans="1:16" s="92" customFormat="1" x14ac:dyDescent="0.3">
      <c r="A274" s="113" t="s">
        <v>876</v>
      </c>
      <c r="B274" s="102">
        <v>44193</v>
      </c>
      <c r="C274" s="26" t="s">
        <v>750</v>
      </c>
      <c r="D274" s="25" t="s">
        <v>1122</v>
      </c>
      <c r="E274" s="38">
        <v>20</v>
      </c>
      <c r="F274" s="132">
        <v>1449.14</v>
      </c>
      <c r="G274" s="50">
        <f t="shared" ref="G274:G286" si="26">E274*F274</f>
        <v>28982.800000000003</v>
      </c>
      <c r="H274" s="103"/>
      <c r="I274" s="144"/>
      <c r="J274" s="104"/>
      <c r="K274" s="103"/>
      <c r="L274" s="103"/>
      <c r="M274" s="141">
        <f t="shared" si="24"/>
        <v>20</v>
      </c>
      <c r="N274" s="103"/>
      <c r="O274" s="103" t="s">
        <v>945</v>
      </c>
      <c r="P274" s="137">
        <f t="shared" si="22"/>
        <v>28982.800000000003</v>
      </c>
    </row>
    <row r="275" spans="1:16" s="92" customFormat="1" x14ac:dyDescent="0.3">
      <c r="A275" s="113" t="s">
        <v>877</v>
      </c>
      <c r="B275" s="107">
        <v>45019</v>
      </c>
      <c r="C275" s="26" t="s">
        <v>771</v>
      </c>
      <c r="D275" s="25" t="s">
        <v>1122</v>
      </c>
      <c r="E275" s="38">
        <v>3</v>
      </c>
      <c r="F275" s="132">
        <v>3481</v>
      </c>
      <c r="G275" s="50">
        <f t="shared" si="26"/>
        <v>10443</v>
      </c>
      <c r="H275" s="107">
        <v>45019</v>
      </c>
      <c r="I275" s="144">
        <v>30</v>
      </c>
      <c r="J275" s="104">
        <v>300.89999999999998</v>
      </c>
      <c r="K275" s="103">
        <f>+J275/10</f>
        <v>30.089999999999996</v>
      </c>
      <c r="L275" s="103">
        <v>5</v>
      </c>
      <c r="M275" s="151">
        <f t="shared" si="24"/>
        <v>28</v>
      </c>
      <c r="N275" s="103" t="s">
        <v>943</v>
      </c>
      <c r="O275" s="103" t="s">
        <v>945</v>
      </c>
      <c r="P275" s="137">
        <f t="shared" si="22"/>
        <v>97468</v>
      </c>
    </row>
    <row r="276" spans="1:16" s="8" customFormat="1" ht="15.75" x14ac:dyDescent="0.25">
      <c r="A276" s="113" t="s">
        <v>878</v>
      </c>
      <c r="B276" s="102">
        <v>44193</v>
      </c>
      <c r="C276" s="26" t="s">
        <v>754</v>
      </c>
      <c r="D276" s="25" t="s">
        <v>1122</v>
      </c>
      <c r="E276" s="38">
        <v>7</v>
      </c>
      <c r="F276" s="132">
        <v>38</v>
      </c>
      <c r="G276" s="50">
        <f t="shared" si="26"/>
        <v>266</v>
      </c>
      <c r="H276" s="103"/>
      <c r="I276" s="144"/>
      <c r="J276" s="104"/>
      <c r="K276" s="103"/>
      <c r="L276" s="103"/>
      <c r="M276" s="141">
        <f t="shared" si="24"/>
        <v>7</v>
      </c>
      <c r="N276" s="103"/>
      <c r="O276" s="103" t="s">
        <v>946</v>
      </c>
      <c r="P276" s="137">
        <f t="shared" si="22"/>
        <v>266</v>
      </c>
    </row>
    <row r="277" spans="1:16" s="8" customFormat="1" ht="15.75" x14ac:dyDescent="0.25">
      <c r="A277" s="113" t="s">
        <v>879</v>
      </c>
      <c r="B277" s="106" t="s">
        <v>105</v>
      </c>
      <c r="C277" s="26" t="s">
        <v>753</v>
      </c>
      <c r="D277" s="25" t="s">
        <v>1122</v>
      </c>
      <c r="E277" s="38">
        <v>12</v>
      </c>
      <c r="F277" s="132">
        <v>38</v>
      </c>
      <c r="G277" s="50">
        <f t="shared" si="26"/>
        <v>456</v>
      </c>
      <c r="H277" s="103"/>
      <c r="I277" s="144"/>
      <c r="J277" s="104"/>
      <c r="K277" s="103"/>
      <c r="L277" s="103"/>
      <c r="M277" s="141">
        <f t="shared" si="24"/>
        <v>12</v>
      </c>
      <c r="N277" s="103"/>
      <c r="O277" s="103" t="s">
        <v>946</v>
      </c>
      <c r="P277" s="137">
        <f t="shared" si="22"/>
        <v>456</v>
      </c>
    </row>
    <row r="278" spans="1:16" s="8" customFormat="1" ht="15.75" x14ac:dyDescent="0.25">
      <c r="A278" s="113" t="s">
        <v>880</v>
      </c>
      <c r="B278" s="102">
        <v>44193</v>
      </c>
      <c r="C278" s="26" t="s">
        <v>757</v>
      </c>
      <c r="D278" s="25" t="s">
        <v>1122</v>
      </c>
      <c r="E278" s="38">
        <v>1</v>
      </c>
      <c r="F278" s="132">
        <v>38</v>
      </c>
      <c r="G278" s="50">
        <f t="shared" si="26"/>
        <v>38</v>
      </c>
      <c r="H278" s="103"/>
      <c r="I278" s="144"/>
      <c r="J278" s="104"/>
      <c r="K278" s="103"/>
      <c r="L278" s="103"/>
      <c r="M278" s="141">
        <f t="shared" si="24"/>
        <v>1</v>
      </c>
      <c r="N278" s="103"/>
      <c r="O278" s="103" t="s">
        <v>946</v>
      </c>
      <c r="P278" s="137">
        <f t="shared" si="22"/>
        <v>38</v>
      </c>
    </row>
    <row r="279" spans="1:16" s="8" customFormat="1" ht="15.75" x14ac:dyDescent="0.25">
      <c r="A279" s="113" t="s">
        <v>881</v>
      </c>
      <c r="B279" s="102">
        <v>44193</v>
      </c>
      <c r="C279" s="26" t="s">
        <v>760</v>
      </c>
      <c r="D279" s="25" t="s">
        <v>1122</v>
      </c>
      <c r="E279" s="38">
        <v>1</v>
      </c>
      <c r="F279" s="132">
        <v>41</v>
      </c>
      <c r="G279" s="50">
        <f t="shared" si="26"/>
        <v>41</v>
      </c>
      <c r="H279" s="103"/>
      <c r="I279" s="144"/>
      <c r="J279" s="104"/>
      <c r="K279" s="103"/>
      <c r="L279" s="103"/>
      <c r="M279" s="141">
        <f t="shared" si="24"/>
        <v>1</v>
      </c>
      <c r="N279" s="103"/>
      <c r="O279" s="103" t="s">
        <v>946</v>
      </c>
      <c r="P279" s="137">
        <f t="shared" si="22"/>
        <v>41</v>
      </c>
    </row>
    <row r="280" spans="1:16" s="8" customFormat="1" ht="15.75" x14ac:dyDescent="0.25">
      <c r="A280" s="113" t="s">
        <v>882</v>
      </c>
      <c r="B280" s="102">
        <v>44193</v>
      </c>
      <c r="C280" s="26" t="s">
        <v>758</v>
      </c>
      <c r="D280" s="25" t="s">
        <v>1122</v>
      </c>
      <c r="E280" s="38">
        <v>1</v>
      </c>
      <c r="F280" s="132">
        <v>38</v>
      </c>
      <c r="G280" s="50">
        <f t="shared" si="26"/>
        <v>38</v>
      </c>
      <c r="H280" s="103"/>
      <c r="I280" s="144"/>
      <c r="J280" s="104"/>
      <c r="K280" s="103"/>
      <c r="L280" s="103"/>
      <c r="M280" s="141">
        <f t="shared" si="24"/>
        <v>1</v>
      </c>
      <c r="N280" s="103"/>
      <c r="O280" s="103" t="s">
        <v>946</v>
      </c>
      <c r="P280" s="137">
        <f t="shared" si="22"/>
        <v>38</v>
      </c>
    </row>
    <row r="281" spans="1:16" s="8" customFormat="1" ht="15.75" x14ac:dyDescent="0.25">
      <c r="A281" s="113" t="s">
        <v>883</v>
      </c>
      <c r="B281" s="102">
        <v>44193</v>
      </c>
      <c r="C281" s="26" t="s">
        <v>759</v>
      </c>
      <c r="D281" s="25" t="s">
        <v>1122</v>
      </c>
      <c r="E281" s="38">
        <v>1</v>
      </c>
      <c r="F281" s="132">
        <v>38</v>
      </c>
      <c r="G281" s="50">
        <f t="shared" si="26"/>
        <v>38</v>
      </c>
      <c r="H281" s="103"/>
      <c r="I281" s="144"/>
      <c r="J281" s="104"/>
      <c r="K281" s="103"/>
      <c r="L281" s="103"/>
      <c r="M281" s="141">
        <f t="shared" si="24"/>
        <v>1</v>
      </c>
      <c r="N281" s="103"/>
      <c r="O281" s="103" t="s">
        <v>946</v>
      </c>
      <c r="P281" s="137">
        <f t="shared" ref="P281:P344" si="27">+F281*M281</f>
        <v>38</v>
      </c>
    </row>
    <row r="282" spans="1:16" s="8" customFormat="1" ht="15.75" x14ac:dyDescent="0.25">
      <c r="A282" s="113" t="s">
        <v>884</v>
      </c>
      <c r="B282" s="106" t="s">
        <v>105</v>
      </c>
      <c r="C282" s="26" t="s">
        <v>755</v>
      </c>
      <c r="D282" s="25" t="s">
        <v>1122</v>
      </c>
      <c r="E282" s="38">
        <v>1</v>
      </c>
      <c r="F282" s="132">
        <v>38</v>
      </c>
      <c r="G282" s="50">
        <f t="shared" si="26"/>
        <v>38</v>
      </c>
      <c r="H282" s="103"/>
      <c r="I282" s="144"/>
      <c r="J282" s="104"/>
      <c r="K282" s="103"/>
      <c r="L282" s="103"/>
      <c r="M282" s="141">
        <f t="shared" si="24"/>
        <v>1</v>
      </c>
      <c r="N282" s="103"/>
      <c r="O282" s="103" t="s">
        <v>946</v>
      </c>
      <c r="P282" s="137">
        <f t="shared" si="27"/>
        <v>38</v>
      </c>
    </row>
    <row r="283" spans="1:16" s="8" customFormat="1" ht="15.75" x14ac:dyDescent="0.25">
      <c r="A283" s="113" t="s">
        <v>885</v>
      </c>
      <c r="B283" s="102">
        <v>44193</v>
      </c>
      <c r="C283" s="26" t="s">
        <v>756</v>
      </c>
      <c r="D283" s="25" t="s">
        <v>1122</v>
      </c>
      <c r="E283" s="38">
        <v>1</v>
      </c>
      <c r="F283" s="132">
        <v>38</v>
      </c>
      <c r="G283" s="50">
        <f t="shared" si="26"/>
        <v>38</v>
      </c>
      <c r="H283" s="103"/>
      <c r="I283" s="144"/>
      <c r="J283" s="104"/>
      <c r="K283" s="103"/>
      <c r="L283" s="103"/>
      <c r="M283" s="141">
        <f t="shared" si="24"/>
        <v>1</v>
      </c>
      <c r="N283" s="103"/>
      <c r="O283" s="103" t="s">
        <v>946</v>
      </c>
      <c r="P283" s="137">
        <f t="shared" si="27"/>
        <v>38</v>
      </c>
    </row>
    <row r="284" spans="1:16" s="8" customFormat="1" ht="15.75" x14ac:dyDescent="0.25">
      <c r="A284" s="113" t="s">
        <v>886</v>
      </c>
      <c r="B284" s="102">
        <v>44193</v>
      </c>
      <c r="C284" s="26" t="s">
        <v>762</v>
      </c>
      <c r="D284" s="25" t="s">
        <v>1122</v>
      </c>
      <c r="E284" s="38">
        <v>7</v>
      </c>
      <c r="F284" s="132">
        <v>537</v>
      </c>
      <c r="G284" s="50">
        <f t="shared" si="26"/>
        <v>3759</v>
      </c>
      <c r="H284" s="103"/>
      <c r="I284" s="144"/>
      <c r="J284" s="104"/>
      <c r="K284" s="103"/>
      <c r="L284" s="103"/>
      <c r="M284" s="141">
        <f t="shared" si="24"/>
        <v>7</v>
      </c>
      <c r="N284" s="103"/>
      <c r="O284" s="103" t="s">
        <v>946</v>
      </c>
      <c r="P284" s="137">
        <f t="shared" si="27"/>
        <v>3759</v>
      </c>
    </row>
    <row r="285" spans="1:16" s="8" customFormat="1" ht="15.75" x14ac:dyDescent="0.25">
      <c r="A285" s="113" t="s">
        <v>887</v>
      </c>
      <c r="B285" s="102">
        <v>44193</v>
      </c>
      <c r="C285" s="26" t="s">
        <v>761</v>
      </c>
      <c r="D285" s="25" t="s">
        <v>1122</v>
      </c>
      <c r="E285" s="38">
        <v>3</v>
      </c>
      <c r="F285" s="132">
        <v>537</v>
      </c>
      <c r="G285" s="50">
        <f t="shared" si="26"/>
        <v>1611</v>
      </c>
      <c r="H285" s="103"/>
      <c r="I285" s="144"/>
      <c r="J285" s="104"/>
      <c r="K285" s="103"/>
      <c r="L285" s="103"/>
      <c r="M285" s="141">
        <f t="shared" si="24"/>
        <v>3</v>
      </c>
      <c r="N285" s="103"/>
      <c r="O285" s="103" t="s">
        <v>946</v>
      </c>
      <c r="P285" s="137">
        <f t="shared" si="27"/>
        <v>1611</v>
      </c>
    </row>
    <row r="286" spans="1:16" s="8" customFormat="1" ht="15.75" x14ac:dyDescent="0.25">
      <c r="A286" s="113" t="s">
        <v>888</v>
      </c>
      <c r="B286" s="102">
        <v>44193</v>
      </c>
      <c r="C286" s="9" t="s">
        <v>763</v>
      </c>
      <c r="D286" s="25" t="s">
        <v>1122</v>
      </c>
      <c r="E286" s="30">
        <v>13</v>
      </c>
      <c r="F286" s="132">
        <v>13.87</v>
      </c>
      <c r="G286" s="50">
        <f t="shared" si="26"/>
        <v>180.31</v>
      </c>
      <c r="H286" s="103"/>
      <c r="I286" s="144"/>
      <c r="J286" s="104"/>
      <c r="K286" s="103"/>
      <c r="L286" s="103"/>
      <c r="M286" s="141">
        <f t="shared" si="24"/>
        <v>13</v>
      </c>
      <c r="N286" s="103"/>
      <c r="O286" s="103" t="s">
        <v>947</v>
      </c>
      <c r="P286" s="137">
        <f t="shared" si="27"/>
        <v>180.31</v>
      </c>
    </row>
    <row r="287" spans="1:16" s="8" customFormat="1" ht="15.75" x14ac:dyDescent="0.25">
      <c r="A287" s="113" t="s">
        <v>889</v>
      </c>
      <c r="B287" s="102"/>
      <c r="C287" s="25" t="s">
        <v>814</v>
      </c>
      <c r="D287" s="25" t="s">
        <v>1122</v>
      </c>
      <c r="E287" s="38">
        <v>5</v>
      </c>
      <c r="F287" s="132"/>
      <c r="G287" s="50"/>
      <c r="H287" s="103"/>
      <c r="I287" s="144"/>
      <c r="J287" s="104"/>
      <c r="K287" s="103"/>
      <c r="L287" s="103"/>
      <c r="M287" s="141">
        <f t="shared" si="24"/>
        <v>5</v>
      </c>
      <c r="N287" s="103"/>
      <c r="O287" s="103" t="s">
        <v>946</v>
      </c>
      <c r="P287" s="137">
        <f t="shared" si="27"/>
        <v>0</v>
      </c>
    </row>
    <row r="288" spans="1:16" s="8" customFormat="1" ht="15.75" x14ac:dyDescent="0.25">
      <c r="A288" s="113" t="s">
        <v>890</v>
      </c>
      <c r="B288" s="102"/>
      <c r="C288" s="25" t="s">
        <v>805</v>
      </c>
      <c r="D288" s="25" t="s">
        <v>1122</v>
      </c>
      <c r="E288" s="38">
        <v>9</v>
      </c>
      <c r="F288" s="132"/>
      <c r="G288" s="50"/>
      <c r="H288" s="103"/>
      <c r="I288" s="144"/>
      <c r="J288" s="104"/>
      <c r="K288" s="103"/>
      <c r="L288" s="103"/>
      <c r="M288" s="141">
        <f t="shared" si="24"/>
        <v>9</v>
      </c>
      <c r="N288" s="103"/>
      <c r="O288" s="103" t="s">
        <v>946</v>
      </c>
      <c r="P288" s="137">
        <f t="shared" si="27"/>
        <v>0</v>
      </c>
    </row>
    <row r="289" spans="1:16" s="105" customFormat="1" ht="15.75" x14ac:dyDescent="0.25">
      <c r="A289" s="113" t="s">
        <v>891</v>
      </c>
      <c r="B289" s="107">
        <v>44852</v>
      </c>
      <c r="C289" s="25" t="s">
        <v>784</v>
      </c>
      <c r="D289" s="25" t="s">
        <v>1122</v>
      </c>
      <c r="E289" s="38">
        <f>17+14</f>
        <v>31</v>
      </c>
      <c r="F289" s="137">
        <v>25.52</v>
      </c>
      <c r="G289" s="108">
        <f>+E289*F289</f>
        <v>791.12</v>
      </c>
      <c r="H289" s="107">
        <v>44852</v>
      </c>
      <c r="I289" s="144">
        <v>15</v>
      </c>
      <c r="J289" s="104">
        <v>25.52</v>
      </c>
      <c r="K289" s="108">
        <f>+I289*J289</f>
        <v>382.8</v>
      </c>
      <c r="L289" s="103">
        <v>2</v>
      </c>
      <c r="M289" s="151">
        <f t="shared" si="24"/>
        <v>44</v>
      </c>
      <c r="N289" s="103" t="s">
        <v>1037</v>
      </c>
      <c r="O289" s="103" t="s">
        <v>947</v>
      </c>
      <c r="P289" s="137">
        <f t="shared" si="27"/>
        <v>1122.8799999999999</v>
      </c>
    </row>
    <row r="290" spans="1:16" s="105" customFormat="1" ht="15.75" x14ac:dyDescent="0.25">
      <c r="A290" s="113" t="s">
        <v>892</v>
      </c>
      <c r="B290" s="102">
        <v>44729</v>
      </c>
      <c r="C290" s="25" t="s">
        <v>860</v>
      </c>
      <c r="D290" s="25" t="s">
        <v>1122</v>
      </c>
      <c r="E290" s="38">
        <v>12</v>
      </c>
      <c r="F290" s="132">
        <v>1637.5</v>
      </c>
      <c r="G290" s="50">
        <f>+E290*F290</f>
        <v>19650</v>
      </c>
      <c r="H290" s="103"/>
      <c r="I290" s="144"/>
      <c r="J290" s="104"/>
      <c r="K290" s="103"/>
      <c r="L290" s="103"/>
      <c r="M290" s="141">
        <f t="shared" si="24"/>
        <v>12</v>
      </c>
      <c r="N290" s="103"/>
      <c r="O290" s="103" t="s">
        <v>946</v>
      </c>
      <c r="P290" s="137">
        <f t="shared" si="27"/>
        <v>19650</v>
      </c>
    </row>
    <row r="291" spans="1:16" s="92" customFormat="1" x14ac:dyDescent="0.3">
      <c r="A291" s="113" t="s">
        <v>893</v>
      </c>
      <c r="B291" s="102">
        <v>44652</v>
      </c>
      <c r="C291" s="25" t="s">
        <v>859</v>
      </c>
      <c r="D291" s="25" t="s">
        <v>1122</v>
      </c>
      <c r="E291" s="38">
        <f>11+6+12+11</f>
        <v>40</v>
      </c>
      <c r="F291" s="132">
        <v>159</v>
      </c>
      <c r="G291" s="50">
        <f>+E291*F291</f>
        <v>6360</v>
      </c>
      <c r="H291" s="103"/>
      <c r="I291" s="144"/>
      <c r="J291" s="104"/>
      <c r="K291" s="103"/>
      <c r="L291" s="103">
        <v>12</v>
      </c>
      <c r="M291" s="151">
        <f t="shared" si="24"/>
        <v>28</v>
      </c>
      <c r="N291" s="103"/>
      <c r="O291" s="103" t="s">
        <v>945</v>
      </c>
      <c r="P291" s="137">
        <f t="shared" si="27"/>
        <v>4452</v>
      </c>
    </row>
    <row r="292" spans="1:16" s="92" customFormat="1" x14ac:dyDescent="0.3">
      <c r="A292" s="113" t="s">
        <v>894</v>
      </c>
      <c r="B292" s="102">
        <v>44652</v>
      </c>
      <c r="C292" s="25" t="s">
        <v>858</v>
      </c>
      <c r="D292" s="25" t="s">
        <v>1122</v>
      </c>
      <c r="E292" s="38">
        <v>11</v>
      </c>
      <c r="F292" s="132"/>
      <c r="G292" s="50">
        <f>+E292*F292</f>
        <v>0</v>
      </c>
      <c r="H292" s="103"/>
      <c r="I292" s="144"/>
      <c r="J292" s="104"/>
      <c r="K292" s="103"/>
      <c r="L292" s="103">
        <v>11</v>
      </c>
      <c r="M292" s="141">
        <f t="shared" si="24"/>
        <v>0</v>
      </c>
      <c r="N292" s="103"/>
      <c r="O292" s="103" t="s">
        <v>945</v>
      </c>
      <c r="P292" s="137">
        <f t="shared" si="27"/>
        <v>0</v>
      </c>
    </row>
    <row r="293" spans="1:16" s="92" customFormat="1" x14ac:dyDescent="0.3">
      <c r="A293" s="113" t="s">
        <v>895</v>
      </c>
      <c r="B293" s="102">
        <v>44652</v>
      </c>
      <c r="C293" s="25" t="s">
        <v>920</v>
      </c>
      <c r="D293" s="25" t="s">
        <v>1122</v>
      </c>
      <c r="E293" s="38">
        <f>9+11+7</f>
        <v>27</v>
      </c>
      <c r="F293" s="132">
        <v>145</v>
      </c>
      <c r="G293" s="50">
        <f>+E293*F293</f>
        <v>3915</v>
      </c>
      <c r="H293" s="103"/>
      <c r="I293" s="144"/>
      <c r="J293" s="104"/>
      <c r="K293" s="103"/>
      <c r="L293" s="103">
        <v>21</v>
      </c>
      <c r="M293" s="151">
        <f t="shared" si="24"/>
        <v>6</v>
      </c>
      <c r="N293" s="103"/>
      <c r="O293" s="103" t="s">
        <v>945</v>
      </c>
      <c r="P293" s="137">
        <f t="shared" si="27"/>
        <v>870</v>
      </c>
    </row>
    <row r="294" spans="1:16" s="8" customFormat="1" ht="15.75" x14ac:dyDescent="0.25">
      <c r="A294" s="113" t="s">
        <v>896</v>
      </c>
      <c r="B294" s="102"/>
      <c r="C294" s="25" t="s">
        <v>795</v>
      </c>
      <c r="D294" s="25" t="s">
        <v>1122</v>
      </c>
      <c r="E294" s="38">
        <v>29</v>
      </c>
      <c r="F294" s="132">
        <v>29.35</v>
      </c>
      <c r="G294" s="50">
        <f t="shared" ref="G294:G310" si="28">+E294*F294</f>
        <v>851.15000000000009</v>
      </c>
      <c r="H294" s="103"/>
      <c r="I294" s="144"/>
      <c r="J294" s="104"/>
      <c r="K294" s="103"/>
      <c r="L294" s="103"/>
      <c r="M294" s="141">
        <f t="shared" si="24"/>
        <v>29</v>
      </c>
      <c r="N294" s="103"/>
      <c r="O294" s="103" t="s">
        <v>946</v>
      </c>
      <c r="P294" s="137">
        <f t="shared" si="27"/>
        <v>851.15000000000009</v>
      </c>
    </row>
    <row r="295" spans="1:16" s="8" customFormat="1" ht="15.75" x14ac:dyDescent="0.25">
      <c r="A295" s="113" t="s">
        <v>897</v>
      </c>
      <c r="B295" s="102"/>
      <c r="C295" s="25" t="s">
        <v>843</v>
      </c>
      <c r="D295" s="25" t="s">
        <v>1122</v>
      </c>
      <c r="E295" s="38">
        <v>8</v>
      </c>
      <c r="F295" s="132"/>
      <c r="G295" s="50">
        <f t="shared" si="28"/>
        <v>0</v>
      </c>
      <c r="H295" s="103"/>
      <c r="I295" s="144"/>
      <c r="J295" s="104"/>
      <c r="K295" s="103"/>
      <c r="L295" s="103"/>
      <c r="M295" s="141">
        <f t="shared" si="24"/>
        <v>8</v>
      </c>
      <c r="N295" s="103"/>
      <c r="O295" s="103" t="s">
        <v>946</v>
      </c>
      <c r="P295" s="137">
        <f t="shared" si="27"/>
        <v>0</v>
      </c>
    </row>
    <row r="296" spans="1:16" s="8" customFormat="1" ht="15.75" x14ac:dyDescent="0.25">
      <c r="A296" s="113" t="s">
        <v>898</v>
      </c>
      <c r="B296" s="102"/>
      <c r="C296" s="25" t="s">
        <v>793</v>
      </c>
      <c r="D296" s="25" t="s">
        <v>1122</v>
      </c>
      <c r="E296" s="38">
        <f>3+1</f>
        <v>4</v>
      </c>
      <c r="F296" s="132"/>
      <c r="G296" s="50">
        <f t="shared" si="28"/>
        <v>0</v>
      </c>
      <c r="H296" s="103"/>
      <c r="I296" s="144"/>
      <c r="J296" s="104"/>
      <c r="K296" s="103"/>
      <c r="L296" s="103">
        <v>1</v>
      </c>
      <c r="M296" s="141">
        <f t="shared" si="24"/>
        <v>3</v>
      </c>
      <c r="N296" s="103"/>
      <c r="O296" s="103" t="s">
        <v>946</v>
      </c>
      <c r="P296" s="137">
        <f t="shared" si="27"/>
        <v>0</v>
      </c>
    </row>
    <row r="297" spans="1:16" s="8" customFormat="1" ht="15.75" x14ac:dyDescent="0.25">
      <c r="A297" s="113" t="s">
        <v>899</v>
      </c>
      <c r="B297" s="102"/>
      <c r="C297" s="25" t="s">
        <v>842</v>
      </c>
      <c r="D297" s="25" t="s">
        <v>1122</v>
      </c>
      <c r="E297" s="38">
        <v>2</v>
      </c>
      <c r="F297" s="132"/>
      <c r="G297" s="50">
        <f t="shared" si="28"/>
        <v>0</v>
      </c>
      <c r="H297" s="103"/>
      <c r="I297" s="144"/>
      <c r="J297" s="104"/>
      <c r="K297" s="103"/>
      <c r="L297" s="103"/>
      <c r="M297" s="141">
        <f t="shared" si="24"/>
        <v>2</v>
      </c>
      <c r="N297" s="103"/>
      <c r="O297" s="103" t="s">
        <v>946</v>
      </c>
      <c r="P297" s="137">
        <f t="shared" si="27"/>
        <v>0</v>
      </c>
    </row>
    <row r="298" spans="1:16" s="8" customFormat="1" ht="15.75" x14ac:dyDescent="0.25">
      <c r="A298" s="113" t="s">
        <v>900</v>
      </c>
      <c r="B298" s="102">
        <v>44193</v>
      </c>
      <c r="C298" s="25" t="s">
        <v>841</v>
      </c>
      <c r="D298" s="25" t="s">
        <v>1122</v>
      </c>
      <c r="E298" s="38">
        <v>1</v>
      </c>
      <c r="F298" s="132">
        <v>18.86</v>
      </c>
      <c r="G298" s="50">
        <f t="shared" si="28"/>
        <v>18.86</v>
      </c>
      <c r="H298" s="103"/>
      <c r="I298" s="144"/>
      <c r="J298" s="104"/>
      <c r="K298" s="103"/>
      <c r="L298" s="103"/>
      <c r="M298" s="141">
        <f t="shared" si="24"/>
        <v>1</v>
      </c>
      <c r="N298" s="103"/>
      <c r="O298" s="103" t="s">
        <v>946</v>
      </c>
      <c r="P298" s="137">
        <f t="shared" si="27"/>
        <v>18.86</v>
      </c>
    </row>
    <row r="299" spans="1:16" s="8" customFormat="1" ht="15.75" x14ac:dyDescent="0.25">
      <c r="A299" s="113" t="s">
        <v>901</v>
      </c>
      <c r="B299" s="102">
        <v>44193</v>
      </c>
      <c r="C299" s="25" t="s">
        <v>848</v>
      </c>
      <c r="D299" s="25" t="s">
        <v>1122</v>
      </c>
      <c r="E299" s="38">
        <v>1</v>
      </c>
      <c r="F299" s="132"/>
      <c r="G299" s="50">
        <f t="shared" si="28"/>
        <v>0</v>
      </c>
      <c r="H299" s="103"/>
      <c r="I299" s="144"/>
      <c r="J299" s="104"/>
      <c r="K299" s="103"/>
      <c r="L299" s="103"/>
      <c r="M299" s="141">
        <f t="shared" si="24"/>
        <v>1</v>
      </c>
      <c r="N299" s="103"/>
      <c r="O299" s="103" t="s">
        <v>946</v>
      </c>
      <c r="P299" s="137">
        <f t="shared" si="27"/>
        <v>0</v>
      </c>
    </row>
    <row r="300" spans="1:16" s="8" customFormat="1" ht="15.75" x14ac:dyDescent="0.25">
      <c r="A300" s="113" t="s">
        <v>902</v>
      </c>
      <c r="B300" s="102">
        <v>44193</v>
      </c>
      <c r="C300" s="25" t="s">
        <v>839</v>
      </c>
      <c r="D300" s="25" t="s">
        <v>1122</v>
      </c>
      <c r="E300" s="38">
        <v>7</v>
      </c>
      <c r="F300" s="132"/>
      <c r="G300" s="50">
        <f t="shared" si="28"/>
        <v>0</v>
      </c>
      <c r="H300" s="103"/>
      <c r="I300" s="144"/>
      <c r="J300" s="104"/>
      <c r="K300" s="103"/>
      <c r="L300" s="103"/>
      <c r="M300" s="141">
        <f t="shared" si="24"/>
        <v>7</v>
      </c>
      <c r="N300" s="103"/>
      <c r="O300" s="103" t="s">
        <v>946</v>
      </c>
      <c r="P300" s="137">
        <f t="shared" si="27"/>
        <v>0</v>
      </c>
    </row>
    <row r="301" spans="1:16" s="8" customFormat="1" ht="15.75" x14ac:dyDescent="0.25">
      <c r="A301" s="113" t="s">
        <v>903</v>
      </c>
      <c r="B301" s="102">
        <v>44193</v>
      </c>
      <c r="C301" s="25" t="s">
        <v>867</v>
      </c>
      <c r="D301" s="25" t="s">
        <v>1122</v>
      </c>
      <c r="E301" s="38">
        <v>6</v>
      </c>
      <c r="F301" s="132">
        <v>176</v>
      </c>
      <c r="G301" s="50">
        <f t="shared" si="28"/>
        <v>1056</v>
      </c>
      <c r="H301" s="103"/>
      <c r="I301" s="144"/>
      <c r="J301" s="104"/>
      <c r="K301" s="103"/>
      <c r="L301" s="103">
        <v>2</v>
      </c>
      <c r="M301" s="141">
        <f t="shared" si="24"/>
        <v>4</v>
      </c>
      <c r="N301" s="103"/>
      <c r="O301" s="103" t="s">
        <v>947</v>
      </c>
      <c r="P301" s="137">
        <f t="shared" si="27"/>
        <v>704</v>
      </c>
    </row>
    <row r="302" spans="1:16" s="8" customFormat="1" ht="15.75" x14ac:dyDescent="0.25">
      <c r="A302" s="113" t="s">
        <v>904</v>
      </c>
      <c r="B302" s="102">
        <v>44193</v>
      </c>
      <c r="C302" s="25" t="s">
        <v>798</v>
      </c>
      <c r="D302" s="25" t="s">
        <v>1122</v>
      </c>
      <c r="E302" s="38">
        <v>3</v>
      </c>
      <c r="F302" s="132">
        <v>234</v>
      </c>
      <c r="G302" s="50">
        <f t="shared" si="28"/>
        <v>702</v>
      </c>
      <c r="H302" s="103"/>
      <c r="I302" s="144"/>
      <c r="J302" s="104"/>
      <c r="K302" s="103"/>
      <c r="L302" s="103"/>
      <c r="M302" s="141">
        <f t="shared" si="24"/>
        <v>3</v>
      </c>
      <c r="N302" s="103"/>
      <c r="O302" s="103" t="s">
        <v>946</v>
      </c>
      <c r="P302" s="137">
        <f t="shared" si="27"/>
        <v>702</v>
      </c>
    </row>
    <row r="303" spans="1:16" s="92" customFormat="1" x14ac:dyDescent="0.3">
      <c r="A303" s="113" t="s">
        <v>905</v>
      </c>
      <c r="B303" s="107">
        <v>44755</v>
      </c>
      <c r="C303" s="25" t="s">
        <v>764</v>
      </c>
      <c r="D303" s="25" t="s">
        <v>1122</v>
      </c>
      <c r="E303" s="38">
        <v>0</v>
      </c>
      <c r="F303" s="132">
        <v>50.84</v>
      </c>
      <c r="G303" s="50">
        <f t="shared" si="28"/>
        <v>0</v>
      </c>
      <c r="H303" s="107"/>
      <c r="I303" s="144">
        <v>56</v>
      </c>
      <c r="J303" s="104">
        <v>50.84</v>
      </c>
      <c r="K303" s="108">
        <f>+I303*J303</f>
        <v>2847.04</v>
      </c>
      <c r="L303" s="38"/>
      <c r="M303" s="151">
        <f t="shared" si="24"/>
        <v>56</v>
      </c>
      <c r="N303" s="103"/>
      <c r="O303" s="103" t="s">
        <v>945</v>
      </c>
      <c r="P303" s="137">
        <f t="shared" si="27"/>
        <v>2847.04</v>
      </c>
    </row>
    <row r="304" spans="1:16" s="8" customFormat="1" ht="15.75" x14ac:dyDescent="0.25">
      <c r="A304" s="113" t="s">
        <v>906</v>
      </c>
      <c r="B304" s="102"/>
      <c r="C304" s="25" t="s">
        <v>799</v>
      </c>
      <c r="D304" s="25" t="s">
        <v>1122</v>
      </c>
      <c r="E304" s="38">
        <v>120</v>
      </c>
      <c r="F304" s="132"/>
      <c r="G304" s="50">
        <f t="shared" si="28"/>
        <v>0</v>
      </c>
      <c r="H304" s="103"/>
      <c r="I304" s="144"/>
      <c r="J304" s="104"/>
      <c r="K304" s="103"/>
      <c r="L304" s="103"/>
      <c r="M304" s="141">
        <f t="shared" ref="M304:M367" si="29">+E304+I304-L304</f>
        <v>120</v>
      </c>
      <c r="N304" s="103"/>
      <c r="O304" s="103" t="s">
        <v>946</v>
      </c>
      <c r="P304" s="137">
        <f t="shared" si="27"/>
        <v>0</v>
      </c>
    </row>
    <row r="305" spans="1:16" s="8" customFormat="1" ht="15.75" x14ac:dyDescent="0.25">
      <c r="A305" s="113" t="s">
        <v>907</v>
      </c>
      <c r="B305" s="102"/>
      <c r="C305" s="25" t="s">
        <v>824</v>
      </c>
      <c r="D305" s="25" t="s">
        <v>1122</v>
      </c>
      <c r="E305" s="38">
        <v>15</v>
      </c>
      <c r="F305" s="132"/>
      <c r="G305" s="50">
        <f t="shared" si="28"/>
        <v>0</v>
      </c>
      <c r="H305" s="107"/>
      <c r="I305" s="144"/>
      <c r="J305" s="104"/>
      <c r="K305" s="108"/>
      <c r="L305" s="108">
        <v>2</v>
      </c>
      <c r="M305" s="141">
        <f t="shared" si="29"/>
        <v>13</v>
      </c>
      <c r="N305" s="103"/>
      <c r="O305" s="103" t="s">
        <v>946</v>
      </c>
      <c r="P305" s="137">
        <f t="shared" si="27"/>
        <v>0</v>
      </c>
    </row>
    <row r="306" spans="1:16" s="8" customFormat="1" ht="15.75" x14ac:dyDescent="0.25">
      <c r="A306" s="113" t="s">
        <v>908</v>
      </c>
      <c r="B306" s="102"/>
      <c r="C306" s="25" t="s">
        <v>837</v>
      </c>
      <c r="D306" s="25" t="s">
        <v>1122</v>
      </c>
      <c r="E306" s="38">
        <v>9</v>
      </c>
      <c r="F306" s="132"/>
      <c r="G306" s="50">
        <f t="shared" si="28"/>
        <v>0</v>
      </c>
      <c r="H306" s="103"/>
      <c r="I306" s="144"/>
      <c r="J306" s="104"/>
      <c r="K306" s="103"/>
      <c r="L306" s="103"/>
      <c r="M306" s="141">
        <f t="shared" si="29"/>
        <v>9</v>
      </c>
      <c r="N306" s="103"/>
      <c r="O306" s="103" t="s">
        <v>946</v>
      </c>
      <c r="P306" s="137">
        <f t="shared" si="27"/>
        <v>0</v>
      </c>
    </row>
    <row r="307" spans="1:16" s="8" customFormat="1" ht="15.75" x14ac:dyDescent="0.25">
      <c r="A307" s="113" t="s">
        <v>909</v>
      </c>
      <c r="B307" s="102"/>
      <c r="C307" s="25" t="s">
        <v>792</v>
      </c>
      <c r="D307" s="25" t="s">
        <v>1122</v>
      </c>
      <c r="E307" s="38">
        <v>19</v>
      </c>
      <c r="F307" s="132"/>
      <c r="G307" s="50">
        <f t="shared" si="28"/>
        <v>0</v>
      </c>
      <c r="H307" s="103"/>
      <c r="I307" s="144"/>
      <c r="J307" s="104"/>
      <c r="K307" s="103"/>
      <c r="L307" s="103">
        <v>1</v>
      </c>
      <c r="M307" s="141">
        <f t="shared" si="29"/>
        <v>18</v>
      </c>
      <c r="N307" s="103"/>
      <c r="O307" s="103" t="s">
        <v>946</v>
      </c>
      <c r="P307" s="137">
        <f t="shared" si="27"/>
        <v>0</v>
      </c>
    </row>
    <row r="308" spans="1:16" s="8" customFormat="1" ht="15.75" x14ac:dyDescent="0.25">
      <c r="A308" s="113" t="s">
        <v>910</v>
      </c>
      <c r="B308" s="102"/>
      <c r="C308" s="25" t="s">
        <v>329</v>
      </c>
      <c r="D308" s="25" t="s">
        <v>1122</v>
      </c>
      <c r="E308" s="38">
        <v>21</v>
      </c>
      <c r="F308" s="132"/>
      <c r="G308" s="50">
        <f t="shared" si="28"/>
        <v>0</v>
      </c>
      <c r="H308" s="103"/>
      <c r="I308" s="144"/>
      <c r="J308" s="104"/>
      <c r="K308" s="103"/>
      <c r="L308" s="103"/>
      <c r="M308" s="141">
        <f t="shared" si="29"/>
        <v>21</v>
      </c>
      <c r="N308" s="103"/>
      <c r="O308" s="103" t="s">
        <v>946</v>
      </c>
      <c r="P308" s="137">
        <f t="shared" si="27"/>
        <v>0</v>
      </c>
    </row>
    <row r="309" spans="1:16" s="8" customFormat="1" ht="15.75" x14ac:dyDescent="0.25">
      <c r="A309" s="113" t="s">
        <v>911</v>
      </c>
      <c r="B309" s="102"/>
      <c r="C309" s="25" t="s">
        <v>330</v>
      </c>
      <c r="D309" s="25" t="s">
        <v>1122</v>
      </c>
      <c r="E309" s="38">
        <f>2+18</f>
        <v>20</v>
      </c>
      <c r="F309" s="132"/>
      <c r="G309" s="50">
        <f t="shared" si="28"/>
        <v>0</v>
      </c>
      <c r="H309" s="103"/>
      <c r="I309" s="144"/>
      <c r="J309" s="104"/>
      <c r="K309" s="103"/>
      <c r="L309" s="103"/>
      <c r="M309" s="141">
        <f t="shared" si="29"/>
        <v>20</v>
      </c>
      <c r="N309" s="103"/>
      <c r="O309" s="103" t="s">
        <v>946</v>
      </c>
      <c r="P309" s="137">
        <f t="shared" si="27"/>
        <v>0</v>
      </c>
    </row>
    <row r="310" spans="1:16" s="8" customFormat="1" ht="15.75" x14ac:dyDescent="0.25">
      <c r="A310" s="113" t="s">
        <v>912</v>
      </c>
      <c r="B310" s="102">
        <v>44193</v>
      </c>
      <c r="C310" s="25" t="s">
        <v>836</v>
      </c>
      <c r="D310" s="25" t="s">
        <v>1122</v>
      </c>
      <c r="E310" s="38">
        <v>19</v>
      </c>
      <c r="F310" s="132">
        <v>30</v>
      </c>
      <c r="G310" s="50">
        <f t="shared" si="28"/>
        <v>570</v>
      </c>
      <c r="H310" s="103"/>
      <c r="I310" s="144"/>
      <c r="J310" s="104"/>
      <c r="K310" s="103"/>
      <c r="L310" s="103"/>
      <c r="M310" s="141">
        <f t="shared" si="29"/>
        <v>19</v>
      </c>
      <c r="N310" s="103"/>
      <c r="O310" s="103" t="s">
        <v>946</v>
      </c>
      <c r="P310" s="137">
        <f t="shared" si="27"/>
        <v>570</v>
      </c>
    </row>
    <row r="311" spans="1:16" s="8" customFormat="1" ht="15.75" x14ac:dyDescent="0.25">
      <c r="A311" s="113" t="s">
        <v>530</v>
      </c>
      <c r="B311" s="102">
        <v>45020</v>
      </c>
      <c r="C311" s="25" t="s">
        <v>810</v>
      </c>
      <c r="D311" s="25" t="s">
        <v>1122</v>
      </c>
      <c r="E311" s="38">
        <v>20</v>
      </c>
      <c r="F311" s="132">
        <v>413</v>
      </c>
      <c r="G311" s="50">
        <f>+E311*F311</f>
        <v>8260</v>
      </c>
      <c r="H311" s="103"/>
      <c r="I311" s="144"/>
      <c r="J311" s="104"/>
      <c r="K311" s="103"/>
      <c r="L311" s="103"/>
      <c r="M311" s="141">
        <f t="shared" si="29"/>
        <v>20</v>
      </c>
      <c r="N311" s="103"/>
      <c r="O311" s="103" t="s">
        <v>946</v>
      </c>
      <c r="P311" s="137">
        <f t="shared" si="27"/>
        <v>8260</v>
      </c>
    </row>
    <row r="312" spans="1:16" s="8" customFormat="1" ht="15.75" x14ac:dyDescent="0.25">
      <c r="A312" s="113" t="s">
        <v>916</v>
      </c>
      <c r="B312" s="102"/>
      <c r="C312" s="25" t="s">
        <v>836</v>
      </c>
      <c r="D312" s="25" t="s">
        <v>1122</v>
      </c>
      <c r="E312" s="38">
        <v>19</v>
      </c>
      <c r="F312" s="132"/>
      <c r="G312" s="50"/>
      <c r="H312" s="103"/>
      <c r="I312" s="144"/>
      <c r="J312" s="104"/>
      <c r="K312" s="103"/>
      <c r="L312" s="103"/>
      <c r="M312" s="141">
        <f t="shared" si="29"/>
        <v>19</v>
      </c>
      <c r="N312" s="103"/>
      <c r="O312" s="103" t="s">
        <v>946</v>
      </c>
      <c r="P312" s="137">
        <f t="shared" si="27"/>
        <v>0</v>
      </c>
    </row>
    <row r="313" spans="1:16" s="92" customFormat="1" x14ac:dyDescent="0.3">
      <c r="A313" s="113" t="s">
        <v>917</v>
      </c>
      <c r="B313" s="102"/>
      <c r="C313" s="25" t="s">
        <v>918</v>
      </c>
      <c r="D313" s="25" t="s">
        <v>1122</v>
      </c>
      <c r="E313" s="38">
        <v>5</v>
      </c>
      <c r="F313" s="132"/>
      <c r="G313" s="50"/>
      <c r="H313" s="103"/>
      <c r="I313" s="144"/>
      <c r="J313" s="104"/>
      <c r="K313" s="103"/>
      <c r="L313" s="103"/>
      <c r="M313" s="141">
        <f t="shared" si="29"/>
        <v>5</v>
      </c>
      <c r="N313" s="103"/>
      <c r="O313" s="103" t="s">
        <v>945</v>
      </c>
      <c r="P313" s="137">
        <f t="shared" si="27"/>
        <v>0</v>
      </c>
    </row>
    <row r="314" spans="1:16" s="92" customFormat="1" x14ac:dyDescent="0.3">
      <c r="A314" s="113" t="s">
        <v>921</v>
      </c>
      <c r="B314" s="102"/>
      <c r="C314" s="25" t="s">
        <v>919</v>
      </c>
      <c r="D314" s="25" t="s">
        <v>1122</v>
      </c>
      <c r="E314" s="38">
        <f>12+10+11</f>
        <v>33</v>
      </c>
      <c r="F314" s="132">
        <v>150</v>
      </c>
      <c r="G314" s="50"/>
      <c r="H314" s="103"/>
      <c r="I314" s="144"/>
      <c r="J314" s="104"/>
      <c r="K314" s="103"/>
      <c r="L314" s="103">
        <v>1</v>
      </c>
      <c r="M314" s="151">
        <f t="shared" si="29"/>
        <v>32</v>
      </c>
      <c r="N314" s="103"/>
      <c r="O314" s="103" t="s">
        <v>945</v>
      </c>
      <c r="P314" s="137">
        <f t="shared" si="27"/>
        <v>4800</v>
      </c>
    </row>
    <row r="315" spans="1:16" s="92" customFormat="1" x14ac:dyDescent="0.3">
      <c r="A315" s="113" t="s">
        <v>922</v>
      </c>
      <c r="B315" s="102"/>
      <c r="C315" s="25" t="s">
        <v>926</v>
      </c>
      <c r="D315" s="25" t="s">
        <v>1122</v>
      </c>
      <c r="E315" s="38">
        <v>1</v>
      </c>
      <c r="F315" s="132"/>
      <c r="G315" s="50"/>
      <c r="H315" s="103"/>
      <c r="I315" s="144"/>
      <c r="J315" s="104"/>
      <c r="K315" s="103"/>
      <c r="L315" s="103"/>
      <c r="M315" s="141">
        <f t="shared" si="29"/>
        <v>1</v>
      </c>
      <c r="N315" s="103"/>
      <c r="O315" s="103" t="s">
        <v>945</v>
      </c>
      <c r="P315" s="137">
        <f t="shared" si="27"/>
        <v>0</v>
      </c>
    </row>
    <row r="316" spans="1:16" s="92" customFormat="1" x14ac:dyDescent="0.3">
      <c r="A316" s="113" t="s">
        <v>923</v>
      </c>
      <c r="B316" s="107">
        <v>45019</v>
      </c>
      <c r="C316" s="25" t="s">
        <v>930</v>
      </c>
      <c r="D316" s="25" t="s">
        <v>1122</v>
      </c>
      <c r="E316" s="38"/>
      <c r="F316" s="132">
        <v>128.91999999999999</v>
      </c>
      <c r="G316" s="50"/>
      <c r="H316" s="107">
        <v>45019</v>
      </c>
      <c r="I316" s="144">
        <v>50</v>
      </c>
      <c r="J316" s="104">
        <v>128.91999999999999</v>
      </c>
      <c r="K316" s="103">
        <f>+J316*I316</f>
        <v>6445.9999999999991</v>
      </c>
      <c r="L316" s="103">
        <f>10+2</f>
        <v>12</v>
      </c>
      <c r="M316" s="151">
        <f t="shared" si="29"/>
        <v>38</v>
      </c>
      <c r="N316" s="103"/>
      <c r="O316" s="103" t="s">
        <v>945</v>
      </c>
      <c r="P316" s="137">
        <f t="shared" si="27"/>
        <v>4898.9599999999991</v>
      </c>
    </row>
    <row r="317" spans="1:16" s="8" customFormat="1" ht="15.75" x14ac:dyDescent="0.25">
      <c r="A317" s="113" t="s">
        <v>932</v>
      </c>
      <c r="B317" s="102"/>
      <c r="C317" s="25" t="s">
        <v>931</v>
      </c>
      <c r="D317" s="25" t="s">
        <v>1122</v>
      </c>
      <c r="E317" s="38"/>
      <c r="F317" s="132"/>
      <c r="G317" s="50"/>
      <c r="H317" s="103"/>
      <c r="I317" s="144"/>
      <c r="J317" s="104"/>
      <c r="K317" s="103"/>
      <c r="L317" s="103">
        <f>1+1</f>
        <v>2</v>
      </c>
      <c r="M317" s="141">
        <f t="shared" si="29"/>
        <v>-2</v>
      </c>
      <c r="N317" s="103"/>
      <c r="O317" s="103" t="s">
        <v>947</v>
      </c>
      <c r="P317" s="137">
        <f t="shared" si="27"/>
        <v>0</v>
      </c>
    </row>
    <row r="318" spans="1:16" s="8" customFormat="1" ht="15.75" x14ac:dyDescent="0.25">
      <c r="A318" s="113" t="s">
        <v>933</v>
      </c>
      <c r="B318" s="102"/>
      <c r="C318" s="68" t="s">
        <v>934</v>
      </c>
      <c r="D318" s="25" t="s">
        <v>1122</v>
      </c>
      <c r="E318" s="38"/>
      <c r="F318" s="132"/>
      <c r="G318" s="50"/>
      <c r="H318" s="103"/>
      <c r="I318" s="144"/>
      <c r="J318" s="104"/>
      <c r="K318" s="103"/>
      <c r="L318" s="103">
        <f>1+1+15+1</f>
        <v>18</v>
      </c>
      <c r="M318" s="141">
        <f t="shared" si="29"/>
        <v>-18</v>
      </c>
      <c r="N318" s="103"/>
      <c r="O318" s="103" t="s">
        <v>946</v>
      </c>
      <c r="P318" s="137">
        <f t="shared" si="27"/>
        <v>0</v>
      </c>
    </row>
    <row r="319" spans="1:16" s="8" customFormat="1" ht="15.75" x14ac:dyDescent="0.25">
      <c r="A319" s="113" t="s">
        <v>936</v>
      </c>
      <c r="B319" s="102">
        <v>44193</v>
      </c>
      <c r="C319" s="25" t="s">
        <v>613</v>
      </c>
      <c r="D319" s="25" t="s">
        <v>1122</v>
      </c>
      <c r="E319" s="38">
        <v>25</v>
      </c>
      <c r="F319" s="132">
        <v>5.78</v>
      </c>
      <c r="G319" s="50">
        <f>+E319*F319</f>
        <v>144.5</v>
      </c>
      <c r="H319" s="103"/>
      <c r="I319" s="144"/>
      <c r="J319" s="104"/>
      <c r="K319" s="103"/>
      <c r="L319" s="103">
        <v>1</v>
      </c>
      <c r="M319" s="141">
        <f t="shared" si="29"/>
        <v>24</v>
      </c>
      <c r="N319" s="103"/>
      <c r="O319" s="103" t="s">
        <v>946</v>
      </c>
      <c r="P319" s="137">
        <f t="shared" si="27"/>
        <v>138.72</v>
      </c>
    </row>
    <row r="320" spans="1:16" s="8" customFormat="1" ht="15.75" x14ac:dyDescent="0.25">
      <c r="A320" s="113" t="s">
        <v>937</v>
      </c>
      <c r="B320" s="102"/>
      <c r="C320" s="25" t="s">
        <v>935</v>
      </c>
      <c r="D320" s="25" t="s">
        <v>1122</v>
      </c>
      <c r="E320" s="38"/>
      <c r="F320" s="132"/>
      <c r="G320" s="50"/>
      <c r="H320" s="103"/>
      <c r="I320" s="144"/>
      <c r="J320" s="104"/>
      <c r="K320" s="103"/>
      <c r="L320" s="103">
        <v>2</v>
      </c>
      <c r="M320" s="141">
        <f t="shared" si="29"/>
        <v>-2</v>
      </c>
      <c r="N320" s="103"/>
      <c r="O320" s="103" t="s">
        <v>946</v>
      </c>
      <c r="P320" s="137">
        <f t="shared" si="27"/>
        <v>0</v>
      </c>
    </row>
    <row r="321" spans="1:16" s="8" customFormat="1" ht="15.75" x14ac:dyDescent="0.25">
      <c r="A321" s="113" t="s">
        <v>938</v>
      </c>
      <c r="B321" s="102"/>
      <c r="C321" s="25" t="s">
        <v>939</v>
      </c>
      <c r="D321" s="25" t="s">
        <v>1122</v>
      </c>
      <c r="E321" s="38"/>
      <c r="F321" s="132"/>
      <c r="G321" s="50"/>
      <c r="H321" s="103"/>
      <c r="I321" s="144"/>
      <c r="J321" s="104"/>
      <c r="K321" s="103"/>
      <c r="L321" s="103">
        <v>1</v>
      </c>
      <c r="M321" s="141">
        <f t="shared" si="29"/>
        <v>-1</v>
      </c>
      <c r="N321" s="103"/>
      <c r="O321" s="103" t="s">
        <v>946</v>
      </c>
      <c r="P321" s="137">
        <f t="shared" si="27"/>
        <v>0</v>
      </c>
    </row>
    <row r="322" spans="1:16" s="8" customFormat="1" ht="15.75" x14ac:dyDescent="0.25">
      <c r="A322" s="113" t="s">
        <v>941</v>
      </c>
      <c r="B322" s="102"/>
      <c r="C322" s="25" t="s">
        <v>940</v>
      </c>
      <c r="D322" s="25" t="s">
        <v>1122</v>
      </c>
      <c r="E322" s="38"/>
      <c r="F322" s="132"/>
      <c r="G322" s="50"/>
      <c r="H322" s="103"/>
      <c r="I322" s="144"/>
      <c r="J322" s="104"/>
      <c r="K322" s="103"/>
      <c r="L322" s="103">
        <v>1</v>
      </c>
      <c r="M322" s="141">
        <f t="shared" si="29"/>
        <v>-1</v>
      </c>
      <c r="N322" s="103"/>
      <c r="O322" s="103" t="s">
        <v>946</v>
      </c>
      <c r="P322" s="137">
        <f t="shared" si="27"/>
        <v>0</v>
      </c>
    </row>
    <row r="323" spans="1:16" s="8" customFormat="1" ht="15.75" x14ac:dyDescent="0.25">
      <c r="A323" s="113" t="s">
        <v>948</v>
      </c>
      <c r="B323" s="107">
        <v>45019</v>
      </c>
      <c r="C323" s="25" t="s">
        <v>1240</v>
      </c>
      <c r="D323" s="25" t="s">
        <v>1122</v>
      </c>
      <c r="E323" s="38">
        <v>967</v>
      </c>
      <c r="F323" s="132">
        <v>58.51</v>
      </c>
      <c r="G323" s="50"/>
      <c r="H323" s="107">
        <v>45019</v>
      </c>
      <c r="I323" s="144">
        <f>30*12</f>
        <v>360</v>
      </c>
      <c r="J323" s="104">
        <v>58.51</v>
      </c>
      <c r="K323" s="104">
        <f>+J323*I323</f>
        <v>21063.599999999999</v>
      </c>
      <c r="L323" s="103">
        <f>967+12+2+36</f>
        <v>1017</v>
      </c>
      <c r="M323" s="151">
        <f t="shared" si="29"/>
        <v>310</v>
      </c>
      <c r="N323" s="103"/>
      <c r="O323" s="103" t="s">
        <v>946</v>
      </c>
      <c r="P323" s="137">
        <f t="shared" si="27"/>
        <v>18138.099999999999</v>
      </c>
    </row>
    <row r="324" spans="1:16" s="8" customFormat="1" ht="15.75" x14ac:dyDescent="0.25">
      <c r="A324" s="113" t="s">
        <v>953</v>
      </c>
      <c r="B324" s="102"/>
      <c r="C324" s="25" t="s">
        <v>949</v>
      </c>
      <c r="D324" s="25" t="s">
        <v>1122</v>
      </c>
      <c r="E324" s="38"/>
      <c r="F324" s="132"/>
      <c r="G324" s="50"/>
      <c r="H324" s="103"/>
      <c r="I324" s="144"/>
      <c r="J324" s="104"/>
      <c r="K324" s="104">
        <f t="shared" ref="K324:K325" si="30">+J324*I324</f>
        <v>0</v>
      </c>
      <c r="L324" s="103">
        <v>1</v>
      </c>
      <c r="M324" s="141">
        <f t="shared" si="29"/>
        <v>-1</v>
      </c>
      <c r="N324" s="103"/>
      <c r="O324" s="103" t="s">
        <v>946</v>
      </c>
      <c r="P324" s="137">
        <f t="shared" si="27"/>
        <v>0</v>
      </c>
    </row>
    <row r="325" spans="1:16" s="92" customFormat="1" x14ac:dyDescent="0.3">
      <c r="A325" s="113" t="s">
        <v>954</v>
      </c>
      <c r="B325" s="102"/>
      <c r="C325" s="25" t="s">
        <v>952</v>
      </c>
      <c r="D325" s="25" t="s">
        <v>1122</v>
      </c>
      <c r="E325" s="38"/>
      <c r="F325" s="132"/>
      <c r="G325" s="50"/>
      <c r="H325" s="103"/>
      <c r="I325" s="144">
        <v>130</v>
      </c>
      <c r="J325" s="104"/>
      <c r="K325" s="104">
        <f t="shared" si="30"/>
        <v>0</v>
      </c>
      <c r="L325" s="103">
        <v>6</v>
      </c>
      <c r="M325" s="151">
        <f t="shared" si="29"/>
        <v>124</v>
      </c>
      <c r="N325" s="103"/>
      <c r="O325" s="103" t="s">
        <v>945</v>
      </c>
      <c r="P325" s="137">
        <f t="shared" si="27"/>
        <v>0</v>
      </c>
    </row>
    <row r="326" spans="1:16" s="92" customFormat="1" x14ac:dyDescent="0.3">
      <c r="A326" s="113" t="s">
        <v>957</v>
      </c>
      <c r="B326" s="102">
        <v>45019</v>
      </c>
      <c r="C326" s="25" t="s">
        <v>958</v>
      </c>
      <c r="D326" s="25" t="s">
        <v>1122</v>
      </c>
      <c r="E326" s="38"/>
      <c r="F326" s="132">
        <v>41.3</v>
      </c>
      <c r="G326" s="50"/>
      <c r="H326" s="107">
        <v>45019</v>
      </c>
      <c r="I326" s="144">
        <f>120+102</f>
        <v>222</v>
      </c>
      <c r="J326" s="104">
        <v>41.3</v>
      </c>
      <c r="K326" s="104">
        <f>+J326*I326</f>
        <v>9168.5999999999985</v>
      </c>
      <c r="L326" s="103">
        <f>1+1+2+2+1+1+4</f>
        <v>12</v>
      </c>
      <c r="M326" s="151">
        <f t="shared" si="29"/>
        <v>210</v>
      </c>
      <c r="N326" s="103"/>
      <c r="O326" s="103" t="s">
        <v>945</v>
      </c>
      <c r="P326" s="137">
        <f t="shared" si="27"/>
        <v>8673</v>
      </c>
    </row>
    <row r="327" spans="1:16" s="105" customFormat="1" ht="15.75" x14ac:dyDescent="0.25">
      <c r="A327" s="113" t="s">
        <v>972</v>
      </c>
      <c r="B327" s="107">
        <v>44852</v>
      </c>
      <c r="C327" s="25" t="s">
        <v>1223</v>
      </c>
      <c r="D327" s="25" t="s">
        <v>1122</v>
      </c>
      <c r="E327" s="38"/>
      <c r="F327" s="132">
        <v>36</v>
      </c>
      <c r="G327" s="50"/>
      <c r="H327" s="107">
        <v>44852</v>
      </c>
      <c r="I327" s="144">
        <v>20</v>
      </c>
      <c r="J327" s="104">
        <v>19.329999999999998</v>
      </c>
      <c r="K327" s="108">
        <f>+I327*J327</f>
        <v>386.59999999999997</v>
      </c>
      <c r="L327" s="103">
        <f>1+1+2+2+5</f>
        <v>11</v>
      </c>
      <c r="M327" s="151">
        <f t="shared" si="29"/>
        <v>9</v>
      </c>
      <c r="N327" s="103" t="s">
        <v>1037</v>
      </c>
      <c r="O327" s="103" t="s">
        <v>947</v>
      </c>
      <c r="P327" s="137">
        <f t="shared" si="27"/>
        <v>324</v>
      </c>
    </row>
    <row r="328" spans="1:16" s="105" customFormat="1" ht="15.75" x14ac:dyDescent="0.25">
      <c r="A328" s="113" t="s">
        <v>973</v>
      </c>
      <c r="B328" s="107">
        <v>44852</v>
      </c>
      <c r="C328" s="25" t="s">
        <v>1036</v>
      </c>
      <c r="D328" s="25" t="s">
        <v>1122</v>
      </c>
      <c r="E328" s="38">
        <v>6</v>
      </c>
      <c r="F328" s="132">
        <v>145.80000000000001</v>
      </c>
      <c r="G328" s="50"/>
      <c r="H328" s="107">
        <v>44852</v>
      </c>
      <c r="I328" s="144">
        <v>10</v>
      </c>
      <c r="J328" s="104">
        <v>145.80000000000001</v>
      </c>
      <c r="K328" s="108">
        <f>+I328*J328</f>
        <v>1458</v>
      </c>
      <c r="L328" s="103">
        <v>7</v>
      </c>
      <c r="M328" s="151">
        <f t="shared" si="29"/>
        <v>9</v>
      </c>
      <c r="N328" s="103" t="s">
        <v>1037</v>
      </c>
      <c r="O328" s="103" t="s">
        <v>947</v>
      </c>
      <c r="P328" s="137">
        <f t="shared" si="27"/>
        <v>1312.2</v>
      </c>
    </row>
    <row r="329" spans="1:16" s="105" customFormat="1" ht="15.75" x14ac:dyDescent="0.25">
      <c r="A329" s="113" t="s">
        <v>974</v>
      </c>
      <c r="B329" s="107">
        <v>44852</v>
      </c>
      <c r="C329" s="25" t="s">
        <v>1040</v>
      </c>
      <c r="D329" s="25" t="s">
        <v>1122</v>
      </c>
      <c r="E329" s="38"/>
      <c r="F329" s="132">
        <v>97.59</v>
      </c>
      <c r="G329" s="50"/>
      <c r="H329" s="107">
        <v>45042</v>
      </c>
      <c r="I329" s="144">
        <v>10</v>
      </c>
      <c r="J329" s="104">
        <v>116.29</v>
      </c>
      <c r="K329" s="108">
        <f>+I329*J329</f>
        <v>1162.9000000000001</v>
      </c>
      <c r="L329" s="103">
        <v>3</v>
      </c>
      <c r="M329" s="151">
        <f t="shared" si="29"/>
        <v>7</v>
      </c>
      <c r="N329" s="103" t="s">
        <v>1037</v>
      </c>
      <c r="O329" s="103" t="s">
        <v>947</v>
      </c>
      <c r="P329" s="137">
        <f t="shared" si="27"/>
        <v>683.13</v>
      </c>
    </row>
    <row r="330" spans="1:16" s="92" customFormat="1" x14ac:dyDescent="0.3">
      <c r="A330" s="113" t="s">
        <v>975</v>
      </c>
      <c r="B330" s="102"/>
      <c r="C330" s="25" t="s">
        <v>960</v>
      </c>
      <c r="D330" s="25" t="s">
        <v>1122</v>
      </c>
      <c r="E330" s="38"/>
      <c r="F330" s="132"/>
      <c r="G330" s="50"/>
      <c r="H330" s="103"/>
      <c r="I330" s="144"/>
      <c r="J330" s="104"/>
      <c r="K330" s="103"/>
      <c r="L330" s="103">
        <v>2</v>
      </c>
      <c r="M330" s="141">
        <f t="shared" si="29"/>
        <v>-2</v>
      </c>
      <c r="N330" s="103"/>
      <c r="O330" s="103" t="s">
        <v>946</v>
      </c>
      <c r="P330" s="137">
        <f t="shared" si="27"/>
        <v>0</v>
      </c>
    </row>
    <row r="331" spans="1:16" s="92" customFormat="1" ht="32.25" x14ac:dyDescent="0.3">
      <c r="A331" s="113" t="s">
        <v>976</v>
      </c>
      <c r="B331" s="107">
        <v>44851</v>
      </c>
      <c r="C331" s="25" t="s">
        <v>961</v>
      </c>
      <c r="D331" s="25" t="s">
        <v>1122</v>
      </c>
      <c r="E331" s="38"/>
      <c r="F331" s="132">
        <v>672.78</v>
      </c>
      <c r="G331" s="50"/>
      <c r="H331" s="107">
        <v>44851</v>
      </c>
      <c r="I331" s="144">
        <v>25</v>
      </c>
      <c r="J331" s="104">
        <v>672.78</v>
      </c>
      <c r="K331" s="108">
        <f>+I331*J331</f>
        <v>16819.5</v>
      </c>
      <c r="L331" s="103">
        <v>3</v>
      </c>
      <c r="M331" s="151">
        <f t="shared" si="29"/>
        <v>22</v>
      </c>
      <c r="N331" s="121" t="s">
        <v>1006</v>
      </c>
      <c r="O331" s="103" t="s">
        <v>946</v>
      </c>
      <c r="P331" s="137">
        <f>+F331*M331</f>
        <v>14801.16</v>
      </c>
    </row>
    <row r="332" spans="1:16" s="92" customFormat="1" x14ac:dyDescent="0.3">
      <c r="A332" s="113" t="s">
        <v>977</v>
      </c>
      <c r="B332" s="107">
        <v>44852</v>
      </c>
      <c r="C332" s="25" t="s">
        <v>962</v>
      </c>
      <c r="D332" s="25" t="s">
        <v>1122</v>
      </c>
      <c r="E332" s="38"/>
      <c r="F332" s="132">
        <v>1713.36</v>
      </c>
      <c r="G332" s="50"/>
      <c r="H332" s="107">
        <v>44852</v>
      </c>
      <c r="I332" s="144">
        <v>12</v>
      </c>
      <c r="J332" s="104">
        <f>1452+261.36</f>
        <v>1713.3600000000001</v>
      </c>
      <c r="K332" s="108">
        <f>+I332*J332</f>
        <v>20560.32</v>
      </c>
      <c r="L332" s="103">
        <v>1</v>
      </c>
      <c r="M332" s="141">
        <f t="shared" si="29"/>
        <v>11</v>
      </c>
      <c r="N332" s="103"/>
      <c r="O332" s="103" t="s">
        <v>946</v>
      </c>
      <c r="P332" s="137">
        <f t="shared" si="27"/>
        <v>18846.96</v>
      </c>
    </row>
    <row r="333" spans="1:16" s="92" customFormat="1" x14ac:dyDescent="0.3">
      <c r="A333" s="113" t="s">
        <v>978</v>
      </c>
      <c r="B333" s="107">
        <v>44852</v>
      </c>
      <c r="C333" s="25" t="s">
        <v>963</v>
      </c>
      <c r="D333" s="25" t="s">
        <v>1122</v>
      </c>
      <c r="E333" s="38"/>
      <c r="F333" s="132">
        <v>4967.8</v>
      </c>
      <c r="G333" s="50"/>
      <c r="H333" s="107">
        <v>44852</v>
      </c>
      <c r="I333" s="144">
        <v>15</v>
      </c>
      <c r="J333" s="104">
        <f>4210+757.8</f>
        <v>4967.8</v>
      </c>
      <c r="K333" s="108">
        <f>+I333*J333</f>
        <v>74517</v>
      </c>
      <c r="L333" s="103"/>
      <c r="M333" s="141">
        <f t="shared" si="29"/>
        <v>15</v>
      </c>
      <c r="N333" s="103"/>
      <c r="O333" s="103" t="s">
        <v>946</v>
      </c>
      <c r="P333" s="137">
        <f t="shared" si="27"/>
        <v>74517</v>
      </c>
    </row>
    <row r="334" spans="1:16" s="92" customFormat="1" x14ac:dyDescent="0.3">
      <c r="A334" s="113" t="s">
        <v>979</v>
      </c>
      <c r="B334" s="107">
        <v>44852</v>
      </c>
      <c r="C334" s="25" t="s">
        <v>964</v>
      </c>
      <c r="D334" s="25" t="s">
        <v>1122</v>
      </c>
      <c r="E334" s="38"/>
      <c r="F334" s="132">
        <v>3776</v>
      </c>
      <c r="G334" s="50"/>
      <c r="H334" s="107">
        <v>44852</v>
      </c>
      <c r="I334" s="144">
        <v>16</v>
      </c>
      <c r="J334" s="104">
        <f>3200+576</f>
        <v>3776</v>
      </c>
      <c r="K334" s="108">
        <f>+I334*J334</f>
        <v>60416</v>
      </c>
      <c r="L334" s="103"/>
      <c r="M334" s="141">
        <f t="shared" si="29"/>
        <v>16</v>
      </c>
      <c r="N334" s="103"/>
      <c r="O334" s="103" t="s">
        <v>946</v>
      </c>
      <c r="P334" s="137">
        <f t="shared" si="27"/>
        <v>60416</v>
      </c>
    </row>
    <row r="335" spans="1:16" s="92" customFormat="1" x14ac:dyDescent="0.3">
      <c r="A335" s="113" t="s">
        <v>980</v>
      </c>
      <c r="B335" s="107">
        <v>44852</v>
      </c>
      <c r="C335" s="25" t="s">
        <v>965</v>
      </c>
      <c r="D335" s="25" t="s">
        <v>1122</v>
      </c>
      <c r="E335" s="38"/>
      <c r="F335" s="132">
        <v>2254.98</v>
      </c>
      <c r="G335" s="50"/>
      <c r="H335" s="107">
        <v>44852</v>
      </c>
      <c r="I335" s="144">
        <v>5</v>
      </c>
      <c r="J335" s="104">
        <f>1911+343.98</f>
        <v>2254.98</v>
      </c>
      <c r="K335" s="108">
        <f t="shared" ref="K335:K345" si="31">+I335*J335</f>
        <v>11274.9</v>
      </c>
      <c r="L335" s="103"/>
      <c r="M335" s="141">
        <f t="shared" si="29"/>
        <v>5</v>
      </c>
      <c r="N335" s="103"/>
      <c r="O335" s="103" t="s">
        <v>946</v>
      </c>
      <c r="P335" s="137">
        <f t="shared" si="27"/>
        <v>11274.9</v>
      </c>
    </row>
    <row r="336" spans="1:16" s="92" customFormat="1" x14ac:dyDescent="0.3">
      <c r="A336" s="113" t="s">
        <v>981</v>
      </c>
      <c r="B336" s="107">
        <v>44852</v>
      </c>
      <c r="C336" s="25" t="s">
        <v>966</v>
      </c>
      <c r="D336" s="25" t="s">
        <v>1122</v>
      </c>
      <c r="E336" s="38"/>
      <c r="F336" s="132">
        <v>3776</v>
      </c>
      <c r="G336" s="50"/>
      <c r="H336" s="107">
        <v>44852</v>
      </c>
      <c r="I336" s="144">
        <v>20</v>
      </c>
      <c r="J336" s="104">
        <f>3200+576</f>
        <v>3776</v>
      </c>
      <c r="K336" s="108">
        <f t="shared" si="31"/>
        <v>75520</v>
      </c>
      <c r="L336" s="103">
        <v>1</v>
      </c>
      <c r="M336" s="141">
        <f t="shared" si="29"/>
        <v>19</v>
      </c>
      <c r="N336" s="103"/>
      <c r="O336" s="103" t="s">
        <v>946</v>
      </c>
      <c r="P336" s="137">
        <f t="shared" si="27"/>
        <v>71744</v>
      </c>
    </row>
    <row r="337" spans="1:16" s="92" customFormat="1" x14ac:dyDescent="0.3">
      <c r="A337" s="113" t="s">
        <v>982</v>
      </c>
      <c r="B337" s="107">
        <v>44852</v>
      </c>
      <c r="C337" s="25" t="s">
        <v>967</v>
      </c>
      <c r="D337" s="25" t="s">
        <v>1122</v>
      </c>
      <c r="E337" s="38"/>
      <c r="F337" s="132">
        <v>5664</v>
      </c>
      <c r="G337" s="50"/>
      <c r="H337" s="107">
        <v>44852</v>
      </c>
      <c r="I337" s="144">
        <v>10</v>
      </c>
      <c r="J337" s="104">
        <f>4800+864</f>
        <v>5664</v>
      </c>
      <c r="K337" s="108">
        <f t="shared" si="31"/>
        <v>56640</v>
      </c>
      <c r="L337" s="103"/>
      <c r="M337" s="141">
        <f t="shared" si="29"/>
        <v>10</v>
      </c>
      <c r="N337" s="103"/>
      <c r="O337" s="103" t="s">
        <v>946</v>
      </c>
      <c r="P337" s="137">
        <f t="shared" si="27"/>
        <v>56640</v>
      </c>
    </row>
    <row r="338" spans="1:16" s="92" customFormat="1" x14ac:dyDescent="0.3">
      <c r="A338" s="113" t="s">
        <v>983</v>
      </c>
      <c r="B338" s="107">
        <v>44852</v>
      </c>
      <c r="C338" s="25" t="s">
        <v>968</v>
      </c>
      <c r="D338" s="25" t="s">
        <v>1122</v>
      </c>
      <c r="E338" s="38"/>
      <c r="F338" s="132">
        <f>2050+369</f>
        <v>2419</v>
      </c>
      <c r="G338" s="50"/>
      <c r="H338" s="107">
        <v>44852</v>
      </c>
      <c r="I338" s="144">
        <v>35</v>
      </c>
      <c r="J338" s="104">
        <f>2050+369</f>
        <v>2419</v>
      </c>
      <c r="K338" s="108">
        <f t="shared" si="31"/>
        <v>84665</v>
      </c>
      <c r="L338" s="103">
        <v>1</v>
      </c>
      <c r="M338" s="141">
        <f t="shared" si="29"/>
        <v>34</v>
      </c>
      <c r="N338" s="103"/>
      <c r="O338" s="103" t="s">
        <v>946</v>
      </c>
      <c r="P338" s="137">
        <f t="shared" si="27"/>
        <v>82246</v>
      </c>
    </row>
    <row r="339" spans="1:16" s="92" customFormat="1" x14ac:dyDescent="0.3">
      <c r="A339" s="113" t="s">
        <v>984</v>
      </c>
      <c r="B339" s="107">
        <v>44852</v>
      </c>
      <c r="C339" s="25" t="s">
        <v>969</v>
      </c>
      <c r="D339" s="25" t="s">
        <v>1122</v>
      </c>
      <c r="E339" s="38"/>
      <c r="F339" s="132">
        <f>3737+672.66</f>
        <v>4409.66</v>
      </c>
      <c r="G339" s="50"/>
      <c r="H339" s="107">
        <v>44852</v>
      </c>
      <c r="I339" s="144">
        <v>5</v>
      </c>
      <c r="J339" s="104">
        <f>3737+672.66</f>
        <v>4409.66</v>
      </c>
      <c r="K339" s="108">
        <f t="shared" si="31"/>
        <v>22048.3</v>
      </c>
      <c r="L339" s="103"/>
      <c r="M339" s="141">
        <f t="shared" si="29"/>
        <v>5</v>
      </c>
      <c r="N339" s="103"/>
      <c r="O339" s="103" t="s">
        <v>946</v>
      </c>
      <c r="P339" s="137">
        <f t="shared" si="27"/>
        <v>22048.3</v>
      </c>
    </row>
    <row r="340" spans="1:16" s="92" customFormat="1" x14ac:dyDescent="0.3">
      <c r="A340" s="113" t="s">
        <v>985</v>
      </c>
      <c r="B340" s="107">
        <v>44862</v>
      </c>
      <c r="C340" s="25" t="s">
        <v>994</v>
      </c>
      <c r="D340" s="25" t="s">
        <v>1122</v>
      </c>
      <c r="E340" s="38"/>
      <c r="F340" s="132">
        <f>8750+1575</f>
        <v>10325</v>
      </c>
      <c r="G340" s="50"/>
      <c r="H340" s="107">
        <v>44862</v>
      </c>
      <c r="I340" s="144">
        <v>40</v>
      </c>
      <c r="J340" s="104">
        <f>8750+1575</f>
        <v>10325</v>
      </c>
      <c r="K340" s="108">
        <f t="shared" si="31"/>
        <v>413000</v>
      </c>
      <c r="L340" s="103">
        <v>17</v>
      </c>
      <c r="M340" s="141">
        <f t="shared" si="29"/>
        <v>23</v>
      </c>
      <c r="N340" s="103"/>
      <c r="O340" s="103" t="s">
        <v>946</v>
      </c>
      <c r="P340" s="137">
        <f t="shared" si="27"/>
        <v>237475</v>
      </c>
    </row>
    <row r="341" spans="1:16" s="92" customFormat="1" x14ac:dyDescent="0.3">
      <c r="A341" s="113" t="s">
        <v>986</v>
      </c>
      <c r="B341" s="107">
        <v>44862</v>
      </c>
      <c r="C341" s="25" t="s">
        <v>995</v>
      </c>
      <c r="D341" s="25" t="s">
        <v>1122</v>
      </c>
      <c r="E341" s="38"/>
      <c r="F341" s="132">
        <f>1311+235.98</f>
        <v>1546.98</v>
      </c>
      <c r="G341" s="50"/>
      <c r="H341" s="107">
        <v>44862</v>
      </c>
      <c r="I341" s="144">
        <v>4</v>
      </c>
      <c r="J341" s="104">
        <f>1311+235.98</f>
        <v>1546.98</v>
      </c>
      <c r="K341" s="108">
        <f t="shared" si="31"/>
        <v>6187.92</v>
      </c>
      <c r="L341" s="103"/>
      <c r="M341" s="141">
        <f t="shared" si="29"/>
        <v>4</v>
      </c>
      <c r="N341" s="103"/>
      <c r="O341" s="103" t="s">
        <v>946</v>
      </c>
      <c r="P341" s="137">
        <f t="shared" si="27"/>
        <v>6187.92</v>
      </c>
    </row>
    <row r="342" spans="1:16" s="92" customFormat="1" x14ac:dyDescent="0.3">
      <c r="A342" s="113" t="s">
        <v>987</v>
      </c>
      <c r="B342" s="103"/>
      <c r="C342" s="25" t="s">
        <v>295</v>
      </c>
      <c r="D342" s="25" t="s">
        <v>1122</v>
      </c>
      <c r="E342" s="38"/>
      <c r="F342" s="132"/>
      <c r="G342" s="50"/>
      <c r="H342" s="103"/>
      <c r="I342" s="144"/>
      <c r="J342" s="104"/>
      <c r="K342" s="108">
        <f t="shared" si="31"/>
        <v>0</v>
      </c>
      <c r="L342" s="103">
        <v>1</v>
      </c>
      <c r="M342" s="141">
        <f t="shared" si="29"/>
        <v>-1</v>
      </c>
      <c r="N342" s="103"/>
      <c r="O342" s="103" t="s">
        <v>946</v>
      </c>
      <c r="P342" s="137">
        <f t="shared" si="27"/>
        <v>0</v>
      </c>
    </row>
    <row r="343" spans="1:16" s="92" customFormat="1" x14ac:dyDescent="0.3">
      <c r="A343" s="113" t="s">
        <v>988</v>
      </c>
      <c r="B343" s="107">
        <v>45020</v>
      </c>
      <c r="C343" s="25" t="s">
        <v>970</v>
      </c>
      <c r="D343" s="25" t="s">
        <v>1122</v>
      </c>
      <c r="E343" s="38"/>
      <c r="F343" s="132">
        <v>4012</v>
      </c>
      <c r="G343" s="50"/>
      <c r="H343" s="107">
        <v>45020</v>
      </c>
      <c r="I343" s="144">
        <v>2</v>
      </c>
      <c r="J343" s="104">
        <v>4012</v>
      </c>
      <c r="K343" s="108">
        <f t="shared" si="31"/>
        <v>8024</v>
      </c>
      <c r="L343" s="103">
        <v>5</v>
      </c>
      <c r="M343" s="141">
        <f t="shared" si="29"/>
        <v>-3</v>
      </c>
      <c r="N343" s="103"/>
      <c r="O343" s="103" t="s">
        <v>946</v>
      </c>
      <c r="P343" s="137">
        <f t="shared" si="27"/>
        <v>-12036</v>
      </c>
    </row>
    <row r="344" spans="1:16" s="92" customFormat="1" x14ac:dyDescent="0.3">
      <c r="A344" s="113" t="s">
        <v>989</v>
      </c>
      <c r="B344" s="107">
        <v>44903</v>
      </c>
      <c r="C344" s="25" t="s">
        <v>971</v>
      </c>
      <c r="D344" s="25" t="s">
        <v>1122</v>
      </c>
      <c r="E344" s="38"/>
      <c r="F344" s="132">
        <v>118.15</v>
      </c>
      <c r="G344" s="50"/>
      <c r="H344" s="107">
        <v>44903</v>
      </c>
      <c r="I344" s="144">
        <f>2*12</f>
        <v>24</v>
      </c>
      <c r="J344" s="104">
        <v>118.15</v>
      </c>
      <c r="K344" s="108">
        <f t="shared" si="31"/>
        <v>2835.6000000000004</v>
      </c>
      <c r="L344" s="103">
        <f>3+3</f>
        <v>6</v>
      </c>
      <c r="M344" s="141">
        <f t="shared" si="29"/>
        <v>18</v>
      </c>
      <c r="N344" s="103"/>
      <c r="O344" s="103" t="s">
        <v>946</v>
      </c>
      <c r="P344" s="137">
        <f t="shared" si="27"/>
        <v>2126.7000000000003</v>
      </c>
    </row>
    <row r="345" spans="1:16" s="92" customFormat="1" ht="32.25" x14ac:dyDescent="0.3">
      <c r="A345" s="113" t="s">
        <v>990</v>
      </c>
      <c r="B345" s="107">
        <v>44851</v>
      </c>
      <c r="C345" s="123" t="s">
        <v>996</v>
      </c>
      <c r="D345" s="25" t="s">
        <v>1122</v>
      </c>
      <c r="E345" s="38"/>
      <c r="F345" s="132">
        <v>240.72</v>
      </c>
      <c r="G345" s="50"/>
      <c r="H345" s="107">
        <v>44851</v>
      </c>
      <c r="I345" s="144">
        <v>30</v>
      </c>
      <c r="J345" s="104">
        <v>240.72</v>
      </c>
      <c r="K345" s="108">
        <f t="shared" si="31"/>
        <v>7221.6</v>
      </c>
      <c r="L345" s="103"/>
      <c r="M345" s="141">
        <f t="shared" si="29"/>
        <v>30</v>
      </c>
      <c r="N345" s="121" t="s">
        <v>1006</v>
      </c>
      <c r="O345" s="103" t="s">
        <v>946</v>
      </c>
      <c r="P345" s="137">
        <f t="shared" ref="P345:P408" si="32">+F345*M345</f>
        <v>7221.6</v>
      </c>
    </row>
    <row r="346" spans="1:16" s="92" customFormat="1" ht="32.25" x14ac:dyDescent="0.3">
      <c r="A346" s="113" t="s">
        <v>991</v>
      </c>
      <c r="B346" s="107">
        <v>44851</v>
      </c>
      <c r="C346" s="25" t="s">
        <v>997</v>
      </c>
      <c r="D346" s="25" t="s">
        <v>1122</v>
      </c>
      <c r="E346" s="38"/>
      <c r="F346" s="132">
        <v>40.119999999999997</v>
      </c>
      <c r="G346" s="50"/>
      <c r="H346" s="107">
        <v>44851</v>
      </c>
      <c r="I346" s="144">
        <v>10</v>
      </c>
      <c r="J346" s="104">
        <v>40.119999999999997</v>
      </c>
      <c r="K346" s="108">
        <f>+I346*J346</f>
        <v>401.2</v>
      </c>
      <c r="L346" s="103"/>
      <c r="M346" s="141">
        <f t="shared" si="29"/>
        <v>10</v>
      </c>
      <c r="N346" s="121" t="s">
        <v>1006</v>
      </c>
      <c r="O346" s="103" t="s">
        <v>946</v>
      </c>
      <c r="P346" s="137">
        <f t="shared" si="32"/>
        <v>401.2</v>
      </c>
    </row>
    <row r="347" spans="1:16" s="92" customFormat="1" ht="32.25" x14ac:dyDescent="0.3">
      <c r="A347" s="113" t="s">
        <v>992</v>
      </c>
      <c r="B347" s="107">
        <v>44851</v>
      </c>
      <c r="C347" s="25" t="s">
        <v>998</v>
      </c>
      <c r="D347" s="25" t="s">
        <v>1122</v>
      </c>
      <c r="E347" s="38"/>
      <c r="F347" s="132">
        <v>141.6</v>
      </c>
      <c r="G347" s="50"/>
      <c r="H347" s="107">
        <v>44851</v>
      </c>
      <c r="I347" s="144">
        <v>25</v>
      </c>
      <c r="J347" s="104">
        <v>141.6</v>
      </c>
      <c r="K347" s="108">
        <f t="shared" ref="K347:K365" si="33">+I347*J347</f>
        <v>3540</v>
      </c>
      <c r="L347" s="103"/>
      <c r="M347" s="141">
        <f t="shared" si="29"/>
        <v>25</v>
      </c>
      <c r="N347" s="121" t="s">
        <v>1006</v>
      </c>
      <c r="O347" s="103" t="s">
        <v>946</v>
      </c>
      <c r="P347" s="137">
        <f t="shared" si="32"/>
        <v>3540</v>
      </c>
    </row>
    <row r="348" spans="1:16" s="92" customFormat="1" ht="32.25" x14ac:dyDescent="0.3">
      <c r="A348" s="113" t="s">
        <v>993</v>
      </c>
      <c r="B348" s="107">
        <v>44851</v>
      </c>
      <c r="C348" s="25" t="s">
        <v>999</v>
      </c>
      <c r="D348" s="25" t="s">
        <v>1122</v>
      </c>
      <c r="E348" s="38"/>
      <c r="F348" s="132">
        <v>1443.73</v>
      </c>
      <c r="G348" s="50"/>
      <c r="H348" s="107">
        <v>44851</v>
      </c>
      <c r="I348" s="144">
        <v>4</v>
      </c>
      <c r="J348" s="104">
        <v>1443.73</v>
      </c>
      <c r="K348" s="104">
        <f t="shared" si="33"/>
        <v>5774.92</v>
      </c>
      <c r="L348" s="103"/>
      <c r="M348" s="141">
        <f t="shared" si="29"/>
        <v>4</v>
      </c>
      <c r="N348" s="121" t="s">
        <v>1006</v>
      </c>
      <c r="O348" s="103" t="s">
        <v>946</v>
      </c>
      <c r="P348" s="137">
        <f t="shared" si="32"/>
        <v>5774.92</v>
      </c>
    </row>
    <row r="349" spans="1:16" s="92" customFormat="1" ht="32.25" x14ac:dyDescent="0.3">
      <c r="A349" s="113" t="s">
        <v>1015</v>
      </c>
      <c r="B349" s="107">
        <v>44851</v>
      </c>
      <c r="C349" s="25" t="s">
        <v>1000</v>
      </c>
      <c r="D349" s="25" t="s">
        <v>1122</v>
      </c>
      <c r="E349" s="38"/>
      <c r="F349" s="132">
        <v>1177.05</v>
      </c>
      <c r="G349" s="50"/>
      <c r="H349" s="107">
        <v>44851</v>
      </c>
      <c r="I349" s="144">
        <v>10</v>
      </c>
      <c r="J349" s="104">
        <v>1177.05</v>
      </c>
      <c r="K349" s="104">
        <f t="shared" si="33"/>
        <v>11770.5</v>
      </c>
      <c r="L349" s="103">
        <v>1</v>
      </c>
      <c r="M349" s="151">
        <f t="shared" si="29"/>
        <v>9</v>
      </c>
      <c r="N349" s="121" t="s">
        <v>1006</v>
      </c>
      <c r="O349" s="103" t="s">
        <v>946</v>
      </c>
      <c r="P349" s="137">
        <f t="shared" si="32"/>
        <v>10593.449999999999</v>
      </c>
    </row>
    <row r="350" spans="1:16" s="92" customFormat="1" ht="32.25" x14ac:dyDescent="0.3">
      <c r="A350" s="113" t="s">
        <v>1016</v>
      </c>
      <c r="B350" s="107">
        <v>44851</v>
      </c>
      <c r="C350" s="25" t="s">
        <v>1001</v>
      </c>
      <c r="D350" s="25" t="s">
        <v>1122</v>
      </c>
      <c r="E350" s="38"/>
      <c r="F350" s="132">
        <v>1330.45</v>
      </c>
      <c r="G350" s="50"/>
      <c r="H350" s="107">
        <v>44851</v>
      </c>
      <c r="I350" s="144">
        <v>4</v>
      </c>
      <c r="J350" s="104">
        <v>1330.45</v>
      </c>
      <c r="K350" s="104">
        <f t="shared" si="33"/>
        <v>5321.8</v>
      </c>
      <c r="L350" s="103"/>
      <c r="M350" s="141">
        <f t="shared" si="29"/>
        <v>4</v>
      </c>
      <c r="N350" s="121" t="s">
        <v>1006</v>
      </c>
      <c r="O350" s="103" t="s">
        <v>946</v>
      </c>
      <c r="P350" s="137">
        <f t="shared" si="32"/>
        <v>5321.8</v>
      </c>
    </row>
    <row r="351" spans="1:16" s="92" customFormat="1" ht="32.25" x14ac:dyDescent="0.3">
      <c r="A351" s="113" t="s">
        <v>1017</v>
      </c>
      <c r="B351" s="107">
        <v>44851</v>
      </c>
      <c r="C351" s="25" t="s">
        <v>1002</v>
      </c>
      <c r="D351" s="25" t="s">
        <v>1122</v>
      </c>
      <c r="E351" s="38"/>
      <c r="F351" s="132">
        <v>676.14</v>
      </c>
      <c r="G351" s="50"/>
      <c r="H351" s="107">
        <v>44851</v>
      </c>
      <c r="I351" s="144">
        <v>4</v>
      </c>
      <c r="J351" s="104">
        <v>676.14</v>
      </c>
      <c r="K351" s="104">
        <f t="shared" si="33"/>
        <v>2704.56</v>
      </c>
      <c r="L351" s="103"/>
      <c r="M351" s="141">
        <f t="shared" si="29"/>
        <v>4</v>
      </c>
      <c r="N351" s="121" t="s">
        <v>1006</v>
      </c>
      <c r="O351" s="103" t="s">
        <v>946</v>
      </c>
      <c r="P351" s="137">
        <f t="shared" si="32"/>
        <v>2704.56</v>
      </c>
    </row>
    <row r="352" spans="1:16" s="92" customFormat="1" ht="32.25" x14ac:dyDescent="0.3">
      <c r="A352" s="113" t="s">
        <v>1018</v>
      </c>
      <c r="B352" s="107">
        <v>44851</v>
      </c>
      <c r="C352" s="25" t="s">
        <v>1003</v>
      </c>
      <c r="D352" s="25" t="s">
        <v>1122</v>
      </c>
      <c r="E352" s="38"/>
      <c r="F352" s="132">
        <v>693.84</v>
      </c>
      <c r="G352" s="50"/>
      <c r="H352" s="107">
        <v>44851</v>
      </c>
      <c r="I352" s="144">
        <v>4</v>
      </c>
      <c r="J352" s="104">
        <v>693.84</v>
      </c>
      <c r="K352" s="104">
        <f t="shared" si="33"/>
        <v>2775.36</v>
      </c>
      <c r="L352" s="103"/>
      <c r="M352" s="141">
        <f t="shared" si="29"/>
        <v>4</v>
      </c>
      <c r="N352" s="121" t="s">
        <v>1006</v>
      </c>
      <c r="O352" s="103" t="s">
        <v>946</v>
      </c>
      <c r="P352" s="137">
        <f t="shared" si="32"/>
        <v>2775.36</v>
      </c>
    </row>
    <row r="353" spans="1:16" customFormat="1" ht="31.5" x14ac:dyDescent="0.25">
      <c r="A353" s="113" t="s">
        <v>1019</v>
      </c>
      <c r="B353" s="107">
        <v>44851</v>
      </c>
      <c r="C353" s="25" t="s">
        <v>1004</v>
      </c>
      <c r="D353" s="25" t="s">
        <v>1122</v>
      </c>
      <c r="E353" s="38"/>
      <c r="F353" s="132">
        <v>1632.53</v>
      </c>
      <c r="G353" s="50"/>
      <c r="H353" s="107">
        <v>44851</v>
      </c>
      <c r="I353" s="144">
        <v>4</v>
      </c>
      <c r="J353" s="104">
        <v>1632.53</v>
      </c>
      <c r="K353" s="104">
        <f t="shared" si="33"/>
        <v>6530.12</v>
      </c>
      <c r="L353" s="117"/>
      <c r="M353" s="141">
        <f t="shared" si="29"/>
        <v>4</v>
      </c>
      <c r="N353" s="121" t="s">
        <v>1006</v>
      </c>
      <c r="O353" s="117" t="s">
        <v>946</v>
      </c>
      <c r="P353" s="137">
        <f t="shared" si="32"/>
        <v>6530.12</v>
      </c>
    </row>
    <row r="354" spans="1:16" s="2" customFormat="1" ht="31.5" x14ac:dyDescent="0.25">
      <c r="A354" s="113" t="s">
        <v>1020</v>
      </c>
      <c r="B354" s="107">
        <v>44851</v>
      </c>
      <c r="C354" s="25" t="s">
        <v>1005</v>
      </c>
      <c r="D354" s="25" t="s">
        <v>1122</v>
      </c>
      <c r="E354" s="38"/>
      <c r="F354" s="132">
        <v>3268.6</v>
      </c>
      <c r="G354" s="50"/>
      <c r="H354" s="107">
        <v>44851</v>
      </c>
      <c r="I354" s="144">
        <v>1</v>
      </c>
      <c r="J354" s="104">
        <v>3268.6</v>
      </c>
      <c r="K354" s="104">
        <f t="shared" si="33"/>
        <v>3268.6</v>
      </c>
      <c r="L354" s="117"/>
      <c r="M354" s="141">
        <f t="shared" si="29"/>
        <v>1</v>
      </c>
      <c r="N354" s="121" t="s">
        <v>1006</v>
      </c>
      <c r="O354" s="117" t="s">
        <v>946</v>
      </c>
      <c r="P354" s="137">
        <f t="shared" si="32"/>
        <v>3268.6</v>
      </c>
    </row>
    <row r="355" spans="1:16" ht="32.25" x14ac:dyDescent="0.3">
      <c r="A355" s="113" t="s">
        <v>1021</v>
      </c>
      <c r="B355" s="107">
        <v>44851</v>
      </c>
      <c r="C355" s="25" t="s">
        <v>1007</v>
      </c>
      <c r="D355" s="25" t="s">
        <v>1122</v>
      </c>
      <c r="E355" s="38"/>
      <c r="F355" s="132">
        <v>3908.16</v>
      </c>
      <c r="G355" s="50"/>
      <c r="H355" s="107">
        <v>44851</v>
      </c>
      <c r="I355" s="144">
        <v>15</v>
      </c>
      <c r="J355" s="104">
        <v>3908.16</v>
      </c>
      <c r="K355" s="104">
        <f t="shared" si="33"/>
        <v>58622.399999999994</v>
      </c>
      <c r="L355" s="117"/>
      <c r="M355" s="141">
        <f t="shared" si="29"/>
        <v>15</v>
      </c>
      <c r="N355" s="121" t="s">
        <v>1006</v>
      </c>
      <c r="O355" s="117" t="s">
        <v>946</v>
      </c>
      <c r="P355" s="137">
        <f t="shared" si="32"/>
        <v>58622.399999999994</v>
      </c>
    </row>
    <row r="356" spans="1:16" ht="23.25" customHeight="1" x14ac:dyDescent="0.3">
      <c r="A356" s="113" t="s">
        <v>1022</v>
      </c>
      <c r="B356" s="107">
        <v>44851</v>
      </c>
      <c r="C356" s="25" t="s">
        <v>1008</v>
      </c>
      <c r="D356" s="25" t="s">
        <v>1122</v>
      </c>
      <c r="E356" s="38"/>
      <c r="F356" s="132">
        <v>1711</v>
      </c>
      <c r="G356" s="50"/>
      <c r="H356" s="107">
        <v>44851</v>
      </c>
      <c r="I356" s="144">
        <v>20</v>
      </c>
      <c r="J356" s="104">
        <v>1711</v>
      </c>
      <c r="K356" s="104">
        <f t="shared" si="33"/>
        <v>34220</v>
      </c>
      <c r="L356" s="117">
        <v>1</v>
      </c>
      <c r="M356" s="141">
        <f t="shared" si="29"/>
        <v>19</v>
      </c>
      <c r="N356" s="121" t="s">
        <v>1006</v>
      </c>
      <c r="O356" s="117" t="s">
        <v>946</v>
      </c>
      <c r="P356" s="137">
        <f t="shared" si="32"/>
        <v>32509</v>
      </c>
    </row>
    <row r="357" spans="1:16" ht="32.25" x14ac:dyDescent="0.3">
      <c r="A357" s="113" t="s">
        <v>1023</v>
      </c>
      <c r="B357" s="107">
        <v>44851</v>
      </c>
      <c r="C357" s="25" t="s">
        <v>1009</v>
      </c>
      <c r="D357" s="25" t="s">
        <v>1122</v>
      </c>
      <c r="E357" s="38"/>
      <c r="F357" s="132">
        <v>1165.8399999999999</v>
      </c>
      <c r="G357" s="50"/>
      <c r="H357" s="107">
        <v>44851</v>
      </c>
      <c r="I357" s="144">
        <v>5</v>
      </c>
      <c r="J357" s="104">
        <v>1165.8399999999999</v>
      </c>
      <c r="K357" s="104">
        <f t="shared" si="33"/>
        <v>5829.2</v>
      </c>
      <c r="L357" s="117"/>
      <c r="M357" s="141">
        <f t="shared" si="29"/>
        <v>5</v>
      </c>
      <c r="N357" s="121" t="s">
        <v>1006</v>
      </c>
      <c r="O357" s="117" t="s">
        <v>946</v>
      </c>
      <c r="P357" s="137">
        <f t="shared" si="32"/>
        <v>5829.2</v>
      </c>
    </row>
    <row r="358" spans="1:16" ht="23.25" customHeight="1" x14ac:dyDescent="0.3">
      <c r="A358" s="113" t="s">
        <v>1024</v>
      </c>
      <c r="B358" s="107">
        <v>44851</v>
      </c>
      <c r="C358" s="25" t="s">
        <v>1010</v>
      </c>
      <c r="D358" s="25" t="s">
        <v>1122</v>
      </c>
      <c r="E358" s="38"/>
      <c r="F358" s="132">
        <v>4399.04</v>
      </c>
      <c r="G358" s="50"/>
      <c r="H358" s="107">
        <v>44851</v>
      </c>
      <c r="I358" s="144">
        <v>5</v>
      </c>
      <c r="J358" s="104">
        <v>4399.04</v>
      </c>
      <c r="K358" s="104">
        <f t="shared" si="33"/>
        <v>21995.200000000001</v>
      </c>
      <c r="L358" s="117"/>
      <c r="M358" s="141">
        <f t="shared" si="29"/>
        <v>5</v>
      </c>
      <c r="N358" s="121" t="s">
        <v>1006</v>
      </c>
      <c r="O358" s="117" t="s">
        <v>946</v>
      </c>
      <c r="P358" s="137">
        <f t="shared" si="32"/>
        <v>21995.200000000001</v>
      </c>
    </row>
    <row r="359" spans="1:16" ht="32.25" x14ac:dyDescent="0.3">
      <c r="A359" s="113" t="s">
        <v>1025</v>
      </c>
      <c r="B359" s="107">
        <v>44851</v>
      </c>
      <c r="C359" s="25" t="s">
        <v>1011</v>
      </c>
      <c r="D359" s="25" t="s">
        <v>1122</v>
      </c>
      <c r="E359" s="38"/>
      <c r="F359" s="132">
        <v>4399.04</v>
      </c>
      <c r="G359" s="50"/>
      <c r="H359" s="107">
        <v>44851</v>
      </c>
      <c r="I359" s="144">
        <v>5</v>
      </c>
      <c r="J359" s="118">
        <v>4399.04</v>
      </c>
      <c r="K359" s="118">
        <f t="shared" si="33"/>
        <v>21995.200000000001</v>
      </c>
      <c r="L359" s="117"/>
      <c r="M359" s="141">
        <f t="shared" si="29"/>
        <v>5</v>
      </c>
      <c r="N359" s="121" t="s">
        <v>1006</v>
      </c>
      <c r="O359" s="117" t="s">
        <v>946</v>
      </c>
      <c r="P359" s="137">
        <f t="shared" si="32"/>
        <v>21995.200000000001</v>
      </c>
    </row>
    <row r="360" spans="1:16" ht="32.25" x14ac:dyDescent="0.3">
      <c r="A360" s="113" t="s">
        <v>1026</v>
      </c>
      <c r="B360" s="107">
        <v>44851</v>
      </c>
      <c r="C360" s="25" t="s">
        <v>1012</v>
      </c>
      <c r="D360" s="25" t="s">
        <v>1122</v>
      </c>
      <c r="E360" s="38"/>
      <c r="F360" s="132">
        <v>4399.04</v>
      </c>
      <c r="G360" s="50"/>
      <c r="H360" s="107">
        <v>44851</v>
      </c>
      <c r="I360" s="144">
        <v>5</v>
      </c>
      <c r="J360" s="118">
        <v>4399.04</v>
      </c>
      <c r="K360" s="118">
        <f t="shared" si="33"/>
        <v>21995.200000000001</v>
      </c>
      <c r="L360" s="117"/>
      <c r="M360" s="141">
        <f t="shared" si="29"/>
        <v>5</v>
      </c>
      <c r="N360" s="121" t="s">
        <v>1006</v>
      </c>
      <c r="O360" s="117" t="s">
        <v>946</v>
      </c>
      <c r="P360" s="137">
        <f t="shared" si="32"/>
        <v>21995.200000000001</v>
      </c>
    </row>
    <row r="361" spans="1:16" ht="32.25" x14ac:dyDescent="0.3">
      <c r="A361" s="113" t="s">
        <v>1027</v>
      </c>
      <c r="B361" s="107">
        <v>44851</v>
      </c>
      <c r="C361" s="25" t="s">
        <v>1013</v>
      </c>
      <c r="D361" s="25" t="s">
        <v>1122</v>
      </c>
      <c r="E361" s="38"/>
      <c r="F361" s="132">
        <v>1869.12</v>
      </c>
      <c r="G361" s="50"/>
      <c r="H361" s="107">
        <v>44851</v>
      </c>
      <c r="I361" s="144">
        <v>12</v>
      </c>
      <c r="J361" s="118">
        <v>1869.12</v>
      </c>
      <c r="K361" s="118">
        <f t="shared" si="33"/>
        <v>22429.439999999999</v>
      </c>
      <c r="L361" s="117"/>
      <c r="M361" s="141">
        <f t="shared" si="29"/>
        <v>12</v>
      </c>
      <c r="N361" s="121" t="s">
        <v>1006</v>
      </c>
      <c r="O361" s="117" t="s">
        <v>946</v>
      </c>
      <c r="P361" s="137">
        <f t="shared" si="32"/>
        <v>22429.439999999999</v>
      </c>
    </row>
    <row r="362" spans="1:16" ht="32.25" x14ac:dyDescent="0.3">
      <c r="A362" s="113" t="s">
        <v>1028</v>
      </c>
      <c r="B362" s="107">
        <v>44851</v>
      </c>
      <c r="C362" s="25" t="s">
        <v>1014</v>
      </c>
      <c r="D362" s="25" t="s">
        <v>1122</v>
      </c>
      <c r="E362" s="38"/>
      <c r="F362" s="132">
        <v>41.3</v>
      </c>
      <c r="G362" s="50"/>
      <c r="H362" s="107">
        <v>44851</v>
      </c>
      <c r="I362" s="144">
        <v>30</v>
      </c>
      <c r="J362" s="118">
        <v>41.3</v>
      </c>
      <c r="K362" s="118">
        <f t="shared" si="33"/>
        <v>1239</v>
      </c>
      <c r="L362" s="117"/>
      <c r="M362" s="141">
        <f t="shared" si="29"/>
        <v>30</v>
      </c>
      <c r="N362" s="121" t="s">
        <v>1006</v>
      </c>
      <c r="O362" s="117" t="s">
        <v>946</v>
      </c>
      <c r="P362" s="137">
        <f t="shared" si="32"/>
        <v>1239</v>
      </c>
    </row>
    <row r="363" spans="1:16" s="105" customFormat="1" ht="15.75" x14ac:dyDescent="0.25">
      <c r="A363" s="113" t="s">
        <v>1029</v>
      </c>
      <c r="B363" s="107">
        <v>44852</v>
      </c>
      <c r="C363" s="25" t="s">
        <v>1038</v>
      </c>
      <c r="D363" s="25" t="s">
        <v>1122</v>
      </c>
      <c r="E363" s="38"/>
      <c r="F363" s="132">
        <v>18.77</v>
      </c>
      <c r="G363" s="50"/>
      <c r="H363" s="107">
        <v>44852</v>
      </c>
      <c r="I363" s="144">
        <v>10</v>
      </c>
      <c r="J363" s="104">
        <v>18.77</v>
      </c>
      <c r="K363" s="104">
        <f t="shared" si="33"/>
        <v>187.7</v>
      </c>
      <c r="L363" s="103"/>
      <c r="M363" s="141">
        <f t="shared" si="29"/>
        <v>10</v>
      </c>
      <c r="N363" s="121" t="s">
        <v>1037</v>
      </c>
      <c r="O363" s="103" t="s">
        <v>947</v>
      </c>
      <c r="P363" s="137">
        <f t="shared" si="32"/>
        <v>187.7</v>
      </c>
    </row>
    <row r="364" spans="1:16" s="105" customFormat="1" ht="15.75" x14ac:dyDescent="0.25">
      <c r="A364" s="113" t="s">
        <v>1030</v>
      </c>
      <c r="B364" s="107">
        <v>44852</v>
      </c>
      <c r="C364" s="25" t="s">
        <v>1041</v>
      </c>
      <c r="D364" s="25" t="s">
        <v>1122</v>
      </c>
      <c r="E364" s="38">
        <v>56</v>
      </c>
      <c r="F364" s="132">
        <v>44.55</v>
      </c>
      <c r="G364" s="50"/>
      <c r="H364" s="107">
        <v>44852</v>
      </c>
      <c r="I364" s="144">
        <v>40</v>
      </c>
      <c r="J364" s="104">
        <v>44.55</v>
      </c>
      <c r="K364" s="104">
        <f t="shared" si="33"/>
        <v>1782</v>
      </c>
      <c r="L364" s="103">
        <v>4</v>
      </c>
      <c r="M364" s="151">
        <f>+E364+I364-L364</f>
        <v>92</v>
      </c>
      <c r="N364" s="121" t="s">
        <v>1037</v>
      </c>
      <c r="O364" s="103" t="s">
        <v>947</v>
      </c>
      <c r="P364" s="137">
        <f t="shared" si="32"/>
        <v>4098.5999999999995</v>
      </c>
    </row>
    <row r="365" spans="1:16" s="105" customFormat="1" ht="15.75" x14ac:dyDescent="0.25">
      <c r="A365" s="113" t="s">
        <v>1031</v>
      </c>
      <c r="B365" s="107">
        <v>44851</v>
      </c>
      <c r="C365" s="25" t="s">
        <v>1042</v>
      </c>
      <c r="D365" s="25" t="s">
        <v>1122</v>
      </c>
      <c r="E365" s="38">
        <v>1</v>
      </c>
      <c r="F365" s="132">
        <v>650</v>
      </c>
      <c r="G365" s="50"/>
      <c r="H365" s="107">
        <v>44851</v>
      </c>
      <c r="I365" s="144">
        <v>2</v>
      </c>
      <c r="J365" s="104">
        <v>650</v>
      </c>
      <c r="K365" s="104">
        <f t="shared" si="33"/>
        <v>1300</v>
      </c>
      <c r="L365" s="103"/>
      <c r="M365" s="151">
        <f t="shared" si="29"/>
        <v>3</v>
      </c>
      <c r="N365" s="121" t="s">
        <v>1037</v>
      </c>
      <c r="O365" s="103" t="s">
        <v>947</v>
      </c>
      <c r="P365" s="137">
        <f t="shared" si="32"/>
        <v>1950</v>
      </c>
    </row>
    <row r="366" spans="1:16" s="105" customFormat="1" ht="15.75" x14ac:dyDescent="0.25">
      <c r="A366" s="113" t="s">
        <v>1032</v>
      </c>
      <c r="B366" s="107">
        <v>44852</v>
      </c>
      <c r="C366" s="25" t="s">
        <v>1043</v>
      </c>
      <c r="D366" s="25" t="s">
        <v>1122</v>
      </c>
      <c r="E366" s="38"/>
      <c r="F366" s="132">
        <v>27</v>
      </c>
      <c r="G366" s="50"/>
      <c r="H366" s="107">
        <v>44852</v>
      </c>
      <c r="I366" s="144">
        <f>10*12</f>
        <v>120</v>
      </c>
      <c r="J366" s="104">
        <v>27</v>
      </c>
      <c r="K366" s="104">
        <f>+J366*I366</f>
        <v>3240</v>
      </c>
      <c r="L366" s="103">
        <v>72</v>
      </c>
      <c r="M366" s="151">
        <f t="shared" si="29"/>
        <v>48</v>
      </c>
      <c r="N366" s="121" t="s">
        <v>1037</v>
      </c>
      <c r="O366" s="103" t="s">
        <v>947</v>
      </c>
      <c r="P366" s="137">
        <f t="shared" si="32"/>
        <v>1296</v>
      </c>
    </row>
    <row r="367" spans="1:16" s="105" customFormat="1" ht="15.75" x14ac:dyDescent="0.25">
      <c r="A367" s="113" t="s">
        <v>1033</v>
      </c>
      <c r="B367" s="107">
        <v>44852</v>
      </c>
      <c r="C367" s="25" t="s">
        <v>1044</v>
      </c>
      <c r="D367" s="25" t="s">
        <v>1122</v>
      </c>
      <c r="E367" s="38"/>
      <c r="F367" s="132">
        <v>45.89</v>
      </c>
      <c r="G367" s="50"/>
      <c r="H367" s="107">
        <v>44852</v>
      </c>
      <c r="I367" s="144">
        <v>120</v>
      </c>
      <c r="J367" s="104">
        <v>45.89</v>
      </c>
      <c r="K367" s="104">
        <f>+J367*I367</f>
        <v>5506.8</v>
      </c>
      <c r="L367" s="103">
        <v>72</v>
      </c>
      <c r="M367" s="151">
        <f t="shared" si="29"/>
        <v>48</v>
      </c>
      <c r="N367" s="121" t="s">
        <v>1037</v>
      </c>
      <c r="O367" s="103" t="s">
        <v>947</v>
      </c>
      <c r="P367" s="137">
        <f t="shared" si="32"/>
        <v>2202.7200000000003</v>
      </c>
    </row>
    <row r="368" spans="1:16" s="105" customFormat="1" ht="15.75" x14ac:dyDescent="0.25">
      <c r="A368" s="113" t="s">
        <v>1034</v>
      </c>
      <c r="B368" s="107">
        <v>44852</v>
      </c>
      <c r="C368" s="25" t="s">
        <v>1045</v>
      </c>
      <c r="D368" s="25" t="s">
        <v>1122</v>
      </c>
      <c r="E368" s="38"/>
      <c r="F368" s="132">
        <v>51.33</v>
      </c>
      <c r="G368" s="50"/>
      <c r="H368" s="107">
        <v>44852</v>
      </c>
      <c r="I368" s="144">
        <v>120</v>
      </c>
      <c r="J368" s="104">
        <v>51.33</v>
      </c>
      <c r="K368" s="104">
        <f t="shared" ref="K368:K383" si="34">+J368*I368</f>
        <v>6159.5999999999995</v>
      </c>
      <c r="L368" s="103"/>
      <c r="M368" s="141">
        <f t="shared" ref="M368:M426" si="35">+E368+I368-L368</f>
        <v>120</v>
      </c>
      <c r="N368" s="121" t="s">
        <v>1037</v>
      </c>
      <c r="O368" s="103" t="s">
        <v>947</v>
      </c>
      <c r="P368" s="137">
        <f t="shared" si="32"/>
        <v>6159.5999999999995</v>
      </c>
    </row>
    <row r="369" spans="1:16" s="105" customFormat="1" ht="15.75" x14ac:dyDescent="0.25">
      <c r="A369" s="113" t="s">
        <v>1057</v>
      </c>
      <c r="B369" s="107">
        <v>44852</v>
      </c>
      <c r="C369" s="25" t="s">
        <v>1046</v>
      </c>
      <c r="D369" s="25" t="s">
        <v>1122</v>
      </c>
      <c r="E369" s="38"/>
      <c r="F369" s="132">
        <v>127.65</v>
      </c>
      <c r="G369" s="50"/>
      <c r="H369" s="107">
        <v>44852</v>
      </c>
      <c r="I369" s="144">
        <v>120</v>
      </c>
      <c r="J369" s="104">
        <v>127.65</v>
      </c>
      <c r="K369" s="104">
        <f t="shared" si="34"/>
        <v>15318</v>
      </c>
      <c r="L369" s="103"/>
      <c r="M369" s="141">
        <f t="shared" si="35"/>
        <v>120</v>
      </c>
      <c r="N369" s="121" t="s">
        <v>1037</v>
      </c>
      <c r="O369" s="103" t="s">
        <v>947</v>
      </c>
      <c r="P369" s="137">
        <f t="shared" si="32"/>
        <v>15318</v>
      </c>
    </row>
    <row r="370" spans="1:16" s="105" customFormat="1" ht="15.75" x14ac:dyDescent="0.25">
      <c r="A370" s="113" t="s">
        <v>1058</v>
      </c>
      <c r="B370" s="107">
        <v>44852</v>
      </c>
      <c r="C370" s="25" t="s">
        <v>1047</v>
      </c>
      <c r="D370" s="25" t="s">
        <v>1122</v>
      </c>
      <c r="E370" s="38"/>
      <c r="F370" s="132">
        <v>5442.16</v>
      </c>
      <c r="G370" s="50"/>
      <c r="H370" s="107">
        <v>44852</v>
      </c>
      <c r="I370" s="144">
        <v>5</v>
      </c>
      <c r="J370" s="104">
        <v>5442.16</v>
      </c>
      <c r="K370" s="104">
        <f t="shared" si="34"/>
        <v>27210.799999999999</v>
      </c>
      <c r="L370" s="103">
        <v>1</v>
      </c>
      <c r="M370" s="151">
        <f t="shared" si="35"/>
        <v>4</v>
      </c>
      <c r="N370" s="121" t="s">
        <v>1037</v>
      </c>
      <c r="O370" s="103" t="s">
        <v>947</v>
      </c>
      <c r="P370" s="137">
        <f t="shared" si="32"/>
        <v>21768.639999999999</v>
      </c>
    </row>
    <row r="371" spans="1:16" s="105" customFormat="1" ht="15.75" x14ac:dyDescent="0.25">
      <c r="A371" s="113" t="s">
        <v>1059</v>
      </c>
      <c r="B371" s="107">
        <v>44852</v>
      </c>
      <c r="C371" s="25" t="s">
        <v>1048</v>
      </c>
      <c r="D371" s="25" t="s">
        <v>1122</v>
      </c>
      <c r="E371" s="38"/>
      <c r="F371" s="132">
        <v>5330</v>
      </c>
      <c r="G371" s="50"/>
      <c r="H371" s="107">
        <v>44852</v>
      </c>
      <c r="I371" s="144">
        <v>1</v>
      </c>
      <c r="J371" s="104">
        <v>5330</v>
      </c>
      <c r="K371" s="104">
        <f t="shared" si="34"/>
        <v>5330</v>
      </c>
      <c r="L371" s="103">
        <v>1</v>
      </c>
      <c r="M371" s="141">
        <f t="shared" si="35"/>
        <v>0</v>
      </c>
      <c r="N371" s="121" t="s">
        <v>1037</v>
      </c>
      <c r="O371" s="103" t="s">
        <v>947</v>
      </c>
      <c r="P371" s="137">
        <f t="shared" si="32"/>
        <v>0</v>
      </c>
    </row>
    <row r="372" spans="1:16" s="105" customFormat="1" ht="15.75" x14ac:dyDescent="0.25">
      <c r="A372" s="113" t="s">
        <v>1060</v>
      </c>
      <c r="B372" s="107">
        <v>44852</v>
      </c>
      <c r="C372" s="25" t="s">
        <v>1049</v>
      </c>
      <c r="D372" s="25" t="s">
        <v>1122</v>
      </c>
      <c r="E372" s="38"/>
      <c r="F372" s="132">
        <v>678.24</v>
      </c>
      <c r="G372" s="50"/>
      <c r="H372" s="107">
        <v>44852</v>
      </c>
      <c r="I372" s="144">
        <v>5</v>
      </c>
      <c r="J372" s="104">
        <v>678.24</v>
      </c>
      <c r="K372" s="104">
        <f t="shared" si="34"/>
        <v>3391.2</v>
      </c>
      <c r="L372" s="103">
        <v>1</v>
      </c>
      <c r="M372" s="151">
        <f t="shared" si="35"/>
        <v>4</v>
      </c>
      <c r="N372" s="121" t="s">
        <v>1037</v>
      </c>
      <c r="O372" s="103" t="s">
        <v>947</v>
      </c>
      <c r="P372" s="137">
        <f t="shared" si="32"/>
        <v>2712.96</v>
      </c>
    </row>
    <row r="373" spans="1:16" s="105" customFormat="1" ht="15.75" x14ac:dyDescent="0.25">
      <c r="A373" s="113" t="s">
        <v>1061</v>
      </c>
      <c r="B373" s="107">
        <v>44852</v>
      </c>
      <c r="C373" s="25" t="s">
        <v>1050</v>
      </c>
      <c r="D373" s="25" t="s">
        <v>1122</v>
      </c>
      <c r="E373" s="38"/>
      <c r="F373" s="132">
        <v>678.24</v>
      </c>
      <c r="G373" s="50"/>
      <c r="H373" s="107">
        <v>44852</v>
      </c>
      <c r="I373" s="144">
        <v>5</v>
      </c>
      <c r="J373" s="104">
        <v>678.24</v>
      </c>
      <c r="K373" s="104">
        <f t="shared" si="34"/>
        <v>3391.2</v>
      </c>
      <c r="L373" s="103">
        <v>1</v>
      </c>
      <c r="M373" s="151">
        <f t="shared" si="35"/>
        <v>4</v>
      </c>
      <c r="N373" s="121" t="s">
        <v>1037</v>
      </c>
      <c r="O373" s="103" t="s">
        <v>947</v>
      </c>
      <c r="P373" s="137">
        <f t="shared" si="32"/>
        <v>2712.96</v>
      </c>
    </row>
    <row r="374" spans="1:16" s="105" customFormat="1" ht="15.75" x14ac:dyDescent="0.25">
      <c r="A374" s="113" t="s">
        <v>1062</v>
      </c>
      <c r="B374" s="107">
        <v>44852</v>
      </c>
      <c r="C374" s="25" t="s">
        <v>1051</v>
      </c>
      <c r="D374" s="25" t="s">
        <v>1122</v>
      </c>
      <c r="E374" s="38"/>
      <c r="F374" s="132">
        <v>511</v>
      </c>
      <c r="G374" s="50"/>
      <c r="H374" s="107">
        <v>44852</v>
      </c>
      <c r="I374" s="144">
        <v>3</v>
      </c>
      <c r="J374" s="104">
        <v>511</v>
      </c>
      <c r="K374" s="104">
        <f t="shared" si="34"/>
        <v>1533</v>
      </c>
      <c r="L374" s="103">
        <v>2</v>
      </c>
      <c r="M374" s="151">
        <f t="shared" si="35"/>
        <v>1</v>
      </c>
      <c r="N374" s="121" t="s">
        <v>1037</v>
      </c>
      <c r="O374" s="103" t="s">
        <v>947</v>
      </c>
      <c r="P374" s="137">
        <f t="shared" si="32"/>
        <v>511</v>
      </c>
    </row>
    <row r="375" spans="1:16" s="105" customFormat="1" ht="15.75" x14ac:dyDescent="0.25">
      <c r="A375" s="113" t="s">
        <v>1063</v>
      </c>
      <c r="B375" s="107">
        <v>44852</v>
      </c>
      <c r="C375" s="25" t="s">
        <v>1052</v>
      </c>
      <c r="D375" s="25" t="s">
        <v>1122</v>
      </c>
      <c r="E375" s="38"/>
      <c r="F375" s="132">
        <v>511</v>
      </c>
      <c r="G375" s="50"/>
      <c r="H375" s="107">
        <v>44852</v>
      </c>
      <c r="I375" s="144">
        <v>3</v>
      </c>
      <c r="J375" s="104">
        <v>511</v>
      </c>
      <c r="K375" s="104">
        <f t="shared" si="34"/>
        <v>1533</v>
      </c>
      <c r="L375" s="103"/>
      <c r="M375" s="141">
        <f t="shared" si="35"/>
        <v>3</v>
      </c>
      <c r="N375" s="121" t="s">
        <v>1037</v>
      </c>
      <c r="O375" s="103" t="s">
        <v>947</v>
      </c>
      <c r="P375" s="137">
        <f t="shared" si="32"/>
        <v>1533</v>
      </c>
    </row>
    <row r="376" spans="1:16" s="105" customFormat="1" ht="15.75" x14ac:dyDescent="0.25">
      <c r="A376" s="113" t="s">
        <v>1064</v>
      </c>
      <c r="B376" s="107">
        <v>44852</v>
      </c>
      <c r="C376" s="25" t="s">
        <v>1053</v>
      </c>
      <c r="D376" s="25" t="s">
        <v>1122</v>
      </c>
      <c r="E376" s="38"/>
      <c r="F376" s="132">
        <v>511</v>
      </c>
      <c r="G376" s="50"/>
      <c r="H376" s="107">
        <v>44852</v>
      </c>
      <c r="I376" s="144">
        <v>3</v>
      </c>
      <c r="J376" s="104">
        <v>511</v>
      </c>
      <c r="K376" s="104">
        <f t="shared" si="34"/>
        <v>1533</v>
      </c>
      <c r="L376" s="103">
        <v>2</v>
      </c>
      <c r="M376" s="151">
        <f t="shared" si="35"/>
        <v>1</v>
      </c>
      <c r="N376" s="121" t="s">
        <v>1037</v>
      </c>
      <c r="O376" s="103" t="s">
        <v>947</v>
      </c>
      <c r="P376" s="137">
        <f t="shared" si="32"/>
        <v>511</v>
      </c>
    </row>
    <row r="377" spans="1:16" s="105" customFormat="1" ht="15.75" x14ac:dyDescent="0.25">
      <c r="A377" s="113" t="s">
        <v>1065</v>
      </c>
      <c r="B377" s="107">
        <v>44852</v>
      </c>
      <c r="C377" s="25" t="s">
        <v>1054</v>
      </c>
      <c r="D377" s="25" t="s">
        <v>1122</v>
      </c>
      <c r="E377" s="38"/>
      <c r="F377" s="132">
        <v>511</v>
      </c>
      <c r="G377" s="50"/>
      <c r="H377" s="107">
        <v>44852</v>
      </c>
      <c r="I377" s="144">
        <v>3</v>
      </c>
      <c r="J377" s="104">
        <v>511</v>
      </c>
      <c r="K377" s="104">
        <f t="shared" si="34"/>
        <v>1533</v>
      </c>
      <c r="L377" s="103">
        <v>1</v>
      </c>
      <c r="M377" s="151">
        <f t="shared" si="35"/>
        <v>2</v>
      </c>
      <c r="N377" s="121" t="s">
        <v>1037</v>
      </c>
      <c r="O377" s="103" t="s">
        <v>947</v>
      </c>
      <c r="P377" s="137">
        <f t="shared" si="32"/>
        <v>1022</v>
      </c>
    </row>
    <row r="378" spans="1:16" s="105" customFormat="1" ht="15.75" x14ac:dyDescent="0.25">
      <c r="A378" s="113" t="s">
        <v>1066</v>
      </c>
      <c r="B378" s="107">
        <v>44852</v>
      </c>
      <c r="C378" s="25" t="s">
        <v>1055</v>
      </c>
      <c r="D378" s="25" t="s">
        <v>1122</v>
      </c>
      <c r="E378" s="38">
        <v>32</v>
      </c>
      <c r="F378" s="132">
        <v>3.32</v>
      </c>
      <c r="G378" s="50"/>
      <c r="H378" s="107">
        <v>44852</v>
      </c>
      <c r="I378" s="144">
        <v>20</v>
      </c>
      <c r="J378" s="104">
        <v>3.32</v>
      </c>
      <c r="K378" s="104">
        <f t="shared" si="34"/>
        <v>66.399999999999991</v>
      </c>
      <c r="L378" s="103"/>
      <c r="M378" s="151">
        <f t="shared" si="35"/>
        <v>52</v>
      </c>
      <c r="N378" s="121" t="s">
        <v>1037</v>
      </c>
      <c r="O378" s="103" t="s">
        <v>947</v>
      </c>
      <c r="P378" s="137">
        <f t="shared" si="32"/>
        <v>172.64</v>
      </c>
    </row>
    <row r="379" spans="1:16" s="105" customFormat="1" ht="15.75" x14ac:dyDescent="0.25">
      <c r="A379" s="113" t="s">
        <v>1067</v>
      </c>
      <c r="B379" s="107">
        <v>44852</v>
      </c>
      <c r="C379" s="25" t="s">
        <v>1056</v>
      </c>
      <c r="D379" s="25" t="s">
        <v>1122</v>
      </c>
      <c r="E379" s="38"/>
      <c r="F379" s="132">
        <v>64.900000000000006</v>
      </c>
      <c r="G379" s="50"/>
      <c r="H379" s="107">
        <v>44852</v>
      </c>
      <c r="I379" s="144">
        <v>5</v>
      </c>
      <c r="J379" s="104">
        <v>64.900000000000006</v>
      </c>
      <c r="K379" s="104">
        <f t="shared" si="34"/>
        <v>324.5</v>
      </c>
      <c r="L379" s="103"/>
      <c r="M379" s="141">
        <f t="shared" si="35"/>
        <v>5</v>
      </c>
      <c r="N379" s="121" t="s">
        <v>1037</v>
      </c>
      <c r="O379" s="103" t="s">
        <v>947</v>
      </c>
      <c r="P379" s="137">
        <f t="shared" si="32"/>
        <v>324.5</v>
      </c>
    </row>
    <row r="380" spans="1:16" s="105" customFormat="1" ht="15.75" x14ac:dyDescent="0.25">
      <c r="A380" s="113" t="s">
        <v>1067</v>
      </c>
      <c r="B380" s="107">
        <v>44852</v>
      </c>
      <c r="C380" s="25" t="s">
        <v>1056</v>
      </c>
      <c r="D380" s="25" t="s">
        <v>1122</v>
      </c>
      <c r="E380" s="38"/>
      <c r="F380" s="132">
        <v>64.900000000000006</v>
      </c>
      <c r="G380" s="50"/>
      <c r="H380" s="107">
        <v>44852</v>
      </c>
      <c r="I380" s="144">
        <v>5</v>
      </c>
      <c r="J380" s="104">
        <v>64.900000000000006</v>
      </c>
      <c r="K380" s="104">
        <f t="shared" si="34"/>
        <v>324.5</v>
      </c>
      <c r="L380" s="103"/>
      <c r="M380" s="141">
        <f t="shared" si="35"/>
        <v>5</v>
      </c>
      <c r="N380" s="121" t="s">
        <v>1037</v>
      </c>
      <c r="O380" s="103" t="s">
        <v>947</v>
      </c>
      <c r="P380" s="137">
        <f t="shared" si="32"/>
        <v>324.5</v>
      </c>
    </row>
    <row r="381" spans="1:16" s="105" customFormat="1" ht="15.75" x14ac:dyDescent="0.25">
      <c r="A381" s="113" t="s">
        <v>1068</v>
      </c>
      <c r="B381" s="107">
        <v>44865</v>
      </c>
      <c r="C381" s="25" t="s">
        <v>1077</v>
      </c>
      <c r="D381" s="25" t="s">
        <v>1122</v>
      </c>
      <c r="E381" s="38"/>
      <c r="F381" s="132">
        <v>8720.2000000000007</v>
      </c>
      <c r="G381" s="50"/>
      <c r="H381" s="107">
        <v>44865</v>
      </c>
      <c r="I381" s="144">
        <v>6</v>
      </c>
      <c r="J381" s="104">
        <v>8720.2000000000007</v>
      </c>
      <c r="K381" s="104">
        <f t="shared" si="34"/>
        <v>52321.200000000004</v>
      </c>
      <c r="L381" s="103">
        <v>1</v>
      </c>
      <c r="M381" s="151">
        <f t="shared" si="35"/>
        <v>5</v>
      </c>
      <c r="N381" s="121" t="s">
        <v>1078</v>
      </c>
      <c r="O381" s="103" t="s">
        <v>947</v>
      </c>
      <c r="P381" s="137">
        <f t="shared" si="32"/>
        <v>43601</v>
      </c>
    </row>
    <row r="382" spans="1:16" s="105" customFormat="1" ht="15.75" x14ac:dyDescent="0.25">
      <c r="A382" s="113" t="s">
        <v>1073</v>
      </c>
      <c r="B382" s="107">
        <v>44865</v>
      </c>
      <c r="C382" s="25" t="s">
        <v>1079</v>
      </c>
      <c r="D382" s="25" t="s">
        <v>1122</v>
      </c>
      <c r="E382" s="38"/>
      <c r="F382" s="132">
        <v>7729</v>
      </c>
      <c r="G382" s="50"/>
      <c r="H382" s="107">
        <v>44865</v>
      </c>
      <c r="I382" s="144">
        <v>5</v>
      </c>
      <c r="J382" s="104">
        <v>7729</v>
      </c>
      <c r="K382" s="104">
        <f t="shared" si="34"/>
        <v>38645</v>
      </c>
      <c r="L382" s="103"/>
      <c r="M382" s="151">
        <f t="shared" si="35"/>
        <v>5</v>
      </c>
      <c r="N382" s="121" t="s">
        <v>1078</v>
      </c>
      <c r="O382" s="103" t="s">
        <v>947</v>
      </c>
      <c r="P382" s="137">
        <f t="shared" si="32"/>
        <v>38645</v>
      </c>
    </row>
    <row r="383" spans="1:16" s="105" customFormat="1" ht="15.75" x14ac:dyDescent="0.25">
      <c r="A383" s="113" t="s">
        <v>1074</v>
      </c>
      <c r="B383" s="107">
        <v>44865</v>
      </c>
      <c r="C383" s="25" t="s">
        <v>1080</v>
      </c>
      <c r="D383" s="25" t="s">
        <v>1122</v>
      </c>
      <c r="E383" s="38"/>
      <c r="F383" s="132">
        <v>4897</v>
      </c>
      <c r="G383" s="50"/>
      <c r="H383" s="107">
        <v>44865</v>
      </c>
      <c r="I383" s="144">
        <v>10</v>
      </c>
      <c r="J383" s="104">
        <v>4897</v>
      </c>
      <c r="K383" s="104">
        <f t="shared" si="34"/>
        <v>48970</v>
      </c>
      <c r="L383" s="103"/>
      <c r="M383" s="141">
        <f t="shared" si="35"/>
        <v>10</v>
      </c>
      <c r="N383" s="121" t="s">
        <v>1078</v>
      </c>
      <c r="O383" s="103" t="s">
        <v>947</v>
      </c>
      <c r="P383" s="137">
        <f t="shared" si="32"/>
        <v>48970</v>
      </c>
    </row>
    <row r="384" spans="1:16" s="105" customFormat="1" ht="15.75" x14ac:dyDescent="0.25">
      <c r="A384" s="113" t="s">
        <v>1075</v>
      </c>
      <c r="B384" s="107">
        <v>44879</v>
      </c>
      <c r="C384" s="25" t="s">
        <v>1072</v>
      </c>
      <c r="D384" s="25" t="s">
        <v>1122</v>
      </c>
      <c r="E384" s="38"/>
      <c r="F384" s="132">
        <v>3717</v>
      </c>
      <c r="G384" s="50"/>
      <c r="H384" s="107">
        <v>44879</v>
      </c>
      <c r="I384" s="144">
        <v>10</v>
      </c>
      <c r="J384" s="104">
        <v>3717</v>
      </c>
      <c r="K384" s="104">
        <f>+J384*I384</f>
        <v>37170</v>
      </c>
      <c r="L384" s="103"/>
      <c r="M384" s="141">
        <f t="shared" si="35"/>
        <v>10</v>
      </c>
      <c r="N384" s="121"/>
      <c r="O384" s="103" t="s">
        <v>946</v>
      </c>
      <c r="P384" s="137">
        <f t="shared" si="32"/>
        <v>37170</v>
      </c>
    </row>
    <row r="385" spans="1:16" s="105" customFormat="1" ht="15.75" x14ac:dyDescent="0.25">
      <c r="A385" s="113" t="s">
        <v>1076</v>
      </c>
      <c r="B385" s="102"/>
      <c r="C385" s="25" t="s">
        <v>1070</v>
      </c>
      <c r="D385" s="25" t="s">
        <v>1122</v>
      </c>
      <c r="E385" s="38"/>
      <c r="F385" s="132"/>
      <c r="G385" s="50"/>
      <c r="H385" s="107"/>
      <c r="I385" s="144"/>
      <c r="J385" s="104"/>
      <c r="K385" s="104"/>
      <c r="L385" s="103">
        <v>1</v>
      </c>
      <c r="M385" s="141">
        <f t="shared" si="35"/>
        <v>-1</v>
      </c>
      <c r="N385" s="121"/>
      <c r="O385" s="103" t="s">
        <v>947</v>
      </c>
      <c r="P385" s="137">
        <f t="shared" si="32"/>
        <v>0</v>
      </c>
    </row>
    <row r="386" spans="1:16" s="105" customFormat="1" ht="15.75" x14ac:dyDescent="0.25">
      <c r="A386" s="113" t="s">
        <v>1081</v>
      </c>
      <c r="B386" s="102"/>
      <c r="C386" s="25" t="s">
        <v>1071</v>
      </c>
      <c r="D386" s="25" t="s">
        <v>1122</v>
      </c>
      <c r="E386" s="38"/>
      <c r="F386" s="132"/>
      <c r="G386" s="50"/>
      <c r="H386" s="107"/>
      <c r="I386" s="144"/>
      <c r="J386" s="104"/>
      <c r="K386" s="104"/>
      <c r="L386" s="103">
        <v>1</v>
      </c>
      <c r="M386" s="141">
        <f t="shared" si="35"/>
        <v>-1</v>
      </c>
      <c r="N386" s="121"/>
      <c r="O386" s="103" t="s">
        <v>947</v>
      </c>
      <c r="P386" s="137">
        <f t="shared" si="32"/>
        <v>0</v>
      </c>
    </row>
    <row r="387" spans="1:16" s="105" customFormat="1" ht="15.75" x14ac:dyDescent="0.25">
      <c r="A387" s="113" t="s">
        <v>1082</v>
      </c>
      <c r="B387" s="102"/>
      <c r="C387" s="25" t="s">
        <v>1069</v>
      </c>
      <c r="D387" s="25" t="s">
        <v>1122</v>
      </c>
      <c r="E387" s="38"/>
      <c r="F387" s="132"/>
      <c r="G387" s="50"/>
      <c r="H387" s="107"/>
      <c r="I387" s="144"/>
      <c r="J387" s="104"/>
      <c r="K387" s="104"/>
      <c r="L387" s="103">
        <v>1</v>
      </c>
      <c r="M387" s="141">
        <f t="shared" si="35"/>
        <v>-1</v>
      </c>
      <c r="N387" s="121"/>
      <c r="O387" s="103" t="s">
        <v>946</v>
      </c>
      <c r="P387" s="137">
        <f t="shared" si="32"/>
        <v>0</v>
      </c>
    </row>
    <row r="388" spans="1:16" s="105" customFormat="1" ht="31.5" x14ac:dyDescent="0.25">
      <c r="A388" s="113" t="s">
        <v>1083</v>
      </c>
      <c r="B388" s="107">
        <v>44903</v>
      </c>
      <c r="C388" s="25" t="s">
        <v>1239</v>
      </c>
      <c r="D388" s="25" t="s">
        <v>1122</v>
      </c>
      <c r="E388" s="38"/>
      <c r="F388" s="132">
        <v>81.13</v>
      </c>
      <c r="G388" s="50"/>
      <c r="H388" s="107">
        <v>44903</v>
      </c>
      <c r="I388" s="144">
        <v>360</v>
      </c>
      <c r="J388" s="104">
        <v>81.13</v>
      </c>
      <c r="K388" s="104">
        <f>+J388*I388</f>
        <v>29206.799999999999</v>
      </c>
      <c r="L388" s="103">
        <v>360</v>
      </c>
      <c r="M388" s="151">
        <f t="shared" si="35"/>
        <v>0</v>
      </c>
      <c r="N388" s="121" t="s">
        <v>1006</v>
      </c>
      <c r="O388" s="103" t="s">
        <v>945</v>
      </c>
      <c r="P388" s="137">
        <f t="shared" si="32"/>
        <v>0</v>
      </c>
    </row>
    <row r="389" spans="1:16" s="105" customFormat="1" ht="15.75" x14ac:dyDescent="0.25">
      <c r="A389" s="113" t="s">
        <v>1099</v>
      </c>
      <c r="B389" s="107">
        <v>45019</v>
      </c>
      <c r="C389" s="25" t="s">
        <v>1085</v>
      </c>
      <c r="D389" s="25" t="s">
        <v>1122</v>
      </c>
      <c r="E389" s="38"/>
      <c r="F389" s="132">
        <v>81.13</v>
      </c>
      <c r="G389" s="50"/>
      <c r="H389" s="107">
        <v>45019</v>
      </c>
      <c r="I389" s="144">
        <f>90*6</f>
        <v>540</v>
      </c>
      <c r="J389" s="104">
        <v>117.02</v>
      </c>
      <c r="K389" s="104">
        <f t="shared" ref="K389:K424" si="36">+J389*I389</f>
        <v>63190.799999999996</v>
      </c>
      <c r="L389" s="103">
        <f>410+24+3</f>
        <v>437</v>
      </c>
      <c r="M389" s="151">
        <f t="shared" si="35"/>
        <v>103</v>
      </c>
      <c r="N389" s="121"/>
      <c r="O389" s="103" t="s">
        <v>945</v>
      </c>
      <c r="P389" s="137">
        <f t="shared" si="32"/>
        <v>8356.39</v>
      </c>
    </row>
    <row r="390" spans="1:16" s="105" customFormat="1" ht="15.75" x14ac:dyDescent="0.25">
      <c r="A390" s="113" t="s">
        <v>1100</v>
      </c>
      <c r="B390" s="107">
        <v>45019</v>
      </c>
      <c r="C390" s="25" t="s">
        <v>1086</v>
      </c>
      <c r="D390" s="25" t="s">
        <v>1122</v>
      </c>
      <c r="E390" s="38"/>
      <c r="F390" s="132">
        <v>454.3</v>
      </c>
      <c r="G390" s="50"/>
      <c r="H390" s="107"/>
      <c r="I390" s="144">
        <f>80+15</f>
        <v>95</v>
      </c>
      <c r="J390" s="104">
        <v>454.3</v>
      </c>
      <c r="K390" s="104">
        <f t="shared" si="36"/>
        <v>43158.5</v>
      </c>
      <c r="L390" s="103">
        <f>4+1+1</f>
        <v>6</v>
      </c>
      <c r="M390" s="151">
        <f t="shared" si="35"/>
        <v>89</v>
      </c>
      <c r="N390" s="121"/>
      <c r="O390" s="103" t="s">
        <v>945</v>
      </c>
      <c r="P390" s="137">
        <f t="shared" si="32"/>
        <v>40432.700000000004</v>
      </c>
    </row>
    <row r="391" spans="1:16" s="105" customFormat="1" ht="31.5" x14ac:dyDescent="0.25">
      <c r="A391" s="113" t="s">
        <v>1101</v>
      </c>
      <c r="B391" s="107">
        <v>44903</v>
      </c>
      <c r="C391" s="25" t="s">
        <v>1087</v>
      </c>
      <c r="D391" s="25" t="s">
        <v>1122</v>
      </c>
      <c r="E391" s="38"/>
      <c r="F391" s="132">
        <v>116.53</v>
      </c>
      <c r="G391" s="50"/>
      <c r="H391" s="107">
        <v>44903</v>
      </c>
      <c r="I391" s="144">
        <f>20*4</f>
        <v>80</v>
      </c>
      <c r="J391" s="104">
        <v>116.53</v>
      </c>
      <c r="K391" s="104">
        <f t="shared" si="36"/>
        <v>9322.4</v>
      </c>
      <c r="L391" s="103">
        <f>9+1+2+4+1+44+1+1+1</f>
        <v>64</v>
      </c>
      <c r="M391" s="151">
        <f t="shared" si="35"/>
        <v>16</v>
      </c>
      <c r="N391" s="121" t="s">
        <v>1006</v>
      </c>
      <c r="O391" s="103" t="s">
        <v>945</v>
      </c>
      <c r="P391" s="137">
        <f t="shared" si="32"/>
        <v>1864.48</v>
      </c>
    </row>
    <row r="392" spans="1:16" s="105" customFormat="1" ht="31.5" x14ac:dyDescent="0.25">
      <c r="A392" s="113" t="s">
        <v>1102</v>
      </c>
      <c r="B392" s="107">
        <v>44903</v>
      </c>
      <c r="C392" s="25" t="s">
        <v>1088</v>
      </c>
      <c r="D392" s="25" t="s">
        <v>1122</v>
      </c>
      <c r="E392" s="38"/>
      <c r="F392" s="132">
        <v>101.33</v>
      </c>
      <c r="G392" s="50"/>
      <c r="H392" s="107">
        <v>44903</v>
      </c>
      <c r="I392" s="144">
        <f>2*12</f>
        <v>24</v>
      </c>
      <c r="J392" s="104">
        <v>101.33</v>
      </c>
      <c r="K392" s="104">
        <f t="shared" si="36"/>
        <v>2431.92</v>
      </c>
      <c r="L392" s="103">
        <v>24</v>
      </c>
      <c r="M392" s="141">
        <f t="shared" si="35"/>
        <v>0</v>
      </c>
      <c r="N392" s="121" t="s">
        <v>1006</v>
      </c>
      <c r="O392" s="103" t="s">
        <v>945</v>
      </c>
      <c r="P392" s="137">
        <f t="shared" si="32"/>
        <v>0</v>
      </c>
    </row>
    <row r="393" spans="1:16" s="105" customFormat="1" ht="31.5" x14ac:dyDescent="0.25">
      <c r="A393" s="113" t="s">
        <v>1103</v>
      </c>
      <c r="B393" s="107">
        <v>44903</v>
      </c>
      <c r="C393" s="25" t="s">
        <v>1089</v>
      </c>
      <c r="D393" s="25" t="s">
        <v>1122</v>
      </c>
      <c r="E393" s="38"/>
      <c r="F393" s="132">
        <v>101.33</v>
      </c>
      <c r="G393" s="50"/>
      <c r="H393" s="107">
        <v>44903</v>
      </c>
      <c r="I393" s="144">
        <f>2*12</f>
        <v>24</v>
      </c>
      <c r="J393" s="104">
        <v>101.33</v>
      </c>
      <c r="K393" s="104">
        <f t="shared" si="36"/>
        <v>2431.92</v>
      </c>
      <c r="L393" s="103">
        <v>24</v>
      </c>
      <c r="M393" s="141">
        <f t="shared" si="35"/>
        <v>0</v>
      </c>
      <c r="N393" s="121" t="s">
        <v>1006</v>
      </c>
      <c r="O393" s="103" t="s">
        <v>945</v>
      </c>
      <c r="P393" s="137">
        <f t="shared" si="32"/>
        <v>0</v>
      </c>
    </row>
    <row r="394" spans="1:16" s="105" customFormat="1" ht="31.5" x14ac:dyDescent="0.25">
      <c r="A394" s="113" t="s">
        <v>1104</v>
      </c>
      <c r="B394" s="107">
        <v>44903</v>
      </c>
      <c r="C394" s="25" t="s">
        <v>1090</v>
      </c>
      <c r="D394" s="25" t="s">
        <v>1122</v>
      </c>
      <c r="E394" s="38"/>
      <c r="F394" s="132">
        <v>79.010000000000005</v>
      </c>
      <c r="G394" s="50"/>
      <c r="H394" s="107">
        <v>44903</v>
      </c>
      <c r="I394" s="144">
        <v>24</v>
      </c>
      <c r="J394" s="104">
        <v>79.010000000000005</v>
      </c>
      <c r="K394" s="104">
        <f t="shared" si="36"/>
        <v>1896.2400000000002</v>
      </c>
      <c r="L394" s="103">
        <v>24</v>
      </c>
      <c r="M394" s="141">
        <f t="shared" si="35"/>
        <v>0</v>
      </c>
      <c r="N394" s="121" t="s">
        <v>1006</v>
      </c>
      <c r="O394" s="103" t="s">
        <v>945</v>
      </c>
      <c r="P394" s="137">
        <f t="shared" si="32"/>
        <v>0</v>
      </c>
    </row>
    <row r="395" spans="1:16" s="105" customFormat="1" ht="31.5" x14ac:dyDescent="0.25">
      <c r="A395" s="113" t="s">
        <v>1105</v>
      </c>
      <c r="B395" s="107">
        <v>44903</v>
      </c>
      <c r="C395" s="25" t="s">
        <v>1091</v>
      </c>
      <c r="D395" s="25" t="s">
        <v>1122</v>
      </c>
      <c r="E395" s="38"/>
      <c r="F395" s="132">
        <v>67.7</v>
      </c>
      <c r="G395" s="50"/>
      <c r="H395" s="107">
        <v>44903</v>
      </c>
      <c r="I395" s="144">
        <v>24</v>
      </c>
      <c r="J395" s="104">
        <v>67.7</v>
      </c>
      <c r="K395" s="104">
        <f t="shared" si="36"/>
        <v>1624.8000000000002</v>
      </c>
      <c r="L395" s="103">
        <v>24</v>
      </c>
      <c r="M395" s="141">
        <f t="shared" si="35"/>
        <v>0</v>
      </c>
      <c r="N395" s="121" t="s">
        <v>1006</v>
      </c>
      <c r="O395" s="103" t="s">
        <v>945</v>
      </c>
      <c r="P395" s="137">
        <f t="shared" si="32"/>
        <v>0</v>
      </c>
    </row>
    <row r="396" spans="1:16" s="105" customFormat="1" ht="31.5" x14ac:dyDescent="0.25">
      <c r="A396" s="113" t="s">
        <v>1106</v>
      </c>
      <c r="B396" s="107">
        <v>44903</v>
      </c>
      <c r="C396" s="25" t="s">
        <v>1092</v>
      </c>
      <c r="D396" s="25" t="s">
        <v>1122</v>
      </c>
      <c r="E396" s="38"/>
      <c r="F396" s="132">
        <v>195.83</v>
      </c>
      <c r="G396" s="50"/>
      <c r="H396" s="107">
        <v>44903</v>
      </c>
      <c r="I396" s="144">
        <v>24</v>
      </c>
      <c r="J396" s="104">
        <v>195.83</v>
      </c>
      <c r="K396" s="104">
        <f t="shared" si="36"/>
        <v>4699.92</v>
      </c>
      <c r="L396" s="103">
        <v>24</v>
      </c>
      <c r="M396" s="141">
        <f t="shared" si="35"/>
        <v>0</v>
      </c>
      <c r="N396" s="121" t="s">
        <v>1006</v>
      </c>
      <c r="O396" s="103" t="s">
        <v>945</v>
      </c>
      <c r="P396" s="137">
        <f t="shared" si="32"/>
        <v>0</v>
      </c>
    </row>
    <row r="397" spans="1:16" s="105" customFormat="1" ht="31.5" x14ac:dyDescent="0.25">
      <c r="A397" s="113" t="s">
        <v>1107</v>
      </c>
      <c r="B397" s="107">
        <v>44903</v>
      </c>
      <c r="C397" s="25" t="s">
        <v>1093</v>
      </c>
      <c r="D397" s="25" t="s">
        <v>1122</v>
      </c>
      <c r="E397" s="38"/>
      <c r="F397" s="132">
        <v>126.8</v>
      </c>
      <c r="G397" s="50"/>
      <c r="H397" s="107">
        <v>44903</v>
      </c>
      <c r="I397" s="144">
        <v>24</v>
      </c>
      <c r="J397" s="104">
        <v>126.8</v>
      </c>
      <c r="K397" s="104">
        <f t="shared" si="36"/>
        <v>3043.2</v>
      </c>
      <c r="L397" s="103">
        <v>24</v>
      </c>
      <c r="M397" s="141">
        <f t="shared" si="35"/>
        <v>0</v>
      </c>
      <c r="N397" s="121" t="s">
        <v>1006</v>
      </c>
      <c r="O397" s="103" t="s">
        <v>945</v>
      </c>
      <c r="P397" s="137">
        <f t="shared" si="32"/>
        <v>0</v>
      </c>
    </row>
    <row r="398" spans="1:16" s="105" customFormat="1" ht="31.5" x14ac:dyDescent="0.25">
      <c r="A398" s="113" t="s">
        <v>1108</v>
      </c>
      <c r="B398" s="107">
        <v>44903</v>
      </c>
      <c r="C398" s="25" t="s">
        <v>1094</v>
      </c>
      <c r="D398" s="25" t="s">
        <v>1122</v>
      </c>
      <c r="E398" s="38"/>
      <c r="F398" s="132">
        <v>129.85</v>
      </c>
      <c r="G398" s="50"/>
      <c r="H398" s="107">
        <v>44903</v>
      </c>
      <c r="I398" s="144">
        <v>24</v>
      </c>
      <c r="J398" s="104">
        <v>129.85</v>
      </c>
      <c r="K398" s="104">
        <f t="shared" si="36"/>
        <v>3116.3999999999996</v>
      </c>
      <c r="L398" s="103">
        <v>24</v>
      </c>
      <c r="M398" s="141">
        <f t="shared" si="35"/>
        <v>0</v>
      </c>
      <c r="N398" s="121" t="s">
        <v>1006</v>
      </c>
      <c r="O398" s="103" t="s">
        <v>945</v>
      </c>
      <c r="P398" s="137">
        <f t="shared" si="32"/>
        <v>0</v>
      </c>
    </row>
    <row r="399" spans="1:16" s="105" customFormat="1" ht="31.5" x14ac:dyDescent="0.25">
      <c r="A399" s="113" t="s">
        <v>1109</v>
      </c>
      <c r="B399" s="107">
        <v>44903</v>
      </c>
      <c r="C399" s="25" t="s">
        <v>1095</v>
      </c>
      <c r="D399" s="25" t="s">
        <v>1122</v>
      </c>
      <c r="E399" s="38"/>
      <c r="F399" s="132">
        <v>1606.5</v>
      </c>
      <c r="G399" s="50"/>
      <c r="H399" s="107">
        <v>44903</v>
      </c>
      <c r="I399" s="144">
        <v>4</v>
      </c>
      <c r="J399" s="104">
        <v>1606.5</v>
      </c>
      <c r="K399" s="104">
        <f t="shared" si="36"/>
        <v>6426</v>
      </c>
      <c r="L399" s="103">
        <v>4</v>
      </c>
      <c r="M399" s="141">
        <f t="shared" si="35"/>
        <v>0</v>
      </c>
      <c r="N399" s="121" t="s">
        <v>1006</v>
      </c>
      <c r="O399" s="103" t="s">
        <v>945</v>
      </c>
      <c r="P399" s="137">
        <f t="shared" si="32"/>
        <v>0</v>
      </c>
    </row>
    <row r="400" spans="1:16" s="105" customFormat="1" ht="31.5" x14ac:dyDescent="0.25">
      <c r="A400" s="113" t="s">
        <v>1110</v>
      </c>
      <c r="B400" s="107">
        <v>44903</v>
      </c>
      <c r="C400" s="25" t="s">
        <v>1096</v>
      </c>
      <c r="D400" s="25" t="s">
        <v>1122</v>
      </c>
      <c r="E400" s="38"/>
      <c r="F400" s="132">
        <v>134.13</v>
      </c>
      <c r="G400" s="50"/>
      <c r="H400" s="107">
        <v>44903</v>
      </c>
      <c r="I400" s="144">
        <v>24</v>
      </c>
      <c r="J400" s="104">
        <v>134.13</v>
      </c>
      <c r="K400" s="104">
        <f t="shared" si="36"/>
        <v>3219.12</v>
      </c>
      <c r="L400" s="103">
        <v>24</v>
      </c>
      <c r="M400" s="141">
        <f t="shared" si="35"/>
        <v>0</v>
      </c>
      <c r="N400" s="121" t="s">
        <v>1006</v>
      </c>
      <c r="O400" s="103" t="s">
        <v>945</v>
      </c>
      <c r="P400" s="137">
        <f t="shared" si="32"/>
        <v>0</v>
      </c>
    </row>
    <row r="401" spans="1:16" s="105" customFormat="1" ht="31.5" x14ac:dyDescent="0.25">
      <c r="A401" s="113" t="s">
        <v>1111</v>
      </c>
      <c r="B401" s="107">
        <v>44903</v>
      </c>
      <c r="C401" s="25" t="s">
        <v>1097</v>
      </c>
      <c r="D401" s="25" t="s">
        <v>1122</v>
      </c>
      <c r="E401" s="38"/>
      <c r="F401" s="132">
        <v>147.35</v>
      </c>
      <c r="G401" s="50"/>
      <c r="H401" s="107">
        <v>44903</v>
      </c>
      <c r="I401" s="144">
        <v>24</v>
      </c>
      <c r="J401" s="104">
        <v>147.35</v>
      </c>
      <c r="K401" s="104">
        <f t="shared" si="36"/>
        <v>3536.3999999999996</v>
      </c>
      <c r="L401" s="103">
        <v>24</v>
      </c>
      <c r="M401" s="141">
        <f t="shared" si="35"/>
        <v>0</v>
      </c>
      <c r="N401" s="121" t="s">
        <v>1006</v>
      </c>
      <c r="O401" s="103" t="s">
        <v>945</v>
      </c>
      <c r="P401" s="137">
        <f t="shared" si="32"/>
        <v>0</v>
      </c>
    </row>
    <row r="402" spans="1:16" s="105" customFormat="1" ht="31.5" x14ac:dyDescent="0.25">
      <c r="A402" s="113" t="s">
        <v>1112</v>
      </c>
      <c r="B402" s="107">
        <v>44903</v>
      </c>
      <c r="C402" s="25" t="s">
        <v>1098</v>
      </c>
      <c r="D402" s="25" t="s">
        <v>1122</v>
      </c>
      <c r="E402" s="38"/>
      <c r="F402" s="132">
        <v>1100.5</v>
      </c>
      <c r="G402" s="50"/>
      <c r="H402" s="107">
        <v>44903</v>
      </c>
      <c r="I402" s="144">
        <v>2</v>
      </c>
      <c r="J402" s="104">
        <v>1100.5</v>
      </c>
      <c r="K402" s="104">
        <f t="shared" si="36"/>
        <v>2201</v>
      </c>
      <c r="L402" s="103">
        <v>2</v>
      </c>
      <c r="M402" s="141">
        <f t="shared" si="35"/>
        <v>0</v>
      </c>
      <c r="N402" s="121" t="s">
        <v>1006</v>
      </c>
      <c r="O402" s="103" t="s">
        <v>945</v>
      </c>
      <c r="P402" s="137">
        <f t="shared" si="32"/>
        <v>0</v>
      </c>
    </row>
    <row r="403" spans="1:16" s="105" customFormat="1" ht="15.75" x14ac:dyDescent="0.25">
      <c r="A403" s="113" t="s">
        <v>1119</v>
      </c>
      <c r="B403" s="102"/>
      <c r="C403" s="25" t="s">
        <v>1114</v>
      </c>
      <c r="D403" s="25" t="s">
        <v>1122</v>
      </c>
      <c r="E403" s="38"/>
      <c r="F403" s="132"/>
      <c r="G403" s="50"/>
      <c r="H403" s="107"/>
      <c r="I403" s="144"/>
      <c r="J403" s="104"/>
      <c r="K403" s="104">
        <f t="shared" si="36"/>
        <v>0</v>
      </c>
      <c r="L403" s="103">
        <v>22</v>
      </c>
      <c r="M403" s="141">
        <f t="shared" si="35"/>
        <v>-22</v>
      </c>
      <c r="N403" s="121"/>
      <c r="O403" s="103" t="s">
        <v>946</v>
      </c>
      <c r="P403" s="137">
        <f t="shared" si="32"/>
        <v>0</v>
      </c>
    </row>
    <row r="404" spans="1:16" s="105" customFormat="1" ht="31.5" x14ac:dyDescent="0.25">
      <c r="A404" s="113" t="s">
        <v>1124</v>
      </c>
      <c r="B404" s="102">
        <v>45020</v>
      </c>
      <c r="C404" s="25" t="s">
        <v>1129</v>
      </c>
      <c r="D404" s="25" t="s">
        <v>1122</v>
      </c>
      <c r="E404" s="103">
        <v>50</v>
      </c>
      <c r="F404" s="132"/>
      <c r="G404" s="50"/>
      <c r="H404" s="107"/>
      <c r="I404" s="144"/>
      <c r="J404" s="104"/>
      <c r="K404" s="104">
        <f t="shared" si="36"/>
        <v>0</v>
      </c>
      <c r="L404" s="103"/>
      <c r="M404" s="141">
        <f t="shared" si="35"/>
        <v>50</v>
      </c>
      <c r="N404" s="121" t="s">
        <v>1132</v>
      </c>
      <c r="O404" s="103" t="s">
        <v>946</v>
      </c>
      <c r="P404" s="137">
        <f t="shared" si="32"/>
        <v>0</v>
      </c>
    </row>
    <row r="405" spans="1:16" s="105" customFormat="1" ht="31.5" x14ac:dyDescent="0.25">
      <c r="A405" s="113" t="s">
        <v>1125</v>
      </c>
      <c r="B405" s="102">
        <v>45020</v>
      </c>
      <c r="C405" s="25" t="s">
        <v>1130</v>
      </c>
      <c r="D405" s="25"/>
      <c r="E405" s="103"/>
      <c r="F405" s="132"/>
      <c r="G405" s="50"/>
      <c r="H405" s="107"/>
      <c r="I405" s="144"/>
      <c r="J405" s="104"/>
      <c r="K405" s="104">
        <f t="shared" si="36"/>
        <v>0</v>
      </c>
      <c r="L405" s="103"/>
      <c r="M405" s="141">
        <f t="shared" si="35"/>
        <v>0</v>
      </c>
      <c r="N405" s="121" t="s">
        <v>1132</v>
      </c>
      <c r="O405" s="103" t="s">
        <v>946</v>
      </c>
      <c r="P405" s="137">
        <f t="shared" si="32"/>
        <v>0</v>
      </c>
    </row>
    <row r="406" spans="1:16" s="105" customFormat="1" ht="31.5" x14ac:dyDescent="0.25">
      <c r="A406" s="113" t="s">
        <v>1126</v>
      </c>
      <c r="B406" s="102">
        <v>45020</v>
      </c>
      <c r="C406" s="25" t="s">
        <v>1131</v>
      </c>
      <c r="D406" s="25" t="s">
        <v>1122</v>
      </c>
      <c r="E406" s="103">
        <v>40</v>
      </c>
      <c r="F406" s="132">
        <v>17.7</v>
      </c>
      <c r="G406" s="50"/>
      <c r="H406" s="107"/>
      <c r="I406" s="144">
        <v>40</v>
      </c>
      <c r="J406" s="104">
        <v>17.7</v>
      </c>
      <c r="K406" s="104">
        <f t="shared" si="36"/>
        <v>708</v>
      </c>
      <c r="L406" s="103"/>
      <c r="M406" s="141">
        <f t="shared" si="35"/>
        <v>80</v>
      </c>
      <c r="N406" s="121" t="s">
        <v>1132</v>
      </c>
      <c r="O406" s="103" t="s">
        <v>946</v>
      </c>
      <c r="P406" s="137">
        <f t="shared" si="32"/>
        <v>1416</v>
      </c>
    </row>
    <row r="407" spans="1:16" s="105" customFormat="1" ht="15.75" x14ac:dyDescent="0.25">
      <c r="A407" s="113" t="s">
        <v>1127</v>
      </c>
      <c r="B407" s="102">
        <v>45020</v>
      </c>
      <c r="C407" s="25" t="s">
        <v>1133</v>
      </c>
      <c r="D407" s="25" t="s">
        <v>1122</v>
      </c>
      <c r="E407" s="103">
        <v>10</v>
      </c>
      <c r="F407" s="132">
        <v>206.61</v>
      </c>
      <c r="G407" s="50"/>
      <c r="H407" s="107"/>
      <c r="I407" s="144">
        <v>10</v>
      </c>
      <c r="J407" s="104">
        <v>206.61</v>
      </c>
      <c r="K407" s="104">
        <f t="shared" si="36"/>
        <v>2066.1000000000004</v>
      </c>
      <c r="L407" s="103"/>
      <c r="M407" s="141">
        <f t="shared" si="35"/>
        <v>20</v>
      </c>
      <c r="N407" s="121"/>
      <c r="O407" s="103" t="s">
        <v>946</v>
      </c>
      <c r="P407" s="137">
        <f t="shared" si="32"/>
        <v>4132.2000000000007</v>
      </c>
    </row>
    <row r="408" spans="1:16" s="105" customFormat="1" ht="15.75" x14ac:dyDescent="0.25">
      <c r="A408" s="113" t="s">
        <v>1128</v>
      </c>
      <c r="B408" s="102">
        <v>45020</v>
      </c>
      <c r="C408" s="25" t="s">
        <v>1134</v>
      </c>
      <c r="D408" s="25" t="s">
        <v>1122</v>
      </c>
      <c r="E408" s="103">
        <v>10</v>
      </c>
      <c r="F408" s="132">
        <v>377.6</v>
      </c>
      <c r="G408" s="50"/>
      <c r="H408" s="107"/>
      <c r="I408" s="144">
        <v>10</v>
      </c>
      <c r="J408" s="104">
        <v>377.6</v>
      </c>
      <c r="K408" s="104">
        <f t="shared" si="36"/>
        <v>3776</v>
      </c>
      <c r="L408" s="103"/>
      <c r="M408" s="141">
        <f t="shared" si="35"/>
        <v>20</v>
      </c>
      <c r="N408" s="121"/>
      <c r="O408" s="103" t="s">
        <v>946</v>
      </c>
      <c r="P408" s="137">
        <f t="shared" si="32"/>
        <v>7552</v>
      </c>
    </row>
    <row r="409" spans="1:16" s="105" customFormat="1" ht="15.75" x14ac:dyDescent="0.25">
      <c r="A409" s="113" t="s">
        <v>1151</v>
      </c>
      <c r="B409" s="102">
        <v>45020</v>
      </c>
      <c r="C409" s="25" t="s">
        <v>1135</v>
      </c>
      <c r="D409" s="25" t="s">
        <v>1122</v>
      </c>
      <c r="E409" s="103">
        <v>10</v>
      </c>
      <c r="F409" s="132">
        <v>2619.6</v>
      </c>
      <c r="G409" s="50"/>
      <c r="H409" s="107"/>
      <c r="I409" s="144">
        <v>10</v>
      </c>
      <c r="J409" s="104">
        <v>2619.6</v>
      </c>
      <c r="K409" s="104">
        <f t="shared" si="36"/>
        <v>26196</v>
      </c>
      <c r="L409" s="103"/>
      <c r="M409" s="141">
        <f t="shared" si="35"/>
        <v>20</v>
      </c>
      <c r="N409" s="121"/>
      <c r="O409" s="103" t="s">
        <v>946</v>
      </c>
      <c r="P409" s="137">
        <f t="shared" ref="P409:P439" si="37">+F409*M409</f>
        <v>52392</v>
      </c>
    </row>
    <row r="410" spans="1:16" s="105" customFormat="1" ht="15.75" x14ac:dyDescent="0.25">
      <c r="A410" s="113" t="s">
        <v>1152</v>
      </c>
      <c r="B410" s="102">
        <v>45020</v>
      </c>
      <c r="C410" s="25" t="s">
        <v>1136</v>
      </c>
      <c r="D410" s="25" t="s">
        <v>1122</v>
      </c>
      <c r="E410" s="103">
        <v>5</v>
      </c>
      <c r="F410" s="132">
        <v>354</v>
      </c>
      <c r="G410" s="50"/>
      <c r="H410" s="107"/>
      <c r="I410" s="144">
        <v>5</v>
      </c>
      <c r="J410" s="104">
        <v>354</v>
      </c>
      <c r="K410" s="104">
        <f t="shared" si="36"/>
        <v>1770</v>
      </c>
      <c r="L410" s="103"/>
      <c r="M410" s="141">
        <f t="shared" si="35"/>
        <v>10</v>
      </c>
      <c r="N410" s="121"/>
      <c r="O410" s="103" t="s">
        <v>946</v>
      </c>
      <c r="P410" s="137">
        <f t="shared" si="37"/>
        <v>3540</v>
      </c>
    </row>
    <row r="411" spans="1:16" s="105" customFormat="1" ht="15.75" x14ac:dyDescent="0.25">
      <c r="A411" s="113" t="s">
        <v>1153</v>
      </c>
      <c r="B411" s="102">
        <v>45020</v>
      </c>
      <c r="C411" s="25" t="s">
        <v>1137</v>
      </c>
      <c r="D411" s="25" t="s">
        <v>1122</v>
      </c>
      <c r="E411" s="103">
        <v>12</v>
      </c>
      <c r="F411" s="132">
        <v>1829</v>
      </c>
      <c r="G411" s="50"/>
      <c r="H411" s="107"/>
      <c r="I411" s="144">
        <v>12</v>
      </c>
      <c r="J411" s="104">
        <v>1829</v>
      </c>
      <c r="K411" s="104">
        <f t="shared" si="36"/>
        <v>21948</v>
      </c>
      <c r="L411" s="103"/>
      <c r="M411" s="141">
        <f t="shared" si="35"/>
        <v>24</v>
      </c>
      <c r="N411" s="121"/>
      <c r="O411" s="103" t="s">
        <v>946</v>
      </c>
      <c r="P411" s="137">
        <f t="shared" si="37"/>
        <v>43896</v>
      </c>
    </row>
    <row r="412" spans="1:16" s="105" customFormat="1" ht="15.75" x14ac:dyDescent="0.25">
      <c r="A412" s="113" t="s">
        <v>1154</v>
      </c>
      <c r="B412" s="102">
        <v>45020</v>
      </c>
      <c r="C412" s="25" t="s">
        <v>1138</v>
      </c>
      <c r="D412" s="25" t="s">
        <v>1122</v>
      </c>
      <c r="E412" s="103">
        <v>3</v>
      </c>
      <c r="F412" s="132">
        <v>4543</v>
      </c>
      <c r="G412" s="50"/>
      <c r="H412" s="107"/>
      <c r="I412" s="144">
        <v>3</v>
      </c>
      <c r="J412" s="104">
        <v>4543</v>
      </c>
      <c r="K412" s="104">
        <f t="shared" si="36"/>
        <v>13629</v>
      </c>
      <c r="L412" s="103"/>
      <c r="M412" s="141">
        <f t="shared" si="35"/>
        <v>6</v>
      </c>
      <c r="N412" s="121"/>
      <c r="O412" s="103" t="s">
        <v>946</v>
      </c>
      <c r="P412" s="137">
        <f t="shared" si="37"/>
        <v>27258</v>
      </c>
    </row>
    <row r="413" spans="1:16" s="105" customFormat="1" ht="15.75" x14ac:dyDescent="0.25">
      <c r="A413" s="113" t="s">
        <v>1155</v>
      </c>
      <c r="B413" s="102">
        <v>45020</v>
      </c>
      <c r="C413" s="25" t="s">
        <v>1139</v>
      </c>
      <c r="D413" s="25" t="s">
        <v>1122</v>
      </c>
      <c r="E413" s="103">
        <v>10</v>
      </c>
      <c r="F413" s="132">
        <v>153.4</v>
      </c>
      <c r="G413" s="50"/>
      <c r="H413" s="107"/>
      <c r="I413" s="144">
        <v>10</v>
      </c>
      <c r="J413" s="104">
        <v>153.4</v>
      </c>
      <c r="K413" s="104">
        <f t="shared" si="36"/>
        <v>1534</v>
      </c>
      <c r="L413" s="103"/>
      <c r="M413" s="141">
        <f t="shared" si="35"/>
        <v>20</v>
      </c>
      <c r="N413" s="121"/>
      <c r="O413" s="103" t="s">
        <v>946</v>
      </c>
      <c r="P413" s="137">
        <f t="shared" si="37"/>
        <v>3068</v>
      </c>
    </row>
    <row r="414" spans="1:16" s="105" customFormat="1" ht="15.75" x14ac:dyDescent="0.25">
      <c r="A414" s="113" t="s">
        <v>1156</v>
      </c>
      <c r="B414" s="102">
        <v>45020</v>
      </c>
      <c r="C414" s="25" t="s">
        <v>1140</v>
      </c>
      <c r="D414" s="25" t="s">
        <v>1122</v>
      </c>
      <c r="E414" s="103">
        <v>3</v>
      </c>
      <c r="F414" s="132">
        <v>4425</v>
      </c>
      <c r="G414" s="50"/>
      <c r="H414" s="107"/>
      <c r="I414" s="144">
        <v>3</v>
      </c>
      <c r="J414" s="104">
        <v>4425</v>
      </c>
      <c r="K414" s="104">
        <f t="shared" si="36"/>
        <v>13275</v>
      </c>
      <c r="L414" s="103">
        <v>3</v>
      </c>
      <c r="M414" s="151">
        <f t="shared" si="35"/>
        <v>3</v>
      </c>
      <c r="N414" s="121"/>
      <c r="O414" s="103" t="s">
        <v>945</v>
      </c>
      <c r="P414" s="137">
        <f t="shared" si="37"/>
        <v>13275</v>
      </c>
    </row>
    <row r="415" spans="1:16" s="105" customFormat="1" ht="15.75" x14ac:dyDescent="0.25">
      <c r="A415" s="113" t="s">
        <v>1157</v>
      </c>
      <c r="B415" s="102">
        <v>45020</v>
      </c>
      <c r="C415" s="25" t="s">
        <v>1141</v>
      </c>
      <c r="D415" s="25" t="s">
        <v>1122</v>
      </c>
      <c r="E415" s="103">
        <v>10</v>
      </c>
      <c r="F415" s="132">
        <v>276.12</v>
      </c>
      <c r="G415" s="50"/>
      <c r="H415" s="107"/>
      <c r="I415" s="144">
        <v>10</v>
      </c>
      <c r="J415" s="104">
        <v>276.12</v>
      </c>
      <c r="K415" s="104">
        <f t="shared" si="36"/>
        <v>2761.2</v>
      </c>
      <c r="L415" s="103"/>
      <c r="M415" s="141">
        <f t="shared" si="35"/>
        <v>20</v>
      </c>
      <c r="N415" s="121"/>
      <c r="O415" s="103" t="s">
        <v>946</v>
      </c>
      <c r="P415" s="137">
        <f t="shared" si="37"/>
        <v>5522.4</v>
      </c>
    </row>
    <row r="416" spans="1:16" s="105" customFormat="1" ht="15.75" x14ac:dyDescent="0.25">
      <c r="A416" s="113" t="s">
        <v>1158</v>
      </c>
      <c r="B416" s="102">
        <v>45020</v>
      </c>
      <c r="C416" s="25" t="s">
        <v>1142</v>
      </c>
      <c r="D416" s="25" t="s">
        <v>1122</v>
      </c>
      <c r="E416" s="103">
        <v>10</v>
      </c>
      <c r="F416" s="132">
        <v>348.1</v>
      </c>
      <c r="G416" s="50"/>
      <c r="H416" s="107"/>
      <c r="I416" s="144">
        <v>10</v>
      </c>
      <c r="J416" s="104">
        <v>348.1</v>
      </c>
      <c r="K416" s="104">
        <f t="shared" si="36"/>
        <v>3481</v>
      </c>
      <c r="L416" s="103"/>
      <c r="M416" s="141">
        <f t="shared" si="35"/>
        <v>20</v>
      </c>
      <c r="N416" s="121"/>
      <c r="O416" s="103" t="s">
        <v>946</v>
      </c>
      <c r="P416" s="137">
        <f t="shared" si="37"/>
        <v>6962</v>
      </c>
    </row>
    <row r="417" spans="1:16" s="105" customFormat="1" ht="15.75" x14ac:dyDescent="0.25">
      <c r="A417" s="113" t="s">
        <v>1159</v>
      </c>
      <c r="B417" s="102">
        <v>45020</v>
      </c>
      <c r="C417" s="25" t="s">
        <v>1143</v>
      </c>
      <c r="D417" s="25" t="s">
        <v>1122</v>
      </c>
      <c r="E417" s="103">
        <v>12</v>
      </c>
      <c r="F417" s="132">
        <v>165.16</v>
      </c>
      <c r="G417" s="50"/>
      <c r="H417" s="107"/>
      <c r="I417" s="144">
        <v>12</v>
      </c>
      <c r="J417" s="104">
        <v>165.16</v>
      </c>
      <c r="K417" s="104">
        <f t="shared" si="36"/>
        <v>1981.92</v>
      </c>
      <c r="L417" s="103"/>
      <c r="M417" s="141">
        <f t="shared" si="35"/>
        <v>24</v>
      </c>
      <c r="N417" s="121"/>
      <c r="O417" s="103" t="s">
        <v>946</v>
      </c>
      <c r="P417" s="137">
        <f t="shared" si="37"/>
        <v>3963.84</v>
      </c>
    </row>
    <row r="418" spans="1:16" s="105" customFormat="1" ht="15.75" x14ac:dyDescent="0.25">
      <c r="A418" s="113" t="s">
        <v>1160</v>
      </c>
      <c r="B418" s="102">
        <v>45020</v>
      </c>
      <c r="C418" s="25" t="s">
        <v>1144</v>
      </c>
      <c r="D418" s="25" t="s">
        <v>1122</v>
      </c>
      <c r="E418" s="103">
        <v>1</v>
      </c>
      <c r="F418" s="132">
        <v>48675</v>
      </c>
      <c r="G418" s="50"/>
      <c r="H418" s="107"/>
      <c r="I418" s="144">
        <v>1</v>
      </c>
      <c r="J418" s="104">
        <v>48675</v>
      </c>
      <c r="K418" s="104">
        <f t="shared" si="36"/>
        <v>48675</v>
      </c>
      <c r="L418" s="103"/>
      <c r="M418" s="141">
        <f t="shared" si="35"/>
        <v>2</v>
      </c>
      <c r="N418" s="121"/>
      <c r="O418" s="103" t="s">
        <v>946</v>
      </c>
      <c r="P418" s="137">
        <f t="shared" si="37"/>
        <v>97350</v>
      </c>
    </row>
    <row r="419" spans="1:16" s="105" customFormat="1" ht="15.75" x14ac:dyDescent="0.25">
      <c r="A419" s="113" t="s">
        <v>1161</v>
      </c>
      <c r="B419" s="102">
        <v>45020</v>
      </c>
      <c r="C419" s="25" t="s">
        <v>1145</v>
      </c>
      <c r="D419" s="25" t="s">
        <v>1122</v>
      </c>
      <c r="E419" s="103">
        <v>1</v>
      </c>
      <c r="F419" s="132">
        <v>67571.820000000007</v>
      </c>
      <c r="G419" s="50"/>
      <c r="H419" s="107"/>
      <c r="I419" s="144">
        <v>1</v>
      </c>
      <c r="J419" s="104">
        <v>67571.820000000007</v>
      </c>
      <c r="K419" s="104">
        <f t="shared" si="36"/>
        <v>67571.820000000007</v>
      </c>
      <c r="L419" s="103"/>
      <c r="M419" s="141">
        <f t="shared" si="35"/>
        <v>2</v>
      </c>
      <c r="N419" s="121"/>
      <c r="O419" s="103" t="s">
        <v>946</v>
      </c>
      <c r="P419" s="137">
        <f t="shared" si="37"/>
        <v>135143.64000000001</v>
      </c>
    </row>
    <row r="420" spans="1:16" s="105" customFormat="1" ht="15.75" x14ac:dyDescent="0.25">
      <c r="A420" s="113" t="s">
        <v>1162</v>
      </c>
      <c r="B420" s="102">
        <v>45020</v>
      </c>
      <c r="C420" s="25" t="s">
        <v>1146</v>
      </c>
      <c r="D420" s="25" t="s">
        <v>1122</v>
      </c>
      <c r="E420" s="103">
        <v>15</v>
      </c>
      <c r="F420" s="132">
        <v>873.2</v>
      </c>
      <c r="G420" s="50"/>
      <c r="H420" s="107"/>
      <c r="I420" s="144">
        <v>15</v>
      </c>
      <c r="J420" s="104">
        <v>873.2</v>
      </c>
      <c r="K420" s="104">
        <f t="shared" si="36"/>
        <v>13098</v>
      </c>
      <c r="L420" s="103"/>
      <c r="M420" s="141">
        <f t="shared" si="35"/>
        <v>30</v>
      </c>
      <c r="N420" s="121"/>
      <c r="O420" s="103" t="s">
        <v>946</v>
      </c>
      <c r="P420" s="137">
        <f t="shared" si="37"/>
        <v>26196</v>
      </c>
    </row>
    <row r="421" spans="1:16" s="105" customFormat="1" ht="15.75" x14ac:dyDescent="0.25">
      <c r="A421" s="113" t="s">
        <v>1163</v>
      </c>
      <c r="B421" s="102">
        <v>45020</v>
      </c>
      <c r="C421" s="25" t="s">
        <v>1147</v>
      </c>
      <c r="D421" s="25" t="s">
        <v>1122</v>
      </c>
      <c r="E421" s="38">
        <v>20</v>
      </c>
      <c r="F421" s="132">
        <v>324.5</v>
      </c>
      <c r="G421" s="50"/>
      <c r="H421" s="107"/>
      <c r="I421" s="144">
        <v>20</v>
      </c>
      <c r="J421" s="104">
        <v>324.5</v>
      </c>
      <c r="K421" s="104">
        <f t="shared" si="36"/>
        <v>6490</v>
      </c>
      <c r="L421" s="103"/>
      <c r="M421" s="141">
        <f t="shared" si="35"/>
        <v>40</v>
      </c>
      <c r="N421" s="121"/>
      <c r="O421" s="103" t="s">
        <v>946</v>
      </c>
      <c r="P421" s="137">
        <f t="shared" si="37"/>
        <v>12980</v>
      </c>
    </row>
    <row r="422" spans="1:16" s="105" customFormat="1" ht="15.75" x14ac:dyDescent="0.25">
      <c r="A422" s="113" t="s">
        <v>1164</v>
      </c>
      <c r="B422" s="102">
        <v>45020</v>
      </c>
      <c r="C422" s="25" t="s">
        <v>1148</v>
      </c>
      <c r="D422" s="25" t="s">
        <v>1122</v>
      </c>
      <c r="E422" s="38">
        <v>300</v>
      </c>
      <c r="F422" s="132">
        <v>3.48</v>
      </c>
      <c r="G422" s="50"/>
      <c r="H422" s="107"/>
      <c r="I422" s="144">
        <v>300</v>
      </c>
      <c r="J422" s="104">
        <v>3.48</v>
      </c>
      <c r="K422" s="104">
        <f t="shared" si="36"/>
        <v>1044</v>
      </c>
      <c r="L422" s="103"/>
      <c r="M422" s="141">
        <f t="shared" si="35"/>
        <v>600</v>
      </c>
      <c r="N422" s="121"/>
      <c r="O422" s="103" t="s">
        <v>946</v>
      </c>
      <c r="P422" s="137">
        <f t="shared" si="37"/>
        <v>2088</v>
      </c>
    </row>
    <row r="423" spans="1:16" s="105" customFormat="1" ht="15.75" x14ac:dyDescent="0.25">
      <c r="A423" s="113" t="s">
        <v>1165</v>
      </c>
      <c r="B423" s="102">
        <v>45020</v>
      </c>
      <c r="C423" s="25" t="s">
        <v>1149</v>
      </c>
      <c r="D423" s="25" t="s">
        <v>1122</v>
      </c>
      <c r="E423" s="38">
        <v>3</v>
      </c>
      <c r="F423" s="132">
        <v>1062</v>
      </c>
      <c r="G423" s="50"/>
      <c r="H423" s="107"/>
      <c r="I423" s="144">
        <v>3</v>
      </c>
      <c r="J423" s="13">
        <v>1062</v>
      </c>
      <c r="K423" s="104">
        <f t="shared" si="36"/>
        <v>3186</v>
      </c>
      <c r="L423" s="103"/>
      <c r="M423" s="141">
        <f t="shared" si="35"/>
        <v>6</v>
      </c>
      <c r="N423" s="121"/>
      <c r="O423" s="103" t="s">
        <v>946</v>
      </c>
      <c r="P423" s="137">
        <f t="shared" si="37"/>
        <v>6372</v>
      </c>
    </row>
    <row r="424" spans="1:16" s="105" customFormat="1" ht="15.75" x14ac:dyDescent="0.25">
      <c r="A424" s="113" t="s">
        <v>1166</v>
      </c>
      <c r="B424" s="102">
        <v>45020</v>
      </c>
      <c r="C424" s="25" t="s">
        <v>1150</v>
      </c>
      <c r="D424" s="25" t="s">
        <v>1122</v>
      </c>
      <c r="E424" s="38">
        <v>7</v>
      </c>
      <c r="F424" s="132">
        <v>1298</v>
      </c>
      <c r="G424" s="50"/>
      <c r="H424" s="107"/>
      <c r="I424" s="144">
        <v>7</v>
      </c>
      <c r="J424" s="13">
        <v>1298</v>
      </c>
      <c r="K424" s="104">
        <f t="shared" si="36"/>
        <v>9086</v>
      </c>
      <c r="L424" s="103"/>
      <c r="M424" s="141">
        <f t="shared" si="35"/>
        <v>14</v>
      </c>
      <c r="N424" s="121"/>
      <c r="O424" s="103" t="s">
        <v>946</v>
      </c>
      <c r="P424" s="137">
        <f t="shared" si="37"/>
        <v>18172</v>
      </c>
    </row>
    <row r="425" spans="1:16" s="105" customFormat="1" ht="15.75" x14ac:dyDescent="0.25">
      <c r="A425" s="113" t="s">
        <v>1169</v>
      </c>
      <c r="B425" s="102">
        <v>45019</v>
      </c>
      <c r="C425" s="25" t="s">
        <v>1171</v>
      </c>
      <c r="D425" s="25" t="s">
        <v>1172</v>
      </c>
      <c r="E425" s="38"/>
      <c r="F425" s="132">
        <v>3540</v>
      </c>
      <c r="G425" s="50"/>
      <c r="H425" s="107">
        <v>45019</v>
      </c>
      <c r="I425" s="144">
        <v>15</v>
      </c>
      <c r="J425" s="13">
        <v>3540</v>
      </c>
      <c r="K425" s="104">
        <f>+J425*I425</f>
        <v>53100</v>
      </c>
      <c r="L425" s="103">
        <v>1</v>
      </c>
      <c r="M425" s="141">
        <f t="shared" si="35"/>
        <v>14</v>
      </c>
      <c r="N425" s="121"/>
      <c r="O425" s="103" t="s">
        <v>945</v>
      </c>
      <c r="P425" s="137">
        <f>+F425*M425</f>
        <v>49560</v>
      </c>
    </row>
    <row r="426" spans="1:16" s="105" customFormat="1" ht="15.75" x14ac:dyDescent="0.25">
      <c r="A426" s="113" t="s">
        <v>1170</v>
      </c>
      <c r="B426" s="102">
        <v>45019</v>
      </c>
      <c r="C426" s="25" t="s">
        <v>1174</v>
      </c>
      <c r="D426" s="25" t="s">
        <v>1173</v>
      </c>
      <c r="E426" s="38">
        <v>6</v>
      </c>
      <c r="F426" s="132">
        <v>1500.96</v>
      </c>
      <c r="G426" s="50"/>
      <c r="H426" s="107">
        <v>45019</v>
      </c>
      <c r="I426" s="144">
        <f>16*6</f>
        <v>96</v>
      </c>
      <c r="J426" s="13">
        <v>1500.96</v>
      </c>
      <c r="K426" s="104">
        <f>+J426*I426</f>
        <v>144092.16</v>
      </c>
      <c r="L426" s="103">
        <v>11</v>
      </c>
      <c r="M426" s="141">
        <f t="shared" si="35"/>
        <v>91</v>
      </c>
      <c r="N426" s="121"/>
      <c r="O426" s="103" t="s">
        <v>945</v>
      </c>
      <c r="P426" s="137">
        <f t="shared" si="37"/>
        <v>136587.36000000002</v>
      </c>
    </row>
    <row r="427" spans="1:16" s="105" customFormat="1" ht="15.75" x14ac:dyDescent="0.25">
      <c r="A427" s="113" t="s">
        <v>1177</v>
      </c>
      <c r="B427" s="102">
        <v>45019</v>
      </c>
      <c r="C427" s="25" t="s">
        <v>1175</v>
      </c>
      <c r="D427" s="25" t="s">
        <v>1176</v>
      </c>
      <c r="E427" s="38">
        <f>12*7</f>
        <v>84</v>
      </c>
      <c r="F427" s="132">
        <v>181.92</v>
      </c>
      <c r="G427" s="50"/>
      <c r="H427" s="107"/>
      <c r="I427" s="144"/>
      <c r="J427" s="13">
        <v>181.92</v>
      </c>
      <c r="K427" s="104">
        <f>+J427*I427</f>
        <v>0</v>
      </c>
      <c r="L427" s="103">
        <v>84</v>
      </c>
      <c r="M427" s="141">
        <f>+E427+I427-L427</f>
        <v>0</v>
      </c>
      <c r="N427" s="121"/>
      <c r="O427" s="103" t="s">
        <v>945</v>
      </c>
      <c r="P427" s="137">
        <f t="shared" si="37"/>
        <v>0</v>
      </c>
    </row>
    <row r="428" spans="1:16" s="105" customFormat="1" ht="15.75" x14ac:dyDescent="0.25">
      <c r="A428" s="113" t="s">
        <v>1178</v>
      </c>
      <c r="B428" s="102">
        <v>45019</v>
      </c>
      <c r="C428" s="25" t="s">
        <v>1179</v>
      </c>
      <c r="D428" s="25" t="s">
        <v>1122</v>
      </c>
      <c r="E428" s="38">
        <v>5</v>
      </c>
      <c r="F428" s="132">
        <v>223.06</v>
      </c>
      <c r="G428" s="50"/>
      <c r="H428" s="107"/>
      <c r="I428" s="144">
        <v>12</v>
      </c>
      <c r="J428" s="13">
        <v>223.06</v>
      </c>
      <c r="K428" s="104">
        <f t="shared" ref="K428:K439" si="38">+J428*I428</f>
        <v>2676.7200000000003</v>
      </c>
      <c r="L428" s="103"/>
      <c r="M428" s="151">
        <f>+E428+I428-L428</f>
        <v>17</v>
      </c>
      <c r="N428" s="121"/>
      <c r="O428" s="103" t="s">
        <v>945</v>
      </c>
      <c r="P428" s="137">
        <f t="shared" si="37"/>
        <v>3792.02</v>
      </c>
    </row>
    <row r="429" spans="1:16" s="105" customFormat="1" ht="15.75" x14ac:dyDescent="0.25">
      <c r="A429" s="113" t="s">
        <v>1181</v>
      </c>
      <c r="B429" s="102">
        <v>45019</v>
      </c>
      <c r="C429" s="25" t="s">
        <v>1180</v>
      </c>
      <c r="D429" s="25" t="s">
        <v>1122</v>
      </c>
      <c r="E429" s="38"/>
      <c r="F429" s="132">
        <v>236</v>
      </c>
      <c r="G429" s="50"/>
      <c r="H429" s="107"/>
      <c r="I429" s="144">
        <v>12</v>
      </c>
      <c r="J429" s="13">
        <v>236</v>
      </c>
      <c r="K429" s="104">
        <f t="shared" si="38"/>
        <v>2832</v>
      </c>
      <c r="L429" s="117"/>
      <c r="M429" s="151">
        <f t="shared" ref="M429:M469" si="39">+E429+I429-L429</f>
        <v>12</v>
      </c>
      <c r="N429" s="121"/>
      <c r="O429" s="103" t="s">
        <v>945</v>
      </c>
      <c r="P429" s="137">
        <f t="shared" si="37"/>
        <v>2832</v>
      </c>
    </row>
    <row r="430" spans="1:16" s="105" customFormat="1" ht="15.75" x14ac:dyDescent="0.25">
      <c r="A430" s="113" t="s">
        <v>1182</v>
      </c>
      <c r="B430" s="102">
        <v>45019</v>
      </c>
      <c r="C430" s="25" t="s">
        <v>1183</v>
      </c>
      <c r="D430" s="25" t="s">
        <v>1122</v>
      </c>
      <c r="E430" s="38"/>
      <c r="F430" s="132">
        <v>248.52</v>
      </c>
      <c r="G430" s="50"/>
      <c r="H430" s="107"/>
      <c r="I430" s="144">
        <v>12</v>
      </c>
      <c r="J430" s="13">
        <v>248.52</v>
      </c>
      <c r="K430" s="104">
        <f t="shared" si="38"/>
        <v>2982.2400000000002</v>
      </c>
      <c r="L430" s="117">
        <v>6</v>
      </c>
      <c r="M430" s="151">
        <f t="shared" si="39"/>
        <v>6</v>
      </c>
      <c r="N430" s="121"/>
      <c r="O430" s="103" t="s">
        <v>945</v>
      </c>
      <c r="P430" s="137">
        <f t="shared" si="37"/>
        <v>1491.1200000000001</v>
      </c>
    </row>
    <row r="431" spans="1:16" s="105" customFormat="1" ht="15.75" x14ac:dyDescent="0.25">
      <c r="A431" s="113" t="s">
        <v>1184</v>
      </c>
      <c r="B431" s="102">
        <v>45019</v>
      </c>
      <c r="C431" s="25" t="s">
        <v>650</v>
      </c>
      <c r="D431" s="25" t="s">
        <v>1122</v>
      </c>
      <c r="E431" s="38">
        <v>1900</v>
      </c>
      <c r="F431" s="132">
        <v>4.01</v>
      </c>
      <c r="G431" s="50"/>
      <c r="H431" s="107">
        <v>45019</v>
      </c>
      <c r="I431" s="144">
        <v>700</v>
      </c>
      <c r="J431" s="130">
        <v>4.01</v>
      </c>
      <c r="K431" s="104">
        <f t="shared" si="38"/>
        <v>2807</v>
      </c>
      <c r="L431" s="117">
        <v>300</v>
      </c>
      <c r="M431" s="151">
        <f t="shared" si="39"/>
        <v>2300</v>
      </c>
      <c r="N431" s="121"/>
      <c r="O431" s="103" t="s">
        <v>945</v>
      </c>
      <c r="P431" s="137">
        <f t="shared" si="37"/>
        <v>9223</v>
      </c>
    </row>
    <row r="432" spans="1:16" s="105" customFormat="1" ht="15.75" x14ac:dyDescent="0.25">
      <c r="A432" s="113" t="s">
        <v>1185</v>
      </c>
      <c r="B432" s="102">
        <v>45019</v>
      </c>
      <c r="C432" s="25" t="s">
        <v>1186</v>
      </c>
      <c r="D432" s="25" t="s">
        <v>1122</v>
      </c>
      <c r="E432" s="38">
        <v>50</v>
      </c>
      <c r="F432" s="132">
        <v>66.67</v>
      </c>
      <c r="G432" s="50">
        <f>+E432*F432</f>
        <v>3333.5</v>
      </c>
      <c r="H432" s="107"/>
      <c r="I432" s="144"/>
      <c r="J432" s="13">
        <v>66.67</v>
      </c>
      <c r="K432" s="104">
        <f t="shared" si="38"/>
        <v>0</v>
      </c>
      <c r="L432" s="117">
        <v>3</v>
      </c>
      <c r="M432" s="141">
        <f t="shared" si="39"/>
        <v>47</v>
      </c>
      <c r="N432" s="122"/>
      <c r="O432" s="117" t="s">
        <v>945</v>
      </c>
      <c r="P432" s="137">
        <f t="shared" si="37"/>
        <v>3133.4900000000002</v>
      </c>
    </row>
    <row r="433" spans="1:16" s="105" customFormat="1" ht="15.75" x14ac:dyDescent="0.25">
      <c r="A433" s="113" t="s">
        <v>1187</v>
      </c>
      <c r="B433" s="102">
        <v>45016</v>
      </c>
      <c r="C433" s="25" t="s">
        <v>1189</v>
      </c>
      <c r="D433" s="25" t="s">
        <v>1122</v>
      </c>
      <c r="E433" s="38">
        <v>8</v>
      </c>
      <c r="F433" s="132">
        <v>3371.25</v>
      </c>
      <c r="G433" s="50"/>
      <c r="H433" s="107"/>
      <c r="I433" s="144">
        <v>8</v>
      </c>
      <c r="J433" s="130">
        <v>3371.25</v>
      </c>
      <c r="K433" s="104">
        <f t="shared" si="38"/>
        <v>26970</v>
      </c>
      <c r="L433" s="117"/>
      <c r="M433" s="141">
        <f t="shared" si="39"/>
        <v>16</v>
      </c>
      <c r="N433" s="122"/>
      <c r="O433" s="117" t="s">
        <v>945</v>
      </c>
      <c r="P433" s="137">
        <f t="shared" si="37"/>
        <v>53940</v>
      </c>
    </row>
    <row r="434" spans="1:16" s="105" customFormat="1" ht="15.75" x14ac:dyDescent="0.25">
      <c r="A434" s="113" t="s">
        <v>1188</v>
      </c>
      <c r="B434" s="102">
        <v>45016</v>
      </c>
      <c r="C434" s="25" t="s">
        <v>1191</v>
      </c>
      <c r="D434" s="25" t="s">
        <v>1122</v>
      </c>
      <c r="E434" s="38"/>
      <c r="F434" s="132">
        <v>510.94</v>
      </c>
      <c r="G434" s="50"/>
      <c r="H434" s="107"/>
      <c r="I434" s="144">
        <v>5</v>
      </c>
      <c r="J434" s="130">
        <v>510.94</v>
      </c>
      <c r="K434" s="118">
        <f t="shared" si="38"/>
        <v>2554.6999999999998</v>
      </c>
      <c r="L434" s="117"/>
      <c r="M434" s="141">
        <f t="shared" si="39"/>
        <v>5</v>
      </c>
      <c r="N434" s="122"/>
      <c r="O434" s="117" t="s">
        <v>945</v>
      </c>
      <c r="P434" s="137">
        <f>+F434*M434</f>
        <v>2554.6999999999998</v>
      </c>
    </row>
    <row r="435" spans="1:16" s="105" customFormat="1" ht="15.75" x14ac:dyDescent="0.25">
      <c r="A435" s="113" t="s">
        <v>1197</v>
      </c>
      <c r="B435" s="102">
        <v>45016</v>
      </c>
      <c r="C435" s="25" t="s">
        <v>1192</v>
      </c>
      <c r="D435" s="25" t="s">
        <v>1122</v>
      </c>
      <c r="E435" s="38">
        <v>0</v>
      </c>
      <c r="F435" s="132">
        <v>7003.3</v>
      </c>
      <c r="G435" s="50"/>
      <c r="H435" s="107"/>
      <c r="I435" s="144">
        <v>4</v>
      </c>
      <c r="J435" s="130">
        <v>7003.3</v>
      </c>
      <c r="K435" s="118">
        <f t="shared" si="38"/>
        <v>28013.200000000001</v>
      </c>
      <c r="L435" s="117">
        <v>4</v>
      </c>
      <c r="M435" s="141">
        <f t="shared" si="39"/>
        <v>0</v>
      </c>
      <c r="N435" s="122"/>
      <c r="O435" s="117" t="s">
        <v>945</v>
      </c>
      <c r="P435" s="137">
        <f>+F435*M435</f>
        <v>0</v>
      </c>
    </row>
    <row r="436" spans="1:16" s="105" customFormat="1" ht="15.75" x14ac:dyDescent="0.25">
      <c r="A436" s="113" t="s">
        <v>1198</v>
      </c>
      <c r="B436" s="102">
        <v>45016</v>
      </c>
      <c r="C436" s="25" t="s">
        <v>1193</v>
      </c>
      <c r="D436" s="25" t="s">
        <v>1122</v>
      </c>
      <c r="E436" s="38"/>
      <c r="F436" s="132">
        <v>55.61</v>
      </c>
      <c r="G436" s="50"/>
      <c r="H436" s="107"/>
      <c r="I436" s="144">
        <v>80</v>
      </c>
      <c r="J436" s="130">
        <v>55.61</v>
      </c>
      <c r="K436" s="118">
        <f t="shared" si="38"/>
        <v>4448.8</v>
      </c>
      <c r="L436" s="117">
        <v>1</v>
      </c>
      <c r="M436" s="141">
        <f t="shared" si="39"/>
        <v>79</v>
      </c>
      <c r="N436" s="122"/>
      <c r="O436" s="117" t="s">
        <v>946</v>
      </c>
      <c r="P436" s="137">
        <f t="shared" si="37"/>
        <v>4393.1899999999996</v>
      </c>
    </row>
    <row r="437" spans="1:16" s="105" customFormat="1" ht="15.75" x14ac:dyDescent="0.25">
      <c r="A437" s="113" t="s">
        <v>1199</v>
      </c>
      <c r="B437" s="102">
        <v>45016</v>
      </c>
      <c r="C437" s="25" t="s">
        <v>1194</v>
      </c>
      <c r="D437" s="25" t="s">
        <v>1122</v>
      </c>
      <c r="E437" s="38"/>
      <c r="F437" s="132">
        <v>21.82</v>
      </c>
      <c r="G437" s="50"/>
      <c r="H437" s="107"/>
      <c r="I437" s="144">
        <v>80</v>
      </c>
      <c r="J437" s="130">
        <v>21.82</v>
      </c>
      <c r="K437" s="118">
        <f t="shared" si="38"/>
        <v>1745.6</v>
      </c>
      <c r="L437" s="117"/>
      <c r="M437" s="141">
        <f t="shared" si="39"/>
        <v>80</v>
      </c>
      <c r="N437" s="122"/>
      <c r="O437" s="117" t="s">
        <v>946</v>
      </c>
      <c r="P437" s="137">
        <f t="shared" si="37"/>
        <v>1745.6</v>
      </c>
    </row>
    <row r="438" spans="1:16" s="105" customFormat="1" ht="15.75" x14ac:dyDescent="0.25">
      <c r="A438" s="113" t="s">
        <v>1200</v>
      </c>
      <c r="B438" s="102">
        <v>45016</v>
      </c>
      <c r="C438" s="25" t="s">
        <v>1195</v>
      </c>
      <c r="D438" s="25" t="s">
        <v>1122</v>
      </c>
      <c r="E438" s="38"/>
      <c r="F438" s="132">
        <v>35240.699999999997</v>
      </c>
      <c r="G438" s="50"/>
      <c r="H438" s="107"/>
      <c r="I438" s="144">
        <v>4</v>
      </c>
      <c r="J438" s="130">
        <v>35240.699999999997</v>
      </c>
      <c r="K438" s="118">
        <f t="shared" si="38"/>
        <v>140962.79999999999</v>
      </c>
      <c r="L438" s="117">
        <v>4</v>
      </c>
      <c r="M438" s="141">
        <f t="shared" si="39"/>
        <v>0</v>
      </c>
      <c r="N438" s="122"/>
      <c r="O438" s="117" t="s">
        <v>946</v>
      </c>
      <c r="P438" s="137">
        <f t="shared" si="37"/>
        <v>0</v>
      </c>
    </row>
    <row r="439" spans="1:16" s="105" customFormat="1" ht="15.75" x14ac:dyDescent="0.25">
      <c r="A439" s="113" t="s">
        <v>1201</v>
      </c>
      <c r="B439" s="102">
        <v>45016</v>
      </c>
      <c r="C439" s="115" t="s">
        <v>1196</v>
      </c>
      <c r="D439" s="115" t="s">
        <v>1122</v>
      </c>
      <c r="E439" s="99"/>
      <c r="F439" s="148">
        <v>1770</v>
      </c>
      <c r="G439" s="101"/>
      <c r="H439" s="119"/>
      <c r="I439" s="144">
        <v>30</v>
      </c>
      <c r="J439" s="130">
        <v>1770</v>
      </c>
      <c r="K439" s="118">
        <f t="shared" si="38"/>
        <v>53100</v>
      </c>
      <c r="L439" s="117">
        <v>30</v>
      </c>
      <c r="M439" s="145">
        <f t="shared" si="39"/>
        <v>0</v>
      </c>
      <c r="N439" s="122"/>
      <c r="O439" s="117" t="s">
        <v>947</v>
      </c>
      <c r="P439" s="149">
        <f t="shared" si="37"/>
        <v>0</v>
      </c>
    </row>
    <row r="440" spans="1:16" s="105" customFormat="1" ht="15.75" x14ac:dyDescent="0.25">
      <c r="A440" s="113" t="s">
        <v>1202</v>
      </c>
      <c r="B440" s="114"/>
      <c r="C440" s="115" t="s">
        <v>1205</v>
      </c>
      <c r="D440" s="115" t="s">
        <v>1122</v>
      </c>
      <c r="E440" s="99"/>
      <c r="F440" s="148"/>
      <c r="G440" s="101"/>
      <c r="H440" s="119"/>
      <c r="I440" s="144"/>
      <c r="J440" s="130"/>
      <c r="K440" s="118"/>
      <c r="L440" s="117">
        <v>12</v>
      </c>
      <c r="M440" s="145">
        <f t="shared" si="39"/>
        <v>-12</v>
      </c>
      <c r="N440" s="122"/>
      <c r="O440" s="117" t="s">
        <v>947</v>
      </c>
      <c r="P440" s="149"/>
    </row>
    <row r="441" spans="1:16" s="105" customFormat="1" ht="15.75" x14ac:dyDescent="0.25">
      <c r="A441" s="113" t="s">
        <v>1203</v>
      </c>
      <c r="B441" s="114"/>
      <c r="C441" s="115" t="s">
        <v>1206</v>
      </c>
      <c r="D441" s="115" t="s">
        <v>1122</v>
      </c>
      <c r="E441" s="99"/>
      <c r="F441" s="148"/>
      <c r="G441" s="101"/>
      <c r="H441" s="119"/>
      <c r="I441" s="144">
        <v>310</v>
      </c>
      <c r="J441" s="130"/>
      <c r="K441" s="118"/>
      <c r="L441" s="117">
        <v>24</v>
      </c>
      <c r="M441" s="150">
        <f t="shared" si="39"/>
        <v>286</v>
      </c>
      <c r="N441" s="122"/>
      <c r="O441" s="117" t="s">
        <v>947</v>
      </c>
      <c r="P441" s="149"/>
    </row>
    <row r="442" spans="1:16" s="105" customFormat="1" ht="15.75" x14ac:dyDescent="0.25">
      <c r="A442" s="113" t="s">
        <v>1204</v>
      </c>
      <c r="B442" s="114"/>
      <c r="C442" s="115" t="s">
        <v>1207</v>
      </c>
      <c r="D442" s="115" t="s">
        <v>1122</v>
      </c>
      <c r="E442" s="99"/>
      <c r="F442" s="148"/>
      <c r="G442" s="101"/>
      <c r="H442" s="119"/>
      <c r="I442" s="144">
        <v>101</v>
      </c>
      <c r="J442" s="130"/>
      <c r="K442" s="118"/>
      <c r="L442" s="117">
        <v>15</v>
      </c>
      <c r="M442" s="150">
        <f t="shared" si="39"/>
        <v>86</v>
      </c>
      <c r="N442" s="122"/>
      <c r="O442" s="117" t="s">
        <v>947</v>
      </c>
      <c r="P442" s="149"/>
    </row>
    <row r="443" spans="1:16" s="105" customFormat="1" ht="15.75" x14ac:dyDescent="0.25">
      <c r="A443" s="113" t="s">
        <v>1213</v>
      </c>
      <c r="B443" s="114"/>
      <c r="C443" s="115" t="s">
        <v>1208</v>
      </c>
      <c r="D443" s="115" t="s">
        <v>1122</v>
      </c>
      <c r="E443" s="99"/>
      <c r="F443" s="148"/>
      <c r="G443" s="101"/>
      <c r="H443" s="119"/>
      <c r="I443" s="144">
        <v>500</v>
      </c>
      <c r="J443" s="130"/>
      <c r="K443" s="118"/>
      <c r="L443" s="117">
        <f>15+54</f>
        <v>69</v>
      </c>
      <c r="M443" s="145">
        <f t="shared" si="39"/>
        <v>431</v>
      </c>
      <c r="N443" s="122"/>
      <c r="O443" s="117" t="s">
        <v>947</v>
      </c>
      <c r="P443" s="149"/>
    </row>
    <row r="444" spans="1:16" s="105" customFormat="1" ht="15.75" x14ac:dyDescent="0.25">
      <c r="A444" s="113" t="s">
        <v>1214</v>
      </c>
      <c r="B444" s="114"/>
      <c r="C444" s="115" t="s">
        <v>1209</v>
      </c>
      <c r="D444" s="115" t="s">
        <v>1122</v>
      </c>
      <c r="E444" s="99"/>
      <c r="F444" s="148"/>
      <c r="G444" s="101"/>
      <c r="H444" s="119"/>
      <c r="I444" s="144">
        <v>300</v>
      </c>
      <c r="J444" s="130"/>
      <c r="K444" s="118"/>
      <c r="L444" s="117">
        <v>100</v>
      </c>
      <c r="M444" s="145">
        <f>+E444+I444-L444</f>
        <v>200</v>
      </c>
      <c r="N444" s="122"/>
      <c r="O444" s="117" t="s">
        <v>947</v>
      </c>
      <c r="P444" s="149"/>
    </row>
    <row r="445" spans="1:16" s="105" customFormat="1" ht="15.75" x14ac:dyDescent="0.25">
      <c r="A445" s="113" t="s">
        <v>1215</v>
      </c>
      <c r="B445" s="114"/>
      <c r="C445" s="115" t="s">
        <v>1210</v>
      </c>
      <c r="D445" s="115" t="s">
        <v>1122</v>
      </c>
      <c r="E445" s="99"/>
      <c r="F445" s="148"/>
      <c r="G445" s="101"/>
      <c r="H445" s="119"/>
      <c r="I445" s="144">
        <v>99</v>
      </c>
      <c r="J445" s="130"/>
      <c r="K445" s="118"/>
      <c r="L445" s="117">
        <v>3</v>
      </c>
      <c r="M445" s="145">
        <f t="shared" si="39"/>
        <v>96</v>
      </c>
      <c r="N445" s="122"/>
      <c r="O445" s="117" t="s">
        <v>947</v>
      </c>
      <c r="P445" s="149"/>
    </row>
    <row r="446" spans="1:16" s="105" customFormat="1" ht="15.75" x14ac:dyDescent="0.25">
      <c r="A446" s="113" t="s">
        <v>1216</v>
      </c>
      <c r="B446" s="114"/>
      <c r="C446" s="25" t="s">
        <v>1211</v>
      </c>
      <c r="D446" s="115" t="s">
        <v>1122</v>
      </c>
      <c r="E446" s="99"/>
      <c r="F446" s="148"/>
      <c r="G446" s="101"/>
      <c r="H446" s="119"/>
      <c r="I446" s="144"/>
      <c r="J446" s="130"/>
      <c r="K446" s="118"/>
      <c r="L446" s="117">
        <v>4</v>
      </c>
      <c r="M446" s="145">
        <f t="shared" si="39"/>
        <v>-4</v>
      </c>
      <c r="N446" s="122"/>
      <c r="O446" s="117" t="s">
        <v>946</v>
      </c>
      <c r="P446" s="149"/>
    </row>
    <row r="447" spans="1:16" s="105" customFormat="1" ht="15.75" x14ac:dyDescent="0.25">
      <c r="A447" s="113" t="s">
        <v>1217</v>
      </c>
      <c r="B447" s="114"/>
      <c r="C447" s="115" t="s">
        <v>1212</v>
      </c>
      <c r="D447" s="115" t="s">
        <v>1122</v>
      </c>
      <c r="E447" s="99"/>
      <c r="F447" s="148"/>
      <c r="G447" s="101"/>
      <c r="H447" s="119"/>
      <c r="I447" s="144"/>
      <c r="J447" s="130"/>
      <c r="K447" s="118"/>
      <c r="L447" s="117">
        <v>1</v>
      </c>
      <c r="M447" s="145">
        <f t="shared" si="39"/>
        <v>-1</v>
      </c>
      <c r="N447" s="122"/>
      <c r="O447" s="117" t="s">
        <v>946</v>
      </c>
      <c r="P447" s="149"/>
    </row>
    <row r="448" spans="1:16" s="105" customFormat="1" ht="15.75" x14ac:dyDescent="0.25">
      <c r="A448" s="113" t="s">
        <v>1245</v>
      </c>
      <c r="B448" s="114"/>
      <c r="C448" s="115" t="s">
        <v>1221</v>
      </c>
      <c r="D448" s="115"/>
      <c r="E448" s="99"/>
      <c r="F448" s="148"/>
      <c r="G448" s="101"/>
      <c r="H448" s="119"/>
      <c r="I448" s="144">
        <v>10</v>
      </c>
      <c r="J448" s="130">
        <v>361.99</v>
      </c>
      <c r="K448" s="118">
        <f t="shared" ref="K448" si="40">+J448*I448</f>
        <v>3619.9</v>
      </c>
      <c r="L448" s="117">
        <v>1</v>
      </c>
      <c r="M448" s="150">
        <f t="shared" si="39"/>
        <v>9</v>
      </c>
      <c r="N448" s="122"/>
      <c r="O448" s="117" t="s">
        <v>945</v>
      </c>
      <c r="P448" s="149"/>
    </row>
    <row r="449" spans="1:16" s="105" customFormat="1" ht="15.75" x14ac:dyDescent="0.25">
      <c r="A449" s="113" t="s">
        <v>1246</v>
      </c>
      <c r="B449" s="114"/>
      <c r="C449" s="115" t="s">
        <v>1225</v>
      </c>
      <c r="D449" s="115"/>
      <c r="E449" s="99"/>
      <c r="F449" s="148"/>
      <c r="G449" s="101"/>
      <c r="H449" s="119"/>
      <c r="I449" s="144">
        <v>6</v>
      </c>
      <c r="J449" s="130"/>
      <c r="K449" s="118"/>
      <c r="L449" s="117"/>
      <c r="M449" s="150">
        <f t="shared" si="39"/>
        <v>6</v>
      </c>
      <c r="N449" s="122"/>
      <c r="O449" s="117" t="s">
        <v>947</v>
      </c>
      <c r="P449" s="149"/>
    </row>
    <row r="450" spans="1:16" s="105" customFormat="1" ht="15.75" x14ac:dyDescent="0.25">
      <c r="A450" s="113" t="s">
        <v>1247</v>
      </c>
      <c r="B450" s="114">
        <v>45042</v>
      </c>
      <c r="C450" s="115" t="s">
        <v>1226</v>
      </c>
      <c r="D450" s="115" t="s">
        <v>1122</v>
      </c>
      <c r="E450" s="99">
        <f>12*4</f>
        <v>48</v>
      </c>
      <c r="F450" s="148"/>
      <c r="G450" s="101"/>
      <c r="H450" s="119"/>
      <c r="I450" s="144"/>
      <c r="J450" s="130"/>
      <c r="K450" s="118"/>
      <c r="L450" s="117">
        <f>48-33</f>
        <v>15</v>
      </c>
      <c r="M450" s="150">
        <f t="shared" si="39"/>
        <v>33</v>
      </c>
      <c r="N450" s="122"/>
      <c r="O450" s="117" t="s">
        <v>947</v>
      </c>
      <c r="P450" s="149"/>
    </row>
    <row r="451" spans="1:16" s="105" customFormat="1" ht="15.75" x14ac:dyDescent="0.25">
      <c r="A451" s="113" t="s">
        <v>1248</v>
      </c>
      <c r="B451" s="114">
        <v>45042</v>
      </c>
      <c r="C451" s="115" t="s">
        <v>1227</v>
      </c>
      <c r="D451" s="115" t="s">
        <v>1122</v>
      </c>
      <c r="E451" s="99">
        <v>10</v>
      </c>
      <c r="F451" s="148">
        <v>38.29</v>
      </c>
      <c r="G451" s="101"/>
      <c r="H451" s="119"/>
      <c r="I451" s="144">
        <v>10</v>
      </c>
      <c r="J451" s="130">
        <v>38.29</v>
      </c>
      <c r="K451" s="118">
        <f t="shared" ref="K451" si="41">+J451*I451</f>
        <v>382.9</v>
      </c>
      <c r="L451" s="117"/>
      <c r="M451" s="150">
        <f t="shared" si="39"/>
        <v>20</v>
      </c>
      <c r="N451" s="122"/>
      <c r="O451" s="117" t="s">
        <v>947</v>
      </c>
      <c r="P451" s="137">
        <f>+F451*M451</f>
        <v>765.8</v>
      </c>
    </row>
    <row r="452" spans="1:16" s="105" customFormat="1" ht="15.75" x14ac:dyDescent="0.25">
      <c r="A452" s="113" t="s">
        <v>1249</v>
      </c>
      <c r="B452" s="114"/>
      <c r="C452" s="115" t="s">
        <v>1229</v>
      </c>
      <c r="D452" s="115"/>
      <c r="E452" s="99"/>
      <c r="F452" s="148"/>
      <c r="G452" s="101"/>
      <c r="H452" s="119"/>
      <c r="I452" s="144">
        <v>100</v>
      </c>
      <c r="J452" s="130"/>
      <c r="K452" s="118"/>
      <c r="L452" s="117">
        <v>50</v>
      </c>
      <c r="M452" s="150">
        <f t="shared" si="39"/>
        <v>50</v>
      </c>
      <c r="N452" s="122"/>
      <c r="O452" s="117" t="s">
        <v>947</v>
      </c>
      <c r="P452" s="137">
        <f t="shared" ref="P452:P465" si="42">+F452*M452</f>
        <v>0</v>
      </c>
    </row>
    <row r="453" spans="1:16" s="105" customFormat="1" ht="15.75" x14ac:dyDescent="0.25">
      <c r="A453" s="113" t="s">
        <v>1250</v>
      </c>
      <c r="B453" s="114"/>
      <c r="C453" s="115" t="s">
        <v>1230</v>
      </c>
      <c r="D453" s="115" t="s">
        <v>1122</v>
      </c>
      <c r="E453" s="99"/>
      <c r="F453" s="148">
        <v>71.650000000000006</v>
      </c>
      <c r="G453" s="101"/>
      <c r="H453" s="119"/>
      <c r="I453" s="144">
        <v>10</v>
      </c>
      <c r="J453" s="130">
        <v>71.650000000000006</v>
      </c>
      <c r="K453" s="104">
        <f t="shared" ref="K453:K469" si="43">+J453*I453</f>
        <v>716.5</v>
      </c>
      <c r="L453" s="117">
        <v>1</v>
      </c>
      <c r="M453" s="150">
        <f t="shared" si="39"/>
        <v>9</v>
      </c>
      <c r="N453" s="122"/>
      <c r="O453" s="117" t="s">
        <v>947</v>
      </c>
      <c r="P453" s="137">
        <f t="shared" si="42"/>
        <v>644.85</v>
      </c>
    </row>
    <row r="454" spans="1:16" s="105" customFormat="1" ht="15.75" x14ac:dyDescent="0.25">
      <c r="A454" s="113" t="s">
        <v>1251</v>
      </c>
      <c r="B454" s="114"/>
      <c r="C454" s="115" t="s">
        <v>1231</v>
      </c>
      <c r="D454" s="115" t="s">
        <v>1232</v>
      </c>
      <c r="E454" s="99"/>
      <c r="F454" s="148"/>
      <c r="G454" s="101"/>
      <c r="H454" s="119"/>
      <c r="I454" s="144">
        <v>13</v>
      </c>
      <c r="J454" s="130"/>
      <c r="K454" s="104">
        <f t="shared" si="43"/>
        <v>0</v>
      </c>
      <c r="L454" s="117"/>
      <c r="M454" s="150">
        <f t="shared" si="39"/>
        <v>13</v>
      </c>
      <c r="N454" s="122"/>
      <c r="O454" s="117" t="s">
        <v>947</v>
      </c>
      <c r="P454" s="137">
        <f t="shared" si="42"/>
        <v>0</v>
      </c>
    </row>
    <row r="455" spans="1:16" s="105" customFormat="1" ht="15.75" x14ac:dyDescent="0.25">
      <c r="A455" s="113" t="s">
        <v>1252</v>
      </c>
      <c r="B455" s="102">
        <v>44193</v>
      </c>
      <c r="C455" s="9" t="s">
        <v>1233</v>
      </c>
      <c r="D455" s="25" t="s">
        <v>1122</v>
      </c>
      <c r="E455" s="99"/>
      <c r="F455" s="148"/>
      <c r="G455" s="101"/>
      <c r="H455" s="119"/>
      <c r="I455" s="144">
        <v>186</v>
      </c>
      <c r="J455" s="130"/>
      <c r="K455" s="104">
        <f t="shared" si="43"/>
        <v>0</v>
      </c>
      <c r="L455" s="117"/>
      <c r="M455" s="150">
        <f t="shared" si="39"/>
        <v>186</v>
      </c>
      <c r="N455" s="122"/>
      <c r="O455" s="117" t="s">
        <v>947</v>
      </c>
      <c r="P455" s="137">
        <f t="shared" si="42"/>
        <v>0</v>
      </c>
    </row>
    <row r="456" spans="1:16" s="105" customFormat="1" ht="15.75" x14ac:dyDescent="0.25">
      <c r="A456" s="113" t="s">
        <v>1253</v>
      </c>
      <c r="B456" s="114"/>
      <c r="C456" s="25" t="s">
        <v>1234</v>
      </c>
      <c r="D456" s="115"/>
      <c r="E456" s="99"/>
      <c r="F456" s="148"/>
      <c r="G456" s="101"/>
      <c r="H456" s="119"/>
      <c r="I456" s="144">
        <v>2</v>
      </c>
      <c r="J456" s="130"/>
      <c r="K456" s="104">
        <f t="shared" si="43"/>
        <v>0</v>
      </c>
      <c r="L456" s="117">
        <v>1</v>
      </c>
      <c r="M456" s="150">
        <f t="shared" si="39"/>
        <v>1</v>
      </c>
      <c r="N456" s="122"/>
      <c r="O456" s="117" t="s">
        <v>947</v>
      </c>
      <c r="P456" s="137">
        <f t="shared" si="42"/>
        <v>0</v>
      </c>
    </row>
    <row r="457" spans="1:16" s="105" customFormat="1" ht="15.75" x14ac:dyDescent="0.25">
      <c r="A457" s="113" t="s">
        <v>1254</v>
      </c>
      <c r="B457" s="114"/>
      <c r="C457" s="25" t="s">
        <v>1235</v>
      </c>
      <c r="D457" s="115"/>
      <c r="E457" s="99"/>
      <c r="F457" s="148"/>
      <c r="G457" s="101"/>
      <c r="H457" s="119"/>
      <c r="I457" s="144">
        <v>3</v>
      </c>
      <c r="J457" s="130"/>
      <c r="K457" s="104">
        <f t="shared" si="43"/>
        <v>0</v>
      </c>
      <c r="L457" s="117">
        <v>1</v>
      </c>
      <c r="M457" s="150">
        <f t="shared" si="39"/>
        <v>2</v>
      </c>
      <c r="N457" s="122"/>
      <c r="O457" s="117" t="s">
        <v>947</v>
      </c>
      <c r="P457" s="137">
        <f t="shared" si="42"/>
        <v>0</v>
      </c>
    </row>
    <row r="458" spans="1:16" s="105" customFormat="1" ht="15.75" x14ac:dyDescent="0.25">
      <c r="A458" s="113" t="s">
        <v>1255</v>
      </c>
      <c r="B458" s="114"/>
      <c r="C458" s="25" t="s">
        <v>1236</v>
      </c>
      <c r="D458" s="115"/>
      <c r="E458" s="99"/>
      <c r="F458" s="148"/>
      <c r="G458" s="101"/>
      <c r="H458" s="119"/>
      <c r="I458" s="144">
        <v>2</v>
      </c>
      <c r="J458" s="130"/>
      <c r="K458" s="104">
        <f t="shared" si="43"/>
        <v>0</v>
      </c>
      <c r="L458" s="117">
        <v>1</v>
      </c>
      <c r="M458" s="150">
        <f t="shared" si="39"/>
        <v>1</v>
      </c>
      <c r="N458" s="122"/>
      <c r="O458" s="117" t="s">
        <v>947</v>
      </c>
      <c r="P458" s="137">
        <f t="shared" si="42"/>
        <v>0</v>
      </c>
    </row>
    <row r="459" spans="1:16" s="105" customFormat="1" ht="15.75" x14ac:dyDescent="0.25">
      <c r="A459" s="113" t="s">
        <v>1256</v>
      </c>
      <c r="B459" s="114"/>
      <c r="C459" s="153" t="s">
        <v>1237</v>
      </c>
      <c r="D459" s="115"/>
      <c r="E459" s="99"/>
      <c r="F459" s="148"/>
      <c r="G459" s="101"/>
      <c r="H459" s="119"/>
      <c r="I459" s="144">
        <v>405</v>
      </c>
      <c r="J459" s="130"/>
      <c r="K459" s="104">
        <f t="shared" si="43"/>
        <v>0</v>
      </c>
      <c r="L459" s="117"/>
      <c r="M459" s="150">
        <f t="shared" si="39"/>
        <v>405</v>
      </c>
      <c r="N459" s="122"/>
      <c r="O459" s="117" t="s">
        <v>947</v>
      </c>
      <c r="P459" s="137">
        <f t="shared" si="42"/>
        <v>0</v>
      </c>
    </row>
    <row r="460" spans="1:16" s="105" customFormat="1" ht="15.75" x14ac:dyDescent="0.25">
      <c r="A460" s="113" t="s">
        <v>1257</v>
      </c>
      <c r="B460" s="114"/>
      <c r="C460" s="153" t="s">
        <v>1238</v>
      </c>
      <c r="D460" s="115" t="s">
        <v>1232</v>
      </c>
      <c r="E460" s="99"/>
      <c r="F460" s="148"/>
      <c r="G460" s="101"/>
      <c r="H460" s="119"/>
      <c r="I460" s="144">
        <v>3</v>
      </c>
      <c r="J460" s="130"/>
      <c r="K460" s="104">
        <f t="shared" si="43"/>
        <v>0</v>
      </c>
      <c r="L460" s="117"/>
      <c r="M460" s="150">
        <f t="shared" si="39"/>
        <v>3</v>
      </c>
      <c r="N460" s="122"/>
      <c r="O460" s="117" t="s">
        <v>947</v>
      </c>
      <c r="P460" s="137">
        <f t="shared" si="42"/>
        <v>0</v>
      </c>
    </row>
    <row r="461" spans="1:16" s="105" customFormat="1" ht="15.75" x14ac:dyDescent="0.25">
      <c r="A461" s="113" t="s">
        <v>1258</v>
      </c>
      <c r="B461" s="114"/>
      <c r="C461" s="153" t="s">
        <v>1242</v>
      </c>
      <c r="D461" s="115" t="s">
        <v>1122</v>
      </c>
      <c r="E461" s="99"/>
      <c r="F461" s="148">
        <v>355.33</v>
      </c>
      <c r="G461" s="101"/>
      <c r="H461" s="119">
        <v>45042</v>
      </c>
      <c r="I461" s="144">
        <v>10</v>
      </c>
      <c r="J461" s="130">
        <v>355.33</v>
      </c>
      <c r="K461" s="104">
        <f t="shared" si="43"/>
        <v>3553.2999999999997</v>
      </c>
      <c r="L461" s="117">
        <v>2</v>
      </c>
      <c r="M461" s="150">
        <f t="shared" si="39"/>
        <v>8</v>
      </c>
      <c r="N461" s="122"/>
      <c r="O461" s="117" t="s">
        <v>947</v>
      </c>
      <c r="P461" s="137">
        <f>+F461*M461</f>
        <v>2842.64</v>
      </c>
    </row>
    <row r="462" spans="1:16" s="105" customFormat="1" ht="15.75" x14ac:dyDescent="0.25">
      <c r="A462" s="113" t="s">
        <v>1259</v>
      </c>
      <c r="B462" s="114"/>
      <c r="C462" s="153" t="s">
        <v>1243</v>
      </c>
      <c r="D462" s="115" t="s">
        <v>1122</v>
      </c>
      <c r="E462" s="99"/>
      <c r="F462" s="148">
        <v>24.95</v>
      </c>
      <c r="G462" s="101"/>
      <c r="H462" s="119">
        <v>45042</v>
      </c>
      <c r="I462" s="144">
        <v>28</v>
      </c>
      <c r="J462" s="130">
        <v>24.95</v>
      </c>
      <c r="K462" s="104">
        <f t="shared" si="43"/>
        <v>698.6</v>
      </c>
      <c r="L462" s="117">
        <v>3</v>
      </c>
      <c r="M462" s="150">
        <f t="shared" si="39"/>
        <v>25</v>
      </c>
      <c r="N462" s="122"/>
      <c r="O462" s="117" t="s">
        <v>947</v>
      </c>
      <c r="P462" s="137">
        <f t="shared" si="42"/>
        <v>623.75</v>
      </c>
    </row>
    <row r="463" spans="1:16" s="105" customFormat="1" ht="15.75" x14ac:dyDescent="0.25">
      <c r="A463" s="113" t="s">
        <v>1260</v>
      </c>
      <c r="B463" s="114"/>
      <c r="C463" s="153" t="s">
        <v>1270</v>
      </c>
      <c r="D463" s="115" t="s">
        <v>1122</v>
      </c>
      <c r="E463" s="99"/>
      <c r="F463" s="148">
        <v>29</v>
      </c>
      <c r="G463" s="101"/>
      <c r="H463" s="119">
        <v>45042</v>
      </c>
      <c r="I463" s="144">
        <v>15</v>
      </c>
      <c r="J463" s="130">
        <v>29</v>
      </c>
      <c r="K463" s="104">
        <f t="shared" si="43"/>
        <v>435</v>
      </c>
      <c r="L463" s="117">
        <v>8</v>
      </c>
      <c r="M463" s="150">
        <f t="shared" si="39"/>
        <v>7</v>
      </c>
      <c r="N463" s="122"/>
      <c r="O463" s="117" t="s">
        <v>947</v>
      </c>
      <c r="P463" s="137">
        <f t="shared" si="42"/>
        <v>203</v>
      </c>
    </row>
    <row r="464" spans="1:16" s="105" customFormat="1" ht="15.75" x14ac:dyDescent="0.25">
      <c r="A464" s="113" t="s">
        <v>1261</v>
      </c>
      <c r="B464" s="114"/>
      <c r="C464" s="153" t="s">
        <v>1244</v>
      </c>
      <c r="D464" s="115" t="s">
        <v>1122</v>
      </c>
      <c r="E464" s="99"/>
      <c r="F464" s="148">
        <v>17</v>
      </c>
      <c r="G464" s="101"/>
      <c r="H464" s="119">
        <v>45042</v>
      </c>
      <c r="I464" s="144">
        <v>36</v>
      </c>
      <c r="J464" s="130">
        <v>17</v>
      </c>
      <c r="K464" s="104">
        <f t="shared" si="43"/>
        <v>612</v>
      </c>
      <c r="L464" s="117"/>
      <c r="M464" s="150">
        <f t="shared" si="39"/>
        <v>36</v>
      </c>
      <c r="N464" s="122"/>
      <c r="O464" s="117" t="s">
        <v>947</v>
      </c>
      <c r="P464" s="137">
        <f t="shared" si="42"/>
        <v>612</v>
      </c>
    </row>
    <row r="465" spans="1:16" s="105" customFormat="1" ht="15.75" x14ac:dyDescent="0.25">
      <c r="A465" s="113" t="s">
        <v>1266</v>
      </c>
      <c r="B465" s="114"/>
      <c r="C465" s="153" t="s">
        <v>1262</v>
      </c>
      <c r="D465" s="115" t="s">
        <v>1122</v>
      </c>
      <c r="E465" s="99"/>
      <c r="F465" s="148">
        <v>4204</v>
      </c>
      <c r="G465" s="101"/>
      <c r="H465" s="119">
        <v>45042</v>
      </c>
      <c r="I465" s="144">
        <v>2</v>
      </c>
      <c r="J465" s="130">
        <v>4204</v>
      </c>
      <c r="K465" s="104">
        <f t="shared" si="43"/>
        <v>8408</v>
      </c>
      <c r="L465" s="117"/>
      <c r="M465" s="145">
        <f t="shared" si="39"/>
        <v>2</v>
      </c>
      <c r="N465" s="122"/>
      <c r="O465" s="117"/>
      <c r="P465" s="137">
        <f t="shared" si="42"/>
        <v>8408</v>
      </c>
    </row>
    <row r="466" spans="1:16" s="105" customFormat="1" ht="15.75" x14ac:dyDescent="0.25">
      <c r="A466" s="113" t="s">
        <v>1267</v>
      </c>
      <c r="B466" s="114"/>
      <c r="C466" s="153" t="s">
        <v>1263</v>
      </c>
      <c r="D466" s="115" t="s">
        <v>1122</v>
      </c>
      <c r="E466" s="99"/>
      <c r="F466" s="148">
        <v>4917.0600000000004</v>
      </c>
      <c r="G466" s="101"/>
      <c r="H466" s="119">
        <v>45042</v>
      </c>
      <c r="I466" s="144">
        <v>2</v>
      </c>
      <c r="J466" s="130">
        <v>4917.0600000000004</v>
      </c>
      <c r="K466" s="104">
        <f t="shared" si="43"/>
        <v>9834.1200000000008</v>
      </c>
      <c r="L466" s="117"/>
      <c r="M466" s="145">
        <f t="shared" si="39"/>
        <v>2</v>
      </c>
      <c r="N466" s="122"/>
      <c r="O466" s="117"/>
      <c r="P466" s="149"/>
    </row>
    <row r="467" spans="1:16" s="105" customFormat="1" ht="15.75" x14ac:dyDescent="0.25">
      <c r="A467" s="113" t="s">
        <v>1268</v>
      </c>
      <c r="B467" s="114"/>
      <c r="C467" s="153" t="s">
        <v>1264</v>
      </c>
      <c r="D467" s="115" t="s">
        <v>1122</v>
      </c>
      <c r="E467" s="99"/>
      <c r="F467" s="148">
        <v>4917.0600000000004</v>
      </c>
      <c r="G467" s="101"/>
      <c r="H467" s="119">
        <v>45042</v>
      </c>
      <c r="I467" s="144">
        <v>2</v>
      </c>
      <c r="J467" s="130">
        <v>4917.0600000000004</v>
      </c>
      <c r="K467" s="104">
        <f t="shared" si="43"/>
        <v>9834.1200000000008</v>
      </c>
      <c r="L467" s="117"/>
      <c r="M467" s="145">
        <f t="shared" si="39"/>
        <v>2</v>
      </c>
      <c r="N467" s="122"/>
      <c r="O467" s="117"/>
      <c r="P467" s="149"/>
    </row>
    <row r="468" spans="1:16" s="105" customFormat="1" ht="15.75" x14ac:dyDescent="0.25">
      <c r="A468" s="113" t="s">
        <v>1269</v>
      </c>
      <c r="B468" s="114"/>
      <c r="C468" s="153" t="s">
        <v>1265</v>
      </c>
      <c r="D468" s="115" t="s">
        <v>1122</v>
      </c>
      <c r="E468" s="99"/>
      <c r="F468" s="148">
        <v>4917.0600000000004</v>
      </c>
      <c r="G468" s="101"/>
      <c r="H468" s="119">
        <v>45042</v>
      </c>
      <c r="I468" s="144">
        <v>2</v>
      </c>
      <c r="J468" s="130">
        <v>4917.0600000000004</v>
      </c>
      <c r="K468" s="104">
        <f t="shared" si="43"/>
        <v>9834.1200000000008</v>
      </c>
      <c r="L468" s="117"/>
      <c r="M468" s="145">
        <f t="shared" si="39"/>
        <v>2</v>
      </c>
      <c r="N468" s="122"/>
      <c r="O468" s="117"/>
      <c r="P468" s="149"/>
    </row>
    <row r="469" spans="1:16" s="105" customFormat="1" ht="15.75" x14ac:dyDescent="0.25">
      <c r="A469" s="113" t="s">
        <v>1272</v>
      </c>
      <c r="B469" s="114"/>
      <c r="C469" s="153" t="s">
        <v>1271</v>
      </c>
      <c r="D469" s="115" t="s">
        <v>1122</v>
      </c>
      <c r="E469" s="99"/>
      <c r="F469" s="148">
        <v>1298</v>
      </c>
      <c r="G469" s="101"/>
      <c r="H469" s="119">
        <v>45051</v>
      </c>
      <c r="I469" s="144">
        <v>3</v>
      </c>
      <c r="J469" s="130">
        <v>1298</v>
      </c>
      <c r="K469" s="118">
        <f t="shared" si="43"/>
        <v>3894</v>
      </c>
      <c r="L469" s="117">
        <v>3</v>
      </c>
      <c r="M469" s="145">
        <f t="shared" si="39"/>
        <v>0</v>
      </c>
      <c r="N469" s="122"/>
      <c r="O469" s="117"/>
      <c r="P469" s="149"/>
    </row>
    <row r="470" spans="1:16" s="105" customFormat="1" ht="15.75" x14ac:dyDescent="0.25">
      <c r="A470" s="113" t="s">
        <v>1273</v>
      </c>
      <c r="B470" s="114"/>
      <c r="C470" s="153"/>
      <c r="D470" s="115"/>
      <c r="E470" s="99"/>
      <c r="F470" s="148"/>
      <c r="G470" s="101"/>
      <c r="H470" s="119"/>
      <c r="I470" s="144"/>
      <c r="J470" s="130"/>
      <c r="K470" s="118"/>
      <c r="L470" s="117"/>
      <c r="M470" s="145"/>
      <c r="N470" s="122"/>
      <c r="O470" s="117"/>
      <c r="P470" s="149"/>
    </row>
    <row r="471" spans="1:16" s="105" customFormat="1" ht="15.75" x14ac:dyDescent="0.25">
      <c r="A471" s="113" t="s">
        <v>1274</v>
      </c>
      <c r="B471" s="114"/>
      <c r="C471" s="153"/>
      <c r="D471" s="115"/>
      <c r="E471" s="99"/>
      <c r="F471" s="148"/>
      <c r="G471" s="101"/>
      <c r="H471" s="119"/>
      <c r="I471" s="144"/>
      <c r="J471" s="130"/>
      <c r="K471" s="118"/>
      <c r="L471" s="117"/>
      <c r="M471" s="145"/>
      <c r="N471" s="122"/>
      <c r="O471" s="117"/>
      <c r="P471" s="149"/>
    </row>
    <row r="472" spans="1:16" s="105" customFormat="1" ht="15.75" x14ac:dyDescent="0.25">
      <c r="A472" s="113" t="s">
        <v>1275</v>
      </c>
      <c r="B472" s="114"/>
      <c r="C472" s="153"/>
      <c r="D472" s="115"/>
      <c r="E472" s="99"/>
      <c r="F472" s="148"/>
      <c r="G472" s="101"/>
      <c r="H472" s="119"/>
      <c r="I472" s="144"/>
      <c r="J472" s="130"/>
      <c r="K472" s="118"/>
      <c r="L472" s="117"/>
      <c r="M472" s="145"/>
      <c r="N472" s="122"/>
      <c r="O472" s="117"/>
      <c r="P472" s="149"/>
    </row>
    <row r="473" spans="1:16" s="105" customFormat="1" ht="15.75" x14ac:dyDescent="0.25">
      <c r="A473" s="113" t="s">
        <v>1276</v>
      </c>
      <c r="B473" s="114"/>
      <c r="C473" s="153"/>
      <c r="D473" s="115"/>
      <c r="E473" s="99"/>
      <c r="F473" s="148"/>
      <c r="G473" s="101"/>
      <c r="H473" s="119"/>
      <c r="I473" s="144"/>
      <c r="J473" s="130"/>
      <c r="K473" s="104">
        <f t="shared" ref="K473" si="44">+J473*I473</f>
        <v>0</v>
      </c>
      <c r="L473" s="117"/>
      <c r="M473" s="145"/>
      <c r="N473" s="122"/>
      <c r="O473" s="117"/>
      <c r="P473" s="137">
        <f t="shared" ref="P473" si="45">+F473*M473</f>
        <v>0</v>
      </c>
    </row>
    <row r="474" spans="1:16" s="105" customFormat="1" ht="15.75" x14ac:dyDescent="0.25">
      <c r="A474" s="116"/>
      <c r="B474" s="114"/>
      <c r="C474" s="153"/>
      <c r="D474" s="115"/>
      <c r="E474" s="99"/>
      <c r="F474" s="148"/>
      <c r="G474" s="101"/>
      <c r="H474" s="119"/>
      <c r="I474" s="147"/>
      <c r="J474" s="130"/>
      <c r="K474" s="118"/>
      <c r="L474" s="117"/>
      <c r="M474" s="150"/>
      <c r="N474" s="122"/>
      <c r="O474" s="117"/>
      <c r="P474" s="149"/>
    </row>
    <row r="475" spans="1:16" x14ac:dyDescent="0.3">
      <c r="A475" s="69" t="s">
        <v>98</v>
      </c>
      <c r="B475" s="238"/>
      <c r="C475" s="239"/>
      <c r="D475" s="239"/>
      <c r="E475" s="239"/>
      <c r="F475" s="240"/>
      <c r="G475" s="70">
        <f>SUM(G8:G378)</f>
        <v>1539940.1403600003</v>
      </c>
      <c r="H475" s="70"/>
      <c r="I475" s="142"/>
      <c r="J475" s="70">
        <f>SUM(J8:J449)</f>
        <v>319390.70866666664</v>
      </c>
      <c r="K475" s="70">
        <f>SUM(K8:K449)</f>
        <v>2556959.8948000004</v>
      </c>
      <c r="L475" s="70">
        <f>SUM(L8:L449)</f>
        <v>21492</v>
      </c>
      <c r="M475" s="70">
        <f>SUM(M8:M457)</f>
        <v>21074.560000000001</v>
      </c>
      <c r="N475" s="70"/>
      <c r="O475" s="70"/>
      <c r="P475" s="70">
        <f>SUM(P8:P449)</f>
        <v>3441122.3849000023</v>
      </c>
    </row>
    <row r="476" spans="1:16" x14ac:dyDescent="0.3">
      <c r="A476" s="2"/>
      <c r="B476" s="2"/>
      <c r="C476" s="43"/>
      <c r="D476" s="12"/>
      <c r="E476" s="2"/>
      <c r="G476" s="2"/>
      <c r="H476" s="2"/>
      <c r="J476" s="65"/>
      <c r="K476" s="2"/>
      <c r="L476" s="2"/>
      <c r="M476" s="138"/>
      <c r="N476" s="2"/>
      <c r="O476" s="2"/>
      <c r="P476" s="138"/>
    </row>
    <row r="477" spans="1:16" x14ac:dyDescent="0.3">
      <c r="C477" s="96"/>
      <c r="D477" s="96"/>
      <c r="G477" s="63"/>
      <c r="P477" s="143"/>
    </row>
    <row r="478" spans="1:16" x14ac:dyDescent="0.3">
      <c r="A478" s="85" t="s">
        <v>7</v>
      </c>
      <c r="C478" s="96"/>
      <c r="D478" s="96"/>
    </row>
    <row r="479" spans="1:16" x14ac:dyDescent="0.3">
      <c r="C479" s="96"/>
      <c r="D479" s="96"/>
    </row>
    <row r="480" spans="1:16" x14ac:dyDescent="0.3">
      <c r="B480" s="85" t="s">
        <v>531</v>
      </c>
      <c r="C480" s="96"/>
      <c r="D480" s="96"/>
    </row>
    <row r="481" spans="1:4" x14ac:dyDescent="0.3">
      <c r="C481" s="96"/>
      <c r="D481" s="96"/>
    </row>
    <row r="482" spans="1:4" x14ac:dyDescent="0.3">
      <c r="A482" s="97" t="s">
        <v>5</v>
      </c>
      <c r="C482" s="96"/>
      <c r="D482" s="96"/>
    </row>
    <row r="483" spans="1:4" x14ac:dyDescent="0.3">
      <c r="C483" s="96"/>
      <c r="D483" s="96"/>
    </row>
    <row r="484" spans="1:4" x14ac:dyDescent="0.3">
      <c r="A484" s="97"/>
      <c r="C484" s="96"/>
      <c r="D484" s="96"/>
    </row>
    <row r="485" spans="1:4" x14ac:dyDescent="0.3">
      <c r="A485" s="98" t="s">
        <v>924</v>
      </c>
      <c r="C485" s="96"/>
      <c r="D485" s="96"/>
    </row>
    <row r="486" spans="1:4" x14ac:dyDescent="0.3">
      <c r="A486" s="85" t="s">
        <v>925</v>
      </c>
      <c r="C486" s="96"/>
      <c r="D486" s="96"/>
    </row>
    <row r="487" spans="1:4" x14ac:dyDescent="0.3">
      <c r="C487" s="96" t="s">
        <v>506</v>
      </c>
      <c r="D487" s="96"/>
    </row>
    <row r="488" spans="1:4" x14ac:dyDescent="0.3">
      <c r="C488" s="96"/>
      <c r="D488" s="96"/>
    </row>
    <row r="489" spans="1:4" x14ac:dyDescent="0.3">
      <c r="C489" s="96"/>
      <c r="D489" s="96"/>
    </row>
    <row r="490" spans="1:4" x14ac:dyDescent="0.3">
      <c r="C490" s="96"/>
      <c r="D490" s="96"/>
    </row>
    <row r="491" spans="1:4" x14ac:dyDescent="0.3">
      <c r="C491" s="96"/>
      <c r="D491" s="96"/>
    </row>
    <row r="492" spans="1:4" x14ac:dyDescent="0.3">
      <c r="C492" s="96"/>
      <c r="D492" s="96"/>
    </row>
    <row r="493" spans="1:4" x14ac:dyDescent="0.3">
      <c r="C493" s="96"/>
      <c r="D493" s="96"/>
    </row>
    <row r="494" spans="1:4" x14ac:dyDescent="0.3">
      <c r="C494" s="96"/>
      <c r="D494" s="96"/>
    </row>
  </sheetData>
  <autoFilter ref="A7:P472"/>
  <mergeCells count="4">
    <mergeCell ref="A3:G3"/>
    <mergeCell ref="A4:G4"/>
    <mergeCell ref="A5:G5"/>
    <mergeCell ref="B475:F475"/>
  </mergeCells>
  <phoneticPr fontId="12" type="noConversion"/>
  <pageMargins left="0.7" right="0.7" top="0.75" bottom="0.75" header="0.3" footer="0.3"/>
  <pageSetup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94"/>
  <sheetViews>
    <sheetView zoomScale="120" zoomScaleNormal="120" workbookViewId="0">
      <pane ySplit="7" topLeftCell="A469" activePane="bottomLeft" state="frozen"/>
      <selection activeCell="D1" sqref="D1"/>
      <selection pane="bottomLeft" activeCell="P476" sqref="P476"/>
    </sheetView>
  </sheetViews>
  <sheetFormatPr baseColWidth="10" defaultColWidth="14.140625" defaultRowHeight="18.75" x14ac:dyDescent="0.3"/>
  <cols>
    <col min="1" max="1" width="17.28515625" style="85" customWidth="1"/>
    <col min="2" max="2" width="17.42578125" style="85" customWidth="1"/>
    <col min="3" max="3" width="43.5703125" style="85" customWidth="1"/>
    <col min="4" max="4" width="15.42578125" style="85" customWidth="1"/>
    <col min="5" max="5" width="0" hidden="1" customWidth="1"/>
    <col min="6" max="6" width="11.42578125" style="174" customWidth="1"/>
    <col min="7" max="7" width="0" hidden="1" customWidth="1"/>
    <col min="8" max="8" width="16.28515625" hidden="1" customWidth="1"/>
    <col min="9" max="9" width="11.28515625" style="138" customWidth="1"/>
    <col min="10" max="10" width="14.140625" style="63"/>
    <col min="13" max="13" width="14.140625" style="139"/>
    <col min="14" max="14" width="0" hidden="1" customWidth="1"/>
    <col min="15" max="15" width="14.140625" style="85"/>
    <col min="16" max="16" width="14.140625" style="139"/>
    <col min="17" max="16384" width="14.140625" style="85"/>
  </cols>
  <sheetData>
    <row r="3" spans="1:16" ht="26.25" x14ac:dyDescent="0.4">
      <c r="A3" s="244" t="s">
        <v>0</v>
      </c>
      <c r="B3" s="244"/>
      <c r="C3" s="244"/>
      <c r="D3" s="244"/>
      <c r="E3" s="234"/>
      <c r="F3" s="234"/>
      <c r="G3" s="234"/>
      <c r="K3" s="63"/>
      <c r="L3" s="63"/>
    </row>
    <row r="4" spans="1:16" x14ac:dyDescent="0.3">
      <c r="A4" s="245" t="s">
        <v>1</v>
      </c>
      <c r="B4" s="246"/>
      <c r="C4" s="246"/>
      <c r="D4" s="246"/>
      <c r="E4" s="236"/>
      <c r="F4" s="236"/>
      <c r="G4" s="236"/>
    </row>
    <row r="5" spans="1:16" x14ac:dyDescent="0.3">
      <c r="A5" s="237" t="s">
        <v>1277</v>
      </c>
      <c r="B5" s="237"/>
      <c r="C5" s="237"/>
      <c r="D5" s="237"/>
      <c r="E5" s="237"/>
      <c r="F5" s="237"/>
      <c r="G5" s="237"/>
    </row>
    <row r="7" spans="1:16" s="179" customFormat="1" ht="47.25" x14ac:dyDescent="0.25">
      <c r="A7" s="175" t="s">
        <v>118</v>
      </c>
      <c r="B7" s="175" t="s">
        <v>1278</v>
      </c>
      <c r="C7" s="175" t="s">
        <v>2</v>
      </c>
      <c r="D7" s="175" t="s">
        <v>1120</v>
      </c>
      <c r="E7" s="175" t="s">
        <v>3</v>
      </c>
      <c r="F7" s="176" t="s">
        <v>117</v>
      </c>
      <c r="G7" s="177" t="s">
        <v>4</v>
      </c>
      <c r="H7" s="177" t="s">
        <v>9</v>
      </c>
      <c r="I7" s="176" t="s">
        <v>915</v>
      </c>
      <c r="J7" s="178" t="s">
        <v>117</v>
      </c>
      <c r="K7" s="175" t="s">
        <v>4</v>
      </c>
      <c r="L7" s="175" t="s">
        <v>929</v>
      </c>
      <c r="M7" s="176" t="s">
        <v>914</v>
      </c>
      <c r="N7" s="175" t="s">
        <v>927</v>
      </c>
      <c r="O7" s="175" t="s">
        <v>944</v>
      </c>
      <c r="P7" s="176" t="s">
        <v>4</v>
      </c>
    </row>
    <row r="8" spans="1:16" s="92" customFormat="1" x14ac:dyDescent="0.3">
      <c r="A8" s="106" t="s">
        <v>11</v>
      </c>
      <c r="B8" s="102">
        <v>44652</v>
      </c>
      <c r="C8" s="25" t="s">
        <v>1220</v>
      </c>
      <c r="D8" s="25" t="s">
        <v>1121</v>
      </c>
      <c r="E8" s="160">
        <f>18*30</f>
        <v>540</v>
      </c>
      <c r="F8" s="134">
        <v>33.799999999999997</v>
      </c>
      <c r="G8" s="50">
        <f>+F8*18</f>
        <v>608.4</v>
      </c>
      <c r="H8" s="103"/>
      <c r="I8" s="141"/>
      <c r="J8" s="104"/>
      <c r="K8" s="103"/>
      <c r="L8" s="103">
        <v>150</v>
      </c>
      <c r="M8" s="151">
        <f>+E8+I8-L8</f>
        <v>390</v>
      </c>
      <c r="N8" s="103"/>
      <c r="O8" s="103" t="s">
        <v>945</v>
      </c>
      <c r="P8" s="137">
        <f>+F8*M8</f>
        <v>13181.999999999998</v>
      </c>
    </row>
    <row r="9" spans="1:16" s="8" customFormat="1" ht="15.75" x14ac:dyDescent="0.25">
      <c r="A9" s="106" t="s">
        <v>120</v>
      </c>
      <c r="B9" s="102">
        <v>44193</v>
      </c>
      <c r="C9" s="25" t="s">
        <v>533</v>
      </c>
      <c r="D9" s="25" t="s">
        <v>1122</v>
      </c>
      <c r="E9" s="160">
        <v>43</v>
      </c>
      <c r="F9" s="134">
        <v>215</v>
      </c>
      <c r="G9" s="50">
        <f>E9*F9</f>
        <v>9245</v>
      </c>
      <c r="H9" s="103"/>
      <c r="I9" s="141"/>
      <c r="J9" s="104"/>
      <c r="K9" s="103"/>
      <c r="L9" s="103">
        <f>1+1+1</f>
        <v>3</v>
      </c>
      <c r="M9" s="141">
        <f t="shared" ref="M9:M72" si="0">+E9+I9-L9</f>
        <v>40</v>
      </c>
      <c r="N9" s="103"/>
      <c r="O9" s="103" t="s">
        <v>946</v>
      </c>
      <c r="P9" s="137">
        <f t="shared" ref="P9:P23" si="1">+F9*M9</f>
        <v>8600</v>
      </c>
    </row>
    <row r="10" spans="1:16" s="8" customFormat="1" ht="14.25" customHeight="1" x14ac:dyDescent="0.25">
      <c r="A10" s="106" t="s">
        <v>12</v>
      </c>
      <c r="B10" s="102">
        <v>45020</v>
      </c>
      <c r="C10" s="25" t="s">
        <v>534</v>
      </c>
      <c r="D10" s="25" t="s">
        <v>1122</v>
      </c>
      <c r="E10" s="160">
        <v>12</v>
      </c>
      <c r="F10" s="134">
        <v>3540</v>
      </c>
      <c r="G10" s="50">
        <f>E10*F10</f>
        <v>42480</v>
      </c>
      <c r="H10" s="103"/>
      <c r="I10" s="141"/>
      <c r="J10" s="104"/>
      <c r="K10" s="103"/>
      <c r="L10" s="103"/>
      <c r="M10" s="141">
        <f t="shared" si="0"/>
        <v>12</v>
      </c>
      <c r="N10" s="103"/>
      <c r="O10" s="103" t="s">
        <v>946</v>
      </c>
      <c r="P10" s="137">
        <f t="shared" si="1"/>
        <v>42480</v>
      </c>
    </row>
    <row r="11" spans="1:16" s="8" customFormat="1" ht="15.75" x14ac:dyDescent="0.25">
      <c r="A11" s="106" t="s">
        <v>121</v>
      </c>
      <c r="B11" s="102">
        <v>44193</v>
      </c>
      <c r="C11" s="25" t="s">
        <v>535</v>
      </c>
      <c r="D11" s="25" t="s">
        <v>1122</v>
      </c>
      <c r="E11" s="161">
        <v>0</v>
      </c>
      <c r="F11" s="134">
        <v>127.12</v>
      </c>
      <c r="G11" s="50">
        <f t="shared" ref="G11:G25" si="2">E11*F11</f>
        <v>0</v>
      </c>
      <c r="H11" s="103"/>
      <c r="I11" s="141"/>
      <c r="J11" s="104"/>
      <c r="K11" s="103"/>
      <c r="L11" s="103"/>
      <c r="M11" s="141">
        <f t="shared" si="0"/>
        <v>0</v>
      </c>
      <c r="N11" s="103"/>
      <c r="O11" s="103" t="s">
        <v>946</v>
      </c>
      <c r="P11" s="137">
        <f t="shared" si="1"/>
        <v>0</v>
      </c>
    </row>
    <row r="12" spans="1:16" s="8" customFormat="1" ht="15.75" x14ac:dyDescent="0.25">
      <c r="A12" s="106" t="s">
        <v>122</v>
      </c>
      <c r="B12" s="102">
        <v>44193</v>
      </c>
      <c r="C12" s="25" t="s">
        <v>838</v>
      </c>
      <c r="D12" s="25" t="s">
        <v>1122</v>
      </c>
      <c r="E12" s="162">
        <v>1</v>
      </c>
      <c r="F12" s="134">
        <v>30</v>
      </c>
      <c r="G12" s="50">
        <f t="shared" si="2"/>
        <v>30</v>
      </c>
      <c r="H12" s="103"/>
      <c r="I12" s="141"/>
      <c r="J12" s="104"/>
      <c r="K12" s="103"/>
      <c r="L12" s="103"/>
      <c r="M12" s="141">
        <f t="shared" si="0"/>
        <v>1</v>
      </c>
      <c r="N12" s="103"/>
      <c r="O12" s="103" t="s">
        <v>946</v>
      </c>
      <c r="P12" s="137">
        <f t="shared" si="1"/>
        <v>30</v>
      </c>
    </row>
    <row r="13" spans="1:16" s="8" customFormat="1" ht="15.75" x14ac:dyDescent="0.25">
      <c r="A13" s="106" t="s">
        <v>123</v>
      </c>
      <c r="B13" s="102">
        <v>44193</v>
      </c>
      <c r="C13" s="25" t="s">
        <v>840</v>
      </c>
      <c r="D13" s="25" t="s">
        <v>1122</v>
      </c>
      <c r="E13" s="160">
        <v>10</v>
      </c>
      <c r="F13" s="134">
        <v>11</v>
      </c>
      <c r="G13" s="50">
        <f t="shared" si="2"/>
        <v>110</v>
      </c>
      <c r="H13" s="103"/>
      <c r="I13" s="141"/>
      <c r="J13" s="104"/>
      <c r="K13" s="103"/>
      <c r="L13" s="103"/>
      <c r="M13" s="141">
        <f t="shared" si="0"/>
        <v>10</v>
      </c>
      <c r="N13" s="103"/>
      <c r="O13" s="103" t="s">
        <v>946</v>
      </c>
      <c r="P13" s="137">
        <f t="shared" si="1"/>
        <v>110</v>
      </c>
    </row>
    <row r="14" spans="1:16" s="8" customFormat="1" ht="15.75" x14ac:dyDescent="0.25">
      <c r="A14" s="106" t="s">
        <v>13</v>
      </c>
      <c r="B14" s="102">
        <v>44193</v>
      </c>
      <c r="C14" s="25" t="s">
        <v>536</v>
      </c>
      <c r="D14" s="25" t="s">
        <v>1122</v>
      </c>
      <c r="E14" s="160">
        <f>49+60+2</f>
        <v>111</v>
      </c>
      <c r="F14" s="134">
        <v>15.84</v>
      </c>
      <c r="G14" s="50">
        <f t="shared" si="2"/>
        <v>1758.24</v>
      </c>
      <c r="H14" s="103"/>
      <c r="I14" s="141"/>
      <c r="J14" s="104"/>
      <c r="K14" s="103"/>
      <c r="L14" s="103"/>
      <c r="M14" s="141">
        <f t="shared" si="0"/>
        <v>111</v>
      </c>
      <c r="N14" s="103"/>
      <c r="O14" s="103" t="s">
        <v>946</v>
      </c>
      <c r="P14" s="137">
        <f t="shared" si="1"/>
        <v>1758.24</v>
      </c>
    </row>
    <row r="15" spans="1:16" s="8" customFormat="1" ht="15.75" x14ac:dyDescent="0.25">
      <c r="A15" s="106" t="s">
        <v>14</v>
      </c>
      <c r="B15" s="102">
        <v>44193</v>
      </c>
      <c r="C15" s="25" t="s">
        <v>537</v>
      </c>
      <c r="D15" s="25" t="s">
        <v>1122</v>
      </c>
      <c r="E15" s="160">
        <v>52</v>
      </c>
      <c r="F15" s="134">
        <v>22.41</v>
      </c>
      <c r="G15" s="50">
        <f t="shared" si="2"/>
        <v>1165.32</v>
      </c>
      <c r="H15" s="103"/>
      <c r="I15" s="141"/>
      <c r="J15" s="104"/>
      <c r="K15" s="103"/>
      <c r="L15" s="103"/>
      <c r="M15" s="141">
        <f t="shared" si="0"/>
        <v>52</v>
      </c>
      <c r="N15" s="103"/>
      <c r="O15" s="103" t="s">
        <v>946</v>
      </c>
      <c r="P15" s="137">
        <f t="shared" si="1"/>
        <v>1165.32</v>
      </c>
    </row>
    <row r="16" spans="1:16" s="8" customFormat="1" ht="15.75" x14ac:dyDescent="0.25">
      <c r="A16" s="106" t="s">
        <v>15</v>
      </c>
      <c r="B16" s="102">
        <v>44193</v>
      </c>
      <c r="C16" s="25" t="s">
        <v>538</v>
      </c>
      <c r="D16" s="25" t="s">
        <v>1122</v>
      </c>
      <c r="E16" s="160">
        <v>42</v>
      </c>
      <c r="F16" s="134">
        <v>5.5</v>
      </c>
      <c r="G16" s="50">
        <f t="shared" si="2"/>
        <v>231</v>
      </c>
      <c r="H16" s="103"/>
      <c r="I16" s="141"/>
      <c r="J16" s="104"/>
      <c r="K16" s="103"/>
      <c r="L16" s="103"/>
      <c r="M16" s="141">
        <f t="shared" si="0"/>
        <v>42</v>
      </c>
      <c r="N16" s="103"/>
      <c r="O16" s="103" t="s">
        <v>946</v>
      </c>
      <c r="P16" s="137">
        <f t="shared" si="1"/>
        <v>231</v>
      </c>
    </row>
    <row r="17" spans="1:16" s="8" customFormat="1" ht="15.75" x14ac:dyDescent="0.25">
      <c r="A17" s="106" t="s">
        <v>124</v>
      </c>
      <c r="B17" s="102">
        <v>44193</v>
      </c>
      <c r="C17" s="25" t="s">
        <v>539</v>
      </c>
      <c r="D17" s="25" t="s">
        <v>1122</v>
      </c>
      <c r="E17" s="160">
        <v>32</v>
      </c>
      <c r="F17" s="134">
        <v>78.099999999999994</v>
      </c>
      <c r="G17" s="50">
        <f t="shared" si="2"/>
        <v>2499.1999999999998</v>
      </c>
      <c r="H17" s="103"/>
      <c r="I17" s="141"/>
      <c r="J17" s="104"/>
      <c r="K17" s="103"/>
      <c r="L17" s="103">
        <v>2</v>
      </c>
      <c r="M17" s="141">
        <f t="shared" si="0"/>
        <v>30</v>
      </c>
      <c r="N17" s="103"/>
      <c r="O17" s="103" t="s">
        <v>946</v>
      </c>
      <c r="P17" s="137">
        <f t="shared" si="1"/>
        <v>2343</v>
      </c>
    </row>
    <row r="18" spans="1:16" s="8" customFormat="1" ht="15.75" x14ac:dyDescent="0.25">
      <c r="A18" s="106" t="s">
        <v>16</v>
      </c>
      <c r="B18" s="102" t="s">
        <v>107</v>
      </c>
      <c r="C18" s="25" t="s">
        <v>540</v>
      </c>
      <c r="D18" s="25" t="s">
        <v>1122</v>
      </c>
      <c r="E18" s="160">
        <v>131</v>
      </c>
      <c r="F18" s="134">
        <v>5.17</v>
      </c>
      <c r="G18" s="50">
        <f t="shared" si="2"/>
        <v>677.27</v>
      </c>
      <c r="H18" s="103"/>
      <c r="I18" s="141"/>
      <c r="J18" s="104"/>
      <c r="K18" s="103"/>
      <c r="L18" s="103"/>
      <c r="M18" s="141">
        <f t="shared" si="0"/>
        <v>131</v>
      </c>
      <c r="N18" s="103"/>
      <c r="O18" s="103" t="s">
        <v>946</v>
      </c>
      <c r="P18" s="137">
        <f t="shared" si="1"/>
        <v>677.27</v>
      </c>
    </row>
    <row r="19" spans="1:16" s="8" customFormat="1" ht="15.75" x14ac:dyDescent="0.25">
      <c r="A19" s="106" t="s">
        <v>17</v>
      </c>
      <c r="B19" s="102" t="s">
        <v>107</v>
      </c>
      <c r="C19" s="25" t="s">
        <v>541</v>
      </c>
      <c r="D19" s="25" t="s">
        <v>1122</v>
      </c>
      <c r="E19" s="160">
        <v>10</v>
      </c>
      <c r="F19" s="171">
        <v>15</v>
      </c>
      <c r="G19" s="50">
        <f t="shared" si="2"/>
        <v>150</v>
      </c>
      <c r="H19" s="103"/>
      <c r="I19" s="141"/>
      <c r="J19" s="104"/>
      <c r="K19" s="103"/>
      <c r="L19" s="103"/>
      <c r="M19" s="141">
        <f t="shared" si="0"/>
        <v>10</v>
      </c>
      <c r="N19" s="103"/>
      <c r="O19" s="103" t="s">
        <v>946</v>
      </c>
      <c r="P19" s="137">
        <f t="shared" si="1"/>
        <v>150</v>
      </c>
    </row>
    <row r="20" spans="1:16" s="8" customFormat="1" ht="15.75" x14ac:dyDescent="0.25">
      <c r="A20" s="106" t="s">
        <v>18</v>
      </c>
      <c r="B20" s="102">
        <v>44193</v>
      </c>
      <c r="C20" s="25" t="s">
        <v>542</v>
      </c>
      <c r="D20" s="25" t="s">
        <v>1122</v>
      </c>
      <c r="E20" s="161">
        <f>4+7+1</f>
        <v>12</v>
      </c>
      <c r="F20" s="134">
        <v>15</v>
      </c>
      <c r="G20" s="50">
        <f t="shared" si="2"/>
        <v>180</v>
      </c>
      <c r="H20" s="103"/>
      <c r="I20" s="141"/>
      <c r="J20" s="104"/>
      <c r="K20" s="103"/>
      <c r="L20" s="103"/>
      <c r="M20" s="141">
        <f t="shared" si="0"/>
        <v>12</v>
      </c>
      <c r="N20" s="103"/>
      <c r="O20" s="103" t="s">
        <v>946</v>
      </c>
      <c r="P20" s="137">
        <f t="shared" si="1"/>
        <v>180</v>
      </c>
    </row>
    <row r="21" spans="1:16" s="8" customFormat="1" ht="15.75" x14ac:dyDescent="0.25">
      <c r="A21" s="106" t="s">
        <v>19</v>
      </c>
      <c r="B21" s="102">
        <v>44193</v>
      </c>
      <c r="C21" s="25" t="s">
        <v>543</v>
      </c>
      <c r="D21" s="25" t="s">
        <v>1122</v>
      </c>
      <c r="E21" s="161">
        <v>8</v>
      </c>
      <c r="F21" s="134">
        <v>15</v>
      </c>
      <c r="G21" s="50">
        <f t="shared" si="2"/>
        <v>120</v>
      </c>
      <c r="H21" s="103"/>
      <c r="I21" s="141"/>
      <c r="J21" s="104"/>
      <c r="K21" s="103"/>
      <c r="L21" s="103"/>
      <c r="M21" s="141">
        <f t="shared" si="0"/>
        <v>8</v>
      </c>
      <c r="N21" s="103"/>
      <c r="O21" s="103" t="s">
        <v>946</v>
      </c>
      <c r="P21" s="137">
        <f t="shared" si="1"/>
        <v>120</v>
      </c>
    </row>
    <row r="22" spans="1:16" s="8" customFormat="1" ht="15.75" x14ac:dyDescent="0.25">
      <c r="A22" s="106" t="s">
        <v>20</v>
      </c>
      <c r="B22" s="102">
        <v>44193</v>
      </c>
      <c r="C22" s="25" t="s">
        <v>835</v>
      </c>
      <c r="D22" s="25" t="s">
        <v>1122</v>
      </c>
      <c r="E22" s="161">
        <v>1</v>
      </c>
      <c r="F22" s="134">
        <v>15</v>
      </c>
      <c r="G22" s="50">
        <f t="shared" si="2"/>
        <v>15</v>
      </c>
      <c r="H22" s="103"/>
      <c r="I22" s="141"/>
      <c r="J22" s="104"/>
      <c r="K22" s="103"/>
      <c r="L22" s="103"/>
      <c r="M22" s="141">
        <f t="shared" si="0"/>
        <v>1</v>
      </c>
      <c r="N22" s="103"/>
      <c r="O22" s="103" t="s">
        <v>946</v>
      </c>
      <c r="P22" s="137">
        <f t="shared" si="1"/>
        <v>15</v>
      </c>
    </row>
    <row r="23" spans="1:16" s="8" customFormat="1" ht="15.75" x14ac:dyDescent="0.25">
      <c r="A23" s="106" t="s">
        <v>21</v>
      </c>
      <c r="B23" s="102" t="s">
        <v>107</v>
      </c>
      <c r="C23" s="25" t="s">
        <v>544</v>
      </c>
      <c r="D23" s="25" t="s">
        <v>1122</v>
      </c>
      <c r="E23" s="161">
        <v>32</v>
      </c>
      <c r="F23" s="171">
        <v>15</v>
      </c>
      <c r="G23" s="50">
        <f t="shared" si="2"/>
        <v>480</v>
      </c>
      <c r="H23" s="103"/>
      <c r="I23" s="141"/>
      <c r="J23" s="104"/>
      <c r="K23" s="103"/>
      <c r="L23" s="103"/>
      <c r="M23" s="141">
        <f t="shared" si="0"/>
        <v>32</v>
      </c>
      <c r="N23" s="103"/>
      <c r="O23" s="103" t="s">
        <v>946</v>
      </c>
      <c r="P23" s="137">
        <f t="shared" si="1"/>
        <v>480</v>
      </c>
    </row>
    <row r="24" spans="1:16" s="8" customFormat="1" ht="15.75" x14ac:dyDescent="0.25">
      <c r="A24" s="106" t="s">
        <v>23</v>
      </c>
      <c r="B24" s="102">
        <v>45020</v>
      </c>
      <c r="C24" s="25" t="s">
        <v>1167</v>
      </c>
      <c r="D24" s="25" t="s">
        <v>1122</v>
      </c>
      <c r="E24" s="161">
        <v>20</v>
      </c>
      <c r="F24" s="171">
        <v>804.76</v>
      </c>
      <c r="G24" s="50">
        <f t="shared" si="2"/>
        <v>16095.2</v>
      </c>
      <c r="H24" s="103"/>
      <c r="I24" s="141"/>
      <c r="J24" s="104"/>
      <c r="K24" s="103"/>
      <c r="L24" s="103">
        <f>1+3+3+3</f>
        <v>10</v>
      </c>
      <c r="M24" s="141">
        <f t="shared" si="0"/>
        <v>10</v>
      </c>
      <c r="N24" s="103"/>
      <c r="O24" s="103" t="s">
        <v>946</v>
      </c>
      <c r="P24" s="137">
        <f>+F24*M24</f>
        <v>8047.6</v>
      </c>
    </row>
    <row r="25" spans="1:16" s="8" customFormat="1" ht="15.75" x14ac:dyDescent="0.25">
      <c r="A25" s="106" t="s">
        <v>24</v>
      </c>
      <c r="B25" s="102">
        <v>44193</v>
      </c>
      <c r="C25" s="25" t="s">
        <v>809</v>
      </c>
      <c r="D25" s="25" t="s">
        <v>1122</v>
      </c>
      <c r="E25" s="161">
        <v>12</v>
      </c>
      <c r="F25" s="171"/>
      <c r="G25" s="50">
        <f t="shared" si="2"/>
        <v>0</v>
      </c>
      <c r="H25" s="103"/>
      <c r="I25" s="141"/>
      <c r="J25" s="104"/>
      <c r="K25" s="103"/>
      <c r="L25" s="103"/>
      <c r="M25" s="141">
        <f t="shared" si="0"/>
        <v>12</v>
      </c>
      <c r="N25" s="103"/>
      <c r="O25" s="103" t="s">
        <v>946</v>
      </c>
      <c r="P25" s="137">
        <f t="shared" ref="P25:P88" si="3">+F25*M25</f>
        <v>0</v>
      </c>
    </row>
    <row r="26" spans="1:16" s="92" customFormat="1" x14ac:dyDescent="0.3">
      <c r="A26" s="106" t="s">
        <v>110</v>
      </c>
      <c r="B26" s="102">
        <v>44193</v>
      </c>
      <c r="C26" s="9" t="s">
        <v>545</v>
      </c>
      <c r="D26" s="25" t="s">
        <v>1122</v>
      </c>
      <c r="E26" s="163">
        <v>10</v>
      </c>
      <c r="F26" s="134">
        <v>225</v>
      </c>
      <c r="G26" s="50">
        <f>E26*F26</f>
        <v>2250</v>
      </c>
      <c r="H26" s="103"/>
      <c r="I26" s="141"/>
      <c r="J26" s="104"/>
      <c r="K26" s="103"/>
      <c r="L26" s="103"/>
      <c r="M26" s="141">
        <f t="shared" si="0"/>
        <v>10</v>
      </c>
      <c r="N26" s="103"/>
      <c r="O26" s="103" t="s">
        <v>947</v>
      </c>
      <c r="P26" s="137">
        <f t="shared" si="3"/>
        <v>2250</v>
      </c>
    </row>
    <row r="27" spans="1:16" s="8" customFormat="1" ht="15.75" x14ac:dyDescent="0.25">
      <c r="A27" s="106" t="s">
        <v>125</v>
      </c>
      <c r="B27" s="102">
        <v>44193</v>
      </c>
      <c r="C27" s="25" t="s">
        <v>546</v>
      </c>
      <c r="D27" s="25" t="s">
        <v>1122</v>
      </c>
      <c r="E27" s="161">
        <v>0</v>
      </c>
      <c r="F27" s="134">
        <v>68</v>
      </c>
      <c r="G27" s="50">
        <f>E27*F27</f>
        <v>0</v>
      </c>
      <c r="H27" s="103"/>
      <c r="I27" s="141"/>
      <c r="J27" s="104"/>
      <c r="K27" s="103"/>
      <c r="L27" s="103"/>
      <c r="M27" s="141">
        <f t="shared" si="0"/>
        <v>0</v>
      </c>
      <c r="N27" s="103"/>
      <c r="O27" s="103" t="s">
        <v>946</v>
      </c>
      <c r="P27" s="137">
        <f t="shared" si="3"/>
        <v>0</v>
      </c>
    </row>
    <row r="28" spans="1:16" s="92" customFormat="1" x14ac:dyDescent="0.3">
      <c r="A28" s="106" t="s">
        <v>25</v>
      </c>
      <c r="B28" s="102">
        <v>44193</v>
      </c>
      <c r="C28" s="25" t="s">
        <v>547</v>
      </c>
      <c r="D28" s="25" t="s">
        <v>1122</v>
      </c>
      <c r="E28" s="161">
        <v>4</v>
      </c>
      <c r="F28" s="134">
        <v>470</v>
      </c>
      <c r="G28" s="50">
        <f>E28*F28</f>
        <v>1880</v>
      </c>
      <c r="H28" s="103"/>
      <c r="I28" s="141"/>
      <c r="J28" s="104"/>
      <c r="K28" s="103"/>
      <c r="L28" s="103"/>
      <c r="M28" s="141">
        <f t="shared" si="0"/>
        <v>4</v>
      </c>
      <c r="N28" s="103"/>
      <c r="O28" s="103" t="s">
        <v>945</v>
      </c>
      <c r="P28" s="137">
        <f t="shared" si="3"/>
        <v>1880</v>
      </c>
    </row>
    <row r="29" spans="1:16" s="8" customFormat="1" ht="15.75" x14ac:dyDescent="0.25">
      <c r="A29" s="106" t="s">
        <v>126</v>
      </c>
      <c r="B29" s="102" t="s">
        <v>107</v>
      </c>
      <c r="C29" s="25" t="s">
        <v>807</v>
      </c>
      <c r="D29" s="25" t="s">
        <v>1122</v>
      </c>
      <c r="E29" s="161">
        <v>70</v>
      </c>
      <c r="F29" s="134">
        <v>16.46</v>
      </c>
      <c r="G29" s="50">
        <f>+E29*F29</f>
        <v>1152.2</v>
      </c>
      <c r="H29" s="103"/>
      <c r="I29" s="141"/>
      <c r="J29" s="104"/>
      <c r="K29" s="103"/>
      <c r="L29" s="103"/>
      <c r="M29" s="141">
        <f t="shared" si="0"/>
        <v>70</v>
      </c>
      <c r="N29" s="103"/>
      <c r="O29" s="103" t="s">
        <v>946</v>
      </c>
      <c r="P29" s="137">
        <f t="shared" si="3"/>
        <v>1152.2</v>
      </c>
    </row>
    <row r="30" spans="1:16" s="8" customFormat="1" ht="15.75" x14ac:dyDescent="0.25">
      <c r="A30" s="106" t="s">
        <v>26</v>
      </c>
      <c r="B30" s="102" t="s">
        <v>107</v>
      </c>
      <c r="C30" s="25" t="s">
        <v>549</v>
      </c>
      <c r="D30" s="25" t="s">
        <v>1122</v>
      </c>
      <c r="E30" s="161">
        <v>0</v>
      </c>
      <c r="F30" s="171">
        <v>6.4</v>
      </c>
      <c r="G30" s="50">
        <f>E30*F30</f>
        <v>0</v>
      </c>
      <c r="H30" s="103"/>
      <c r="I30" s="141"/>
      <c r="J30" s="104"/>
      <c r="K30" s="103"/>
      <c r="L30" s="103"/>
      <c r="M30" s="141">
        <f t="shared" si="0"/>
        <v>0</v>
      </c>
      <c r="N30" s="103"/>
      <c r="O30" s="103" t="s">
        <v>946</v>
      </c>
      <c r="P30" s="137">
        <f t="shared" si="3"/>
        <v>0</v>
      </c>
    </row>
    <row r="31" spans="1:16" s="8" customFormat="1" ht="15.75" x14ac:dyDescent="0.25">
      <c r="A31" s="106" t="s">
        <v>27</v>
      </c>
      <c r="B31" s="102">
        <v>44193</v>
      </c>
      <c r="C31" s="25" t="s">
        <v>550</v>
      </c>
      <c r="D31" s="25" t="s">
        <v>1122</v>
      </c>
      <c r="E31" s="161">
        <v>0</v>
      </c>
      <c r="F31" s="134">
        <v>105.93</v>
      </c>
      <c r="G31" s="50">
        <f>E31*F31</f>
        <v>0</v>
      </c>
      <c r="H31" s="103"/>
      <c r="I31" s="141"/>
      <c r="J31" s="104"/>
      <c r="K31" s="103"/>
      <c r="L31" s="103"/>
      <c r="M31" s="141">
        <f t="shared" si="0"/>
        <v>0</v>
      </c>
      <c r="N31" s="103"/>
      <c r="O31" s="103" t="s">
        <v>946</v>
      </c>
      <c r="P31" s="137">
        <f t="shared" si="3"/>
        <v>0</v>
      </c>
    </row>
    <row r="32" spans="1:16" s="8" customFormat="1" ht="15.75" x14ac:dyDescent="0.25">
      <c r="A32" s="106" t="s">
        <v>28</v>
      </c>
      <c r="B32" s="102">
        <v>44193</v>
      </c>
      <c r="C32" s="25" t="s">
        <v>806</v>
      </c>
      <c r="D32" s="25" t="s">
        <v>1122</v>
      </c>
      <c r="E32" s="162">
        <v>2</v>
      </c>
      <c r="F32" s="134">
        <v>160</v>
      </c>
      <c r="G32" s="50">
        <f>E32*F32</f>
        <v>320</v>
      </c>
      <c r="H32" s="103"/>
      <c r="I32" s="141"/>
      <c r="J32" s="104"/>
      <c r="K32" s="103"/>
      <c r="L32" s="103">
        <v>1</v>
      </c>
      <c r="M32" s="141">
        <f t="shared" si="0"/>
        <v>1</v>
      </c>
      <c r="N32" s="103"/>
      <c r="O32" s="103" t="s">
        <v>946</v>
      </c>
      <c r="P32" s="137">
        <f t="shared" si="3"/>
        <v>160</v>
      </c>
    </row>
    <row r="33" spans="1:16" s="92" customFormat="1" x14ac:dyDescent="0.3">
      <c r="A33" s="106" t="s">
        <v>127</v>
      </c>
      <c r="B33" s="102">
        <v>44449</v>
      </c>
      <c r="C33" s="25" t="s">
        <v>551</v>
      </c>
      <c r="D33" s="25" t="s">
        <v>1122</v>
      </c>
      <c r="E33" s="161">
        <v>9</v>
      </c>
      <c r="F33" s="134">
        <v>600</v>
      </c>
      <c r="G33" s="50">
        <f t="shared" ref="G33:G61" si="4">E33*F33</f>
        <v>5400</v>
      </c>
      <c r="H33" s="103"/>
      <c r="I33" s="141"/>
      <c r="J33" s="104"/>
      <c r="K33" s="103"/>
      <c r="L33" s="103">
        <v>1</v>
      </c>
      <c r="M33" s="141">
        <f t="shared" si="0"/>
        <v>8</v>
      </c>
      <c r="N33" s="103"/>
      <c r="O33" s="103" t="s">
        <v>945</v>
      </c>
      <c r="P33" s="137">
        <f t="shared" si="3"/>
        <v>4800</v>
      </c>
    </row>
    <row r="34" spans="1:16" s="8" customFormat="1" ht="15.75" x14ac:dyDescent="0.25">
      <c r="A34" s="106" t="s">
        <v>29</v>
      </c>
      <c r="B34" s="102">
        <v>44193</v>
      </c>
      <c r="C34" s="9" t="s">
        <v>552</v>
      </c>
      <c r="D34" s="25" t="s">
        <v>1122</v>
      </c>
      <c r="E34" s="161">
        <f>20+23</f>
        <v>43</v>
      </c>
      <c r="F34" s="134">
        <v>200</v>
      </c>
      <c r="G34" s="50">
        <f t="shared" si="4"/>
        <v>8600</v>
      </c>
      <c r="H34" s="103"/>
      <c r="I34" s="141"/>
      <c r="J34" s="104"/>
      <c r="K34" s="103"/>
      <c r="L34" s="103"/>
      <c r="M34" s="141">
        <f t="shared" si="0"/>
        <v>43</v>
      </c>
      <c r="N34" s="103"/>
      <c r="O34" s="103" t="s">
        <v>947</v>
      </c>
      <c r="P34" s="137">
        <f t="shared" si="3"/>
        <v>8600</v>
      </c>
    </row>
    <row r="35" spans="1:16" s="8" customFormat="1" ht="15.75" x14ac:dyDescent="0.25">
      <c r="A35" s="106" t="s">
        <v>30</v>
      </c>
      <c r="B35" s="102">
        <v>44193</v>
      </c>
      <c r="C35" s="9" t="s">
        <v>553</v>
      </c>
      <c r="D35" s="25" t="s">
        <v>1122</v>
      </c>
      <c r="E35" s="161">
        <v>9</v>
      </c>
      <c r="F35" s="134">
        <v>200</v>
      </c>
      <c r="G35" s="50">
        <f t="shared" si="4"/>
        <v>1800</v>
      </c>
      <c r="H35" s="103"/>
      <c r="I35" s="141"/>
      <c r="J35" s="104"/>
      <c r="K35" s="103"/>
      <c r="L35" s="103"/>
      <c r="M35" s="141">
        <f t="shared" si="0"/>
        <v>9</v>
      </c>
      <c r="N35" s="103"/>
      <c r="O35" s="103" t="s">
        <v>947</v>
      </c>
      <c r="P35" s="137">
        <f t="shared" si="3"/>
        <v>1800</v>
      </c>
    </row>
    <row r="36" spans="1:16" s="92" customFormat="1" x14ac:dyDescent="0.3">
      <c r="A36" s="106" t="s">
        <v>99</v>
      </c>
      <c r="B36" s="102">
        <v>44193</v>
      </c>
      <c r="C36" s="25" t="s">
        <v>548</v>
      </c>
      <c r="D36" s="25" t="s">
        <v>1122</v>
      </c>
      <c r="E36" s="161">
        <v>36</v>
      </c>
      <c r="F36" s="134">
        <v>75</v>
      </c>
      <c r="G36" s="50">
        <f t="shared" si="4"/>
        <v>2700</v>
      </c>
      <c r="H36" s="103"/>
      <c r="I36" s="141"/>
      <c r="J36" s="134"/>
      <c r="K36" s="108"/>
      <c r="L36" s="103">
        <v>36</v>
      </c>
      <c r="M36" s="141">
        <f t="shared" si="0"/>
        <v>0</v>
      </c>
      <c r="N36" s="103"/>
      <c r="O36" s="103" t="s">
        <v>945</v>
      </c>
      <c r="P36" s="137">
        <f>+F36*M36</f>
        <v>0</v>
      </c>
    </row>
    <row r="37" spans="1:16" s="8" customFormat="1" ht="15.75" x14ac:dyDescent="0.25">
      <c r="A37" s="106" t="s">
        <v>31</v>
      </c>
      <c r="B37" s="102">
        <v>44193</v>
      </c>
      <c r="C37" s="25" t="s">
        <v>554</v>
      </c>
      <c r="D37" s="25" t="s">
        <v>1122</v>
      </c>
      <c r="E37" s="161">
        <v>0</v>
      </c>
      <c r="F37" s="134">
        <v>4.24</v>
      </c>
      <c r="G37" s="50">
        <f t="shared" si="4"/>
        <v>0</v>
      </c>
      <c r="H37" s="103"/>
      <c r="I37" s="141"/>
      <c r="J37" s="104"/>
      <c r="K37" s="103"/>
      <c r="L37" s="103"/>
      <c r="M37" s="141">
        <f t="shared" si="0"/>
        <v>0</v>
      </c>
      <c r="N37" s="103"/>
      <c r="O37" s="103" t="s">
        <v>946</v>
      </c>
      <c r="P37" s="137">
        <f>+F37*M37</f>
        <v>0</v>
      </c>
    </row>
    <row r="38" spans="1:16" s="8" customFormat="1" ht="15.75" x14ac:dyDescent="0.25">
      <c r="A38" s="106" t="s">
        <v>32</v>
      </c>
      <c r="B38" s="102">
        <v>44193</v>
      </c>
      <c r="C38" s="25" t="s">
        <v>555</v>
      </c>
      <c r="D38" s="25" t="s">
        <v>1122</v>
      </c>
      <c r="E38" s="161">
        <v>0</v>
      </c>
      <c r="F38" s="134">
        <v>3.39</v>
      </c>
      <c r="G38" s="50">
        <f t="shared" si="4"/>
        <v>0</v>
      </c>
      <c r="H38" s="103"/>
      <c r="I38" s="141"/>
      <c r="J38" s="104"/>
      <c r="K38" s="103"/>
      <c r="L38" s="103"/>
      <c r="M38" s="141">
        <f t="shared" si="0"/>
        <v>0</v>
      </c>
      <c r="N38" s="103"/>
      <c r="O38" s="103" t="s">
        <v>946</v>
      </c>
      <c r="P38" s="137">
        <f t="shared" si="3"/>
        <v>0</v>
      </c>
    </row>
    <row r="39" spans="1:16" s="8" customFormat="1" ht="15.75" x14ac:dyDescent="0.25">
      <c r="A39" s="106" t="s">
        <v>33</v>
      </c>
      <c r="B39" s="102">
        <v>44193</v>
      </c>
      <c r="C39" s="9" t="s">
        <v>556</v>
      </c>
      <c r="D39" s="25" t="s">
        <v>1122</v>
      </c>
      <c r="E39" s="161">
        <v>23</v>
      </c>
      <c r="F39" s="134">
        <v>1625</v>
      </c>
      <c r="G39" s="50">
        <f t="shared" si="4"/>
        <v>37375</v>
      </c>
      <c r="H39" s="103"/>
      <c r="I39" s="141"/>
      <c r="J39" s="104"/>
      <c r="K39" s="103"/>
      <c r="L39" s="103"/>
      <c r="M39" s="141">
        <f t="shared" si="0"/>
        <v>23</v>
      </c>
      <c r="N39" s="103"/>
      <c r="O39" s="103" t="s">
        <v>946</v>
      </c>
      <c r="P39" s="137">
        <f t="shared" si="3"/>
        <v>37375</v>
      </c>
    </row>
    <row r="40" spans="1:16" s="8" customFormat="1" ht="15.75" x14ac:dyDescent="0.25">
      <c r="A40" s="106" t="s">
        <v>34</v>
      </c>
      <c r="B40" s="102">
        <v>44193</v>
      </c>
      <c r="C40" s="9" t="s">
        <v>557</v>
      </c>
      <c r="D40" s="25" t="s">
        <v>1122</v>
      </c>
      <c r="E40" s="161">
        <v>0</v>
      </c>
      <c r="F40" s="134">
        <v>1625</v>
      </c>
      <c r="G40" s="50">
        <f t="shared" si="4"/>
        <v>0</v>
      </c>
      <c r="H40" s="103"/>
      <c r="I40" s="141"/>
      <c r="J40" s="104"/>
      <c r="K40" s="103"/>
      <c r="L40" s="103"/>
      <c r="M40" s="141">
        <f t="shared" si="0"/>
        <v>0</v>
      </c>
      <c r="N40" s="103"/>
      <c r="O40" s="103" t="s">
        <v>946</v>
      </c>
      <c r="P40" s="137">
        <f t="shared" si="3"/>
        <v>0</v>
      </c>
    </row>
    <row r="41" spans="1:16" s="105" customFormat="1" ht="15.75" x14ac:dyDescent="0.25">
      <c r="A41" s="106" t="s">
        <v>111</v>
      </c>
      <c r="B41" s="129">
        <v>44852</v>
      </c>
      <c r="C41" s="9" t="s">
        <v>558</v>
      </c>
      <c r="D41" s="25" t="s">
        <v>1122</v>
      </c>
      <c r="E41" s="161">
        <v>10</v>
      </c>
      <c r="F41" s="134">
        <v>26</v>
      </c>
      <c r="G41" s="50">
        <f t="shared" si="4"/>
        <v>260</v>
      </c>
      <c r="H41" s="107">
        <v>44852</v>
      </c>
      <c r="I41" s="141">
        <v>10</v>
      </c>
      <c r="J41" s="104">
        <v>26</v>
      </c>
      <c r="K41" s="108">
        <f>+I41*J41</f>
        <v>260</v>
      </c>
      <c r="L41" s="103">
        <v>1</v>
      </c>
      <c r="M41" s="141">
        <f t="shared" si="0"/>
        <v>19</v>
      </c>
      <c r="N41" s="103"/>
      <c r="O41" s="103" t="s">
        <v>947</v>
      </c>
      <c r="P41" s="137">
        <f>+F41*M41</f>
        <v>494</v>
      </c>
    </row>
    <row r="42" spans="1:16" s="8" customFormat="1" ht="15.75" x14ac:dyDescent="0.25">
      <c r="A42" s="106" t="s">
        <v>128</v>
      </c>
      <c r="B42" s="102">
        <v>44488</v>
      </c>
      <c r="C42" s="25" t="s">
        <v>560</v>
      </c>
      <c r="D42" s="25" t="s">
        <v>1122</v>
      </c>
      <c r="E42" s="164">
        <v>13</v>
      </c>
      <c r="F42" s="134">
        <v>40</v>
      </c>
      <c r="G42" s="50">
        <f t="shared" si="4"/>
        <v>520</v>
      </c>
      <c r="H42" s="103"/>
      <c r="I42" s="141"/>
      <c r="J42" s="104"/>
      <c r="K42" s="103"/>
      <c r="L42" s="103"/>
      <c r="M42" s="141">
        <f t="shared" si="0"/>
        <v>13</v>
      </c>
      <c r="N42" s="103"/>
      <c r="O42" s="103" t="s">
        <v>946</v>
      </c>
      <c r="P42" s="137">
        <f t="shared" si="3"/>
        <v>520</v>
      </c>
    </row>
    <row r="43" spans="1:16" s="8" customFormat="1" ht="15.75" x14ac:dyDescent="0.25">
      <c r="A43" s="106" t="s">
        <v>129</v>
      </c>
      <c r="B43" s="102">
        <v>44193</v>
      </c>
      <c r="C43" s="9" t="s">
        <v>772</v>
      </c>
      <c r="D43" s="25" t="s">
        <v>1122</v>
      </c>
      <c r="E43" s="161">
        <v>23</v>
      </c>
      <c r="F43" s="134">
        <v>2.4</v>
      </c>
      <c r="G43" s="50">
        <f t="shared" si="4"/>
        <v>55.199999999999996</v>
      </c>
      <c r="H43" s="103"/>
      <c r="I43" s="141"/>
      <c r="J43" s="104"/>
      <c r="K43" s="103"/>
      <c r="L43" s="103">
        <f>12+2</f>
        <v>14</v>
      </c>
      <c r="M43" s="141">
        <f t="shared" si="0"/>
        <v>9</v>
      </c>
      <c r="N43" s="103"/>
      <c r="O43" s="103" t="s">
        <v>947</v>
      </c>
      <c r="P43" s="137">
        <f t="shared" si="3"/>
        <v>21.599999999999998</v>
      </c>
    </row>
    <row r="44" spans="1:16" s="8" customFormat="1" ht="15.75" x14ac:dyDescent="0.25">
      <c r="A44" s="106" t="s">
        <v>130</v>
      </c>
      <c r="B44" s="102">
        <v>44193</v>
      </c>
      <c r="C44" s="25" t="s">
        <v>562</v>
      </c>
      <c r="D44" s="25" t="s">
        <v>1122</v>
      </c>
      <c r="E44" s="165">
        <v>0</v>
      </c>
      <c r="F44" s="134">
        <v>700</v>
      </c>
      <c r="G44" s="50">
        <f t="shared" si="4"/>
        <v>0</v>
      </c>
      <c r="H44" s="103"/>
      <c r="I44" s="141"/>
      <c r="J44" s="104"/>
      <c r="K44" s="103"/>
      <c r="L44" s="103"/>
      <c r="M44" s="141">
        <f t="shared" si="0"/>
        <v>0</v>
      </c>
      <c r="N44" s="103"/>
      <c r="O44" s="103" t="s">
        <v>946</v>
      </c>
      <c r="P44" s="137">
        <f t="shared" si="3"/>
        <v>0</v>
      </c>
    </row>
    <row r="45" spans="1:16" s="8" customFormat="1" ht="15.75" x14ac:dyDescent="0.25">
      <c r="A45" s="106" t="s">
        <v>35</v>
      </c>
      <c r="B45" s="102">
        <v>44193</v>
      </c>
      <c r="C45" s="9" t="s">
        <v>563</v>
      </c>
      <c r="D45" s="25" t="s">
        <v>1122</v>
      </c>
      <c r="E45" s="161">
        <v>1</v>
      </c>
      <c r="F45" s="134">
        <v>35</v>
      </c>
      <c r="G45" s="50">
        <f t="shared" si="4"/>
        <v>35</v>
      </c>
      <c r="H45" s="103"/>
      <c r="I45" s="141"/>
      <c r="J45" s="104"/>
      <c r="K45" s="103"/>
      <c r="L45" s="103"/>
      <c r="M45" s="141">
        <f t="shared" si="0"/>
        <v>1</v>
      </c>
      <c r="N45" s="103"/>
      <c r="O45" s="103" t="s">
        <v>947</v>
      </c>
      <c r="P45" s="137">
        <f t="shared" si="3"/>
        <v>35</v>
      </c>
    </row>
    <row r="46" spans="1:16" s="92" customFormat="1" x14ac:dyDescent="0.3">
      <c r="A46" s="106" t="s">
        <v>36</v>
      </c>
      <c r="B46" s="102">
        <v>44193</v>
      </c>
      <c r="C46" s="9" t="s">
        <v>564</v>
      </c>
      <c r="D46" s="25" t="s">
        <v>1122</v>
      </c>
      <c r="E46" s="161">
        <v>0</v>
      </c>
      <c r="F46" s="134">
        <v>2719</v>
      </c>
      <c r="G46" s="50">
        <f t="shared" si="4"/>
        <v>0</v>
      </c>
      <c r="H46" s="103"/>
      <c r="I46" s="141"/>
      <c r="J46" s="104"/>
      <c r="K46" s="103"/>
      <c r="L46" s="103"/>
      <c r="M46" s="141">
        <f t="shared" si="0"/>
        <v>0</v>
      </c>
      <c r="N46" s="103"/>
      <c r="O46" s="103" t="s">
        <v>945</v>
      </c>
      <c r="P46" s="137">
        <f t="shared" si="3"/>
        <v>0</v>
      </c>
    </row>
    <row r="47" spans="1:16" s="8" customFormat="1" ht="15.75" x14ac:dyDescent="0.25">
      <c r="A47" s="106" t="s">
        <v>37</v>
      </c>
      <c r="B47" s="102">
        <v>44193</v>
      </c>
      <c r="C47" s="25" t="s">
        <v>797</v>
      </c>
      <c r="D47" s="25" t="s">
        <v>1122</v>
      </c>
      <c r="E47" s="161">
        <v>2</v>
      </c>
      <c r="F47" s="134">
        <v>600</v>
      </c>
      <c r="G47" s="50">
        <f t="shared" si="4"/>
        <v>1200</v>
      </c>
      <c r="H47" s="103"/>
      <c r="I47" s="141"/>
      <c r="J47" s="104"/>
      <c r="K47" s="103"/>
      <c r="L47" s="103"/>
      <c r="M47" s="141">
        <f t="shared" si="0"/>
        <v>2</v>
      </c>
      <c r="N47" s="103"/>
      <c r="O47" s="103" t="s">
        <v>946</v>
      </c>
      <c r="P47" s="137">
        <f t="shared" si="3"/>
        <v>1200</v>
      </c>
    </row>
    <row r="48" spans="1:16" s="8" customFormat="1" ht="15.75" x14ac:dyDescent="0.25">
      <c r="A48" s="106" t="s">
        <v>38</v>
      </c>
      <c r="B48" s="102">
        <v>44678</v>
      </c>
      <c r="C48" s="25" t="s">
        <v>565</v>
      </c>
      <c r="D48" s="25" t="s">
        <v>1122</v>
      </c>
      <c r="E48" s="165">
        <v>5</v>
      </c>
      <c r="F48" s="134">
        <v>1400</v>
      </c>
      <c r="G48" s="50">
        <f t="shared" si="4"/>
        <v>7000</v>
      </c>
      <c r="H48" s="103"/>
      <c r="I48" s="141"/>
      <c r="J48" s="104"/>
      <c r="K48" s="103"/>
      <c r="L48" s="103"/>
      <c r="M48" s="141">
        <f t="shared" si="0"/>
        <v>5</v>
      </c>
      <c r="N48" s="103"/>
      <c r="O48" s="103" t="s">
        <v>946</v>
      </c>
      <c r="P48" s="137">
        <f t="shared" si="3"/>
        <v>7000</v>
      </c>
    </row>
    <row r="49" spans="1:16" s="8" customFormat="1" ht="15.75" x14ac:dyDescent="0.25">
      <c r="A49" s="106" t="s">
        <v>131</v>
      </c>
      <c r="B49" s="102">
        <v>44678</v>
      </c>
      <c r="C49" s="25" t="s">
        <v>567</v>
      </c>
      <c r="D49" s="25" t="s">
        <v>1122</v>
      </c>
      <c r="E49" s="165">
        <v>10</v>
      </c>
      <c r="F49" s="134">
        <v>500</v>
      </c>
      <c r="G49" s="50">
        <f t="shared" si="4"/>
        <v>5000</v>
      </c>
      <c r="H49" s="103"/>
      <c r="I49" s="141"/>
      <c r="J49" s="104"/>
      <c r="K49" s="103"/>
      <c r="L49" s="103"/>
      <c r="M49" s="141">
        <f t="shared" si="0"/>
        <v>10</v>
      </c>
      <c r="N49" s="103"/>
      <c r="O49" s="103" t="s">
        <v>946</v>
      </c>
      <c r="P49" s="137">
        <f t="shared" si="3"/>
        <v>5000</v>
      </c>
    </row>
    <row r="50" spans="1:16" s="8" customFormat="1" ht="15.75" x14ac:dyDescent="0.25">
      <c r="A50" s="106" t="s">
        <v>39</v>
      </c>
      <c r="B50" s="102">
        <v>44678</v>
      </c>
      <c r="C50" s="25" t="s">
        <v>568</v>
      </c>
      <c r="D50" s="25" t="s">
        <v>1122</v>
      </c>
      <c r="E50" s="165">
        <v>6</v>
      </c>
      <c r="F50" s="134">
        <v>5000</v>
      </c>
      <c r="G50" s="50">
        <f t="shared" si="4"/>
        <v>30000</v>
      </c>
      <c r="H50" s="103"/>
      <c r="I50" s="141"/>
      <c r="J50" s="104"/>
      <c r="K50" s="103"/>
      <c r="L50" s="103"/>
      <c r="M50" s="141">
        <f t="shared" si="0"/>
        <v>6</v>
      </c>
      <c r="N50" s="103"/>
      <c r="O50" s="103" t="s">
        <v>946</v>
      </c>
      <c r="P50" s="137">
        <f t="shared" si="3"/>
        <v>30000</v>
      </c>
    </row>
    <row r="51" spans="1:16" s="8" customFormat="1" ht="15.75" x14ac:dyDescent="0.25">
      <c r="A51" s="106" t="s">
        <v>40</v>
      </c>
      <c r="B51" s="102">
        <v>44193</v>
      </c>
      <c r="C51" s="25" t="s">
        <v>803</v>
      </c>
      <c r="D51" s="25" t="s">
        <v>1122</v>
      </c>
      <c r="E51" s="165">
        <v>6</v>
      </c>
      <c r="F51" s="134">
        <v>2600</v>
      </c>
      <c r="G51" s="50">
        <f t="shared" si="4"/>
        <v>15600</v>
      </c>
      <c r="H51" s="103"/>
      <c r="I51" s="141"/>
      <c r="J51" s="104"/>
      <c r="K51" s="103"/>
      <c r="L51" s="103"/>
      <c r="M51" s="141">
        <f t="shared" si="0"/>
        <v>6</v>
      </c>
      <c r="N51" s="103"/>
      <c r="O51" s="103" t="s">
        <v>946</v>
      </c>
      <c r="P51" s="137">
        <f t="shared" si="3"/>
        <v>15600</v>
      </c>
    </row>
    <row r="52" spans="1:16" s="92" customFormat="1" x14ac:dyDescent="0.3">
      <c r="A52" s="106" t="s">
        <v>132</v>
      </c>
      <c r="B52" s="102">
        <v>44193</v>
      </c>
      <c r="C52" s="25" t="s">
        <v>773</v>
      </c>
      <c r="D52" s="25" t="s">
        <v>1122</v>
      </c>
      <c r="E52" s="160">
        <v>2</v>
      </c>
      <c r="F52" s="134">
        <v>325</v>
      </c>
      <c r="G52" s="50">
        <f t="shared" si="4"/>
        <v>650</v>
      </c>
      <c r="H52" s="103"/>
      <c r="I52" s="141"/>
      <c r="J52" s="104"/>
      <c r="K52" s="103"/>
      <c r="L52" s="103">
        <v>2</v>
      </c>
      <c r="M52" s="141">
        <f t="shared" si="0"/>
        <v>0</v>
      </c>
      <c r="N52" s="103"/>
      <c r="O52" s="103" t="s">
        <v>945</v>
      </c>
      <c r="P52" s="137">
        <f t="shared" si="3"/>
        <v>0</v>
      </c>
    </row>
    <row r="53" spans="1:16" s="92" customFormat="1" x14ac:dyDescent="0.3">
      <c r="A53" s="106" t="s">
        <v>41</v>
      </c>
      <c r="B53" s="102">
        <v>44193</v>
      </c>
      <c r="C53" s="25" t="s">
        <v>570</v>
      </c>
      <c r="D53" s="25" t="s">
        <v>1122</v>
      </c>
      <c r="E53" s="160">
        <f>(43*3)+1</f>
        <v>130</v>
      </c>
      <c r="F53" s="134">
        <v>25</v>
      </c>
      <c r="G53" s="50">
        <f t="shared" si="4"/>
        <v>3250</v>
      </c>
      <c r="H53" s="103"/>
      <c r="I53" s="141"/>
      <c r="J53" s="104"/>
      <c r="K53" s="103"/>
      <c r="L53" s="103">
        <f>1+3+1+5+1</f>
        <v>11</v>
      </c>
      <c r="M53" s="141">
        <f t="shared" si="0"/>
        <v>119</v>
      </c>
      <c r="N53" s="103"/>
      <c r="O53" s="103" t="s">
        <v>945</v>
      </c>
      <c r="P53" s="137">
        <f t="shared" si="3"/>
        <v>2975</v>
      </c>
    </row>
    <row r="54" spans="1:16" s="92" customFormat="1" x14ac:dyDescent="0.3">
      <c r="A54" s="106" t="s">
        <v>133</v>
      </c>
      <c r="B54" s="129">
        <v>45019</v>
      </c>
      <c r="C54" s="25" t="s">
        <v>1190</v>
      </c>
      <c r="D54" s="25" t="s">
        <v>1122</v>
      </c>
      <c r="E54" s="160">
        <v>276</v>
      </c>
      <c r="F54" s="134">
        <v>122.19</v>
      </c>
      <c r="G54" s="50">
        <f t="shared" si="4"/>
        <v>33724.44</v>
      </c>
      <c r="H54" s="107">
        <v>45019</v>
      </c>
      <c r="I54" s="141">
        <v>300</v>
      </c>
      <c r="J54" s="104">
        <v>122.19</v>
      </c>
      <c r="K54" s="104">
        <f>+I54*J54</f>
        <v>36657</v>
      </c>
      <c r="L54" s="103">
        <f>124+2+2+2+3</f>
        <v>133</v>
      </c>
      <c r="M54" s="151">
        <f t="shared" si="0"/>
        <v>443</v>
      </c>
      <c r="N54" s="103"/>
      <c r="O54" s="103" t="s">
        <v>945</v>
      </c>
      <c r="P54" s="137">
        <f t="shared" si="3"/>
        <v>54130.17</v>
      </c>
    </row>
    <row r="55" spans="1:16" s="8" customFormat="1" ht="15.75" x14ac:dyDescent="0.25">
      <c r="A55" s="106" t="s">
        <v>134</v>
      </c>
      <c r="B55" s="129">
        <v>44851</v>
      </c>
      <c r="C55" s="25" t="s">
        <v>572</v>
      </c>
      <c r="D55" s="25" t="s">
        <v>1122</v>
      </c>
      <c r="E55" s="165"/>
      <c r="F55" s="171">
        <v>107.97</v>
      </c>
      <c r="G55" s="50">
        <f t="shared" si="4"/>
        <v>0</v>
      </c>
      <c r="H55" s="107">
        <v>44851</v>
      </c>
      <c r="I55" s="141">
        <v>30</v>
      </c>
      <c r="J55" s="104">
        <v>107.97</v>
      </c>
      <c r="K55" s="104">
        <f>+I55*J55</f>
        <v>3239.1</v>
      </c>
      <c r="L55" s="103">
        <f>2+1+1</f>
        <v>4</v>
      </c>
      <c r="M55" s="141">
        <f t="shared" si="0"/>
        <v>26</v>
      </c>
      <c r="N55" s="103"/>
      <c r="O55" s="103" t="s">
        <v>946</v>
      </c>
      <c r="P55" s="137">
        <f>+F55*M55</f>
        <v>2807.22</v>
      </c>
    </row>
    <row r="56" spans="1:16" s="8" customFormat="1" ht="15.75" x14ac:dyDescent="0.25">
      <c r="A56" s="106" t="s">
        <v>42</v>
      </c>
      <c r="B56" s="102">
        <v>44193</v>
      </c>
      <c r="C56" s="25" t="s">
        <v>573</v>
      </c>
      <c r="D56" s="25" t="s">
        <v>1122</v>
      </c>
      <c r="E56" s="165"/>
      <c r="F56" s="134">
        <v>169.49</v>
      </c>
      <c r="G56" s="50">
        <f t="shared" si="4"/>
        <v>0</v>
      </c>
      <c r="H56" s="103"/>
      <c r="I56" s="141"/>
      <c r="J56" s="104"/>
      <c r="K56" s="103">
        <f t="shared" ref="K56:K65" si="5">+I56*J56</f>
        <v>0</v>
      </c>
      <c r="L56" s="103">
        <v>2</v>
      </c>
      <c r="M56" s="141">
        <f t="shared" si="0"/>
        <v>-2</v>
      </c>
      <c r="N56" s="103"/>
      <c r="O56" s="103" t="s">
        <v>946</v>
      </c>
      <c r="P56" s="137">
        <f t="shared" si="3"/>
        <v>-338.98</v>
      </c>
    </row>
    <row r="57" spans="1:16" s="8" customFormat="1" x14ac:dyDescent="0.25">
      <c r="A57" s="106" t="s">
        <v>109</v>
      </c>
      <c r="B57" s="102">
        <v>44193</v>
      </c>
      <c r="C57" s="25" t="s">
        <v>574</v>
      </c>
      <c r="D57" s="25" t="s">
        <v>1122</v>
      </c>
      <c r="E57" s="160"/>
      <c r="F57" s="134">
        <v>76.27</v>
      </c>
      <c r="G57" s="50">
        <f t="shared" si="4"/>
        <v>0</v>
      </c>
      <c r="H57" s="103"/>
      <c r="I57" s="141"/>
      <c r="J57" s="104"/>
      <c r="K57" s="103">
        <f t="shared" si="5"/>
        <v>0</v>
      </c>
      <c r="L57" s="159"/>
      <c r="M57" s="141">
        <f t="shared" si="0"/>
        <v>0</v>
      </c>
      <c r="N57" s="103"/>
      <c r="O57" s="103" t="s">
        <v>946</v>
      </c>
      <c r="P57" s="137">
        <f t="shared" si="3"/>
        <v>0</v>
      </c>
    </row>
    <row r="58" spans="1:16" s="8" customFormat="1" ht="15.75" x14ac:dyDescent="0.25">
      <c r="A58" s="106" t="s">
        <v>135</v>
      </c>
      <c r="B58" s="102">
        <v>44193</v>
      </c>
      <c r="C58" s="25" t="s">
        <v>575</v>
      </c>
      <c r="D58" s="25" t="s">
        <v>1122</v>
      </c>
      <c r="E58" s="160"/>
      <c r="F58" s="134">
        <v>93.22</v>
      </c>
      <c r="G58" s="50">
        <f t="shared" si="4"/>
        <v>0</v>
      </c>
      <c r="H58" s="103"/>
      <c r="I58" s="141"/>
      <c r="J58" s="104"/>
      <c r="K58" s="103">
        <f t="shared" si="5"/>
        <v>0</v>
      </c>
      <c r="L58" s="103"/>
      <c r="M58" s="141">
        <f t="shared" si="0"/>
        <v>0</v>
      </c>
      <c r="N58" s="103"/>
      <c r="O58" s="103" t="s">
        <v>946</v>
      </c>
      <c r="P58" s="137">
        <f t="shared" si="3"/>
        <v>0</v>
      </c>
    </row>
    <row r="59" spans="1:16" s="8" customFormat="1" ht="15.75" x14ac:dyDescent="0.25">
      <c r="A59" s="106" t="s">
        <v>43</v>
      </c>
      <c r="B59" s="129">
        <v>44851</v>
      </c>
      <c r="C59" s="25" t="s">
        <v>576</v>
      </c>
      <c r="D59" s="25" t="s">
        <v>1122</v>
      </c>
      <c r="E59" s="165"/>
      <c r="F59" s="134">
        <v>171.69</v>
      </c>
      <c r="G59" s="50">
        <f t="shared" si="4"/>
        <v>0</v>
      </c>
      <c r="H59" s="107">
        <v>44851</v>
      </c>
      <c r="I59" s="141">
        <v>30</v>
      </c>
      <c r="J59" s="104">
        <v>171.69</v>
      </c>
      <c r="K59" s="104">
        <f t="shared" si="5"/>
        <v>5150.7</v>
      </c>
      <c r="L59" s="103">
        <v>2</v>
      </c>
      <c r="M59" s="141">
        <f t="shared" si="0"/>
        <v>28</v>
      </c>
      <c r="N59" s="103"/>
      <c r="O59" s="103" t="s">
        <v>946</v>
      </c>
      <c r="P59" s="137">
        <f t="shared" si="3"/>
        <v>4807.32</v>
      </c>
    </row>
    <row r="60" spans="1:16" s="8" customFormat="1" ht="15.75" x14ac:dyDescent="0.25">
      <c r="A60" s="106" t="s">
        <v>45</v>
      </c>
      <c r="B60" s="102">
        <v>44453</v>
      </c>
      <c r="C60" s="9" t="s">
        <v>577</v>
      </c>
      <c r="D60" s="25" t="s">
        <v>1122</v>
      </c>
      <c r="E60" s="106">
        <v>0</v>
      </c>
      <c r="F60" s="134">
        <v>3000</v>
      </c>
      <c r="G60" s="50">
        <f t="shared" si="4"/>
        <v>0</v>
      </c>
      <c r="H60" s="103"/>
      <c r="I60" s="141"/>
      <c r="J60" s="104"/>
      <c r="K60" s="103">
        <f t="shared" si="5"/>
        <v>0</v>
      </c>
      <c r="L60" s="103"/>
      <c r="M60" s="141">
        <f t="shared" si="0"/>
        <v>0</v>
      </c>
      <c r="N60" s="103"/>
      <c r="O60" s="103" t="s">
        <v>946</v>
      </c>
      <c r="P60" s="137">
        <f t="shared" si="3"/>
        <v>0</v>
      </c>
    </row>
    <row r="61" spans="1:16" s="8" customFormat="1" ht="15.75" x14ac:dyDescent="0.25">
      <c r="A61" s="106" t="s">
        <v>46</v>
      </c>
      <c r="B61" s="102">
        <v>44193</v>
      </c>
      <c r="C61" s="25" t="s">
        <v>578</v>
      </c>
      <c r="D61" s="25" t="s">
        <v>1122</v>
      </c>
      <c r="E61" s="165">
        <v>0</v>
      </c>
      <c r="F61" s="134">
        <v>63.56</v>
      </c>
      <c r="G61" s="50">
        <f t="shared" si="4"/>
        <v>0</v>
      </c>
      <c r="H61" s="103"/>
      <c r="I61" s="141"/>
      <c r="J61" s="104"/>
      <c r="K61" s="103">
        <f t="shared" si="5"/>
        <v>0</v>
      </c>
      <c r="L61" s="103"/>
      <c r="M61" s="141">
        <f t="shared" si="0"/>
        <v>0</v>
      </c>
      <c r="N61" s="103"/>
      <c r="O61" s="103" t="s">
        <v>946</v>
      </c>
      <c r="P61" s="137">
        <f t="shared" si="3"/>
        <v>0</v>
      </c>
    </row>
    <row r="62" spans="1:16" s="8" customFormat="1" ht="15.75" x14ac:dyDescent="0.25">
      <c r="A62" s="106" t="s">
        <v>47</v>
      </c>
      <c r="B62" s="102">
        <v>44193</v>
      </c>
      <c r="C62" s="25" t="s">
        <v>819</v>
      </c>
      <c r="D62" s="25" t="s">
        <v>1122</v>
      </c>
      <c r="E62" s="165">
        <v>2</v>
      </c>
      <c r="F62" s="134"/>
      <c r="G62" s="50"/>
      <c r="H62" s="103"/>
      <c r="I62" s="141"/>
      <c r="J62" s="104"/>
      <c r="K62" s="103">
        <f t="shared" si="5"/>
        <v>0</v>
      </c>
      <c r="L62" s="103"/>
      <c r="M62" s="141">
        <f t="shared" si="0"/>
        <v>2</v>
      </c>
      <c r="N62" s="103"/>
      <c r="O62" s="103" t="s">
        <v>946</v>
      </c>
      <c r="P62" s="137">
        <f t="shared" si="3"/>
        <v>0</v>
      </c>
    </row>
    <row r="63" spans="1:16" s="8" customFormat="1" ht="15.75" x14ac:dyDescent="0.25">
      <c r="A63" s="106" t="s">
        <v>48</v>
      </c>
      <c r="B63" s="102">
        <v>44193</v>
      </c>
      <c r="C63" s="25" t="s">
        <v>817</v>
      </c>
      <c r="D63" s="25" t="s">
        <v>1122</v>
      </c>
      <c r="E63" s="165">
        <v>7</v>
      </c>
      <c r="F63" s="134"/>
      <c r="G63" s="50"/>
      <c r="H63" s="103"/>
      <c r="I63" s="141"/>
      <c r="J63" s="104"/>
      <c r="K63" s="103">
        <f t="shared" si="5"/>
        <v>0</v>
      </c>
      <c r="L63" s="103"/>
      <c r="M63" s="141">
        <f t="shared" si="0"/>
        <v>7</v>
      </c>
      <c r="N63" s="103"/>
      <c r="O63" s="103" t="s">
        <v>946</v>
      </c>
      <c r="P63" s="137">
        <f t="shared" si="3"/>
        <v>0</v>
      </c>
    </row>
    <row r="64" spans="1:16" s="8" customFormat="1" ht="15.75" x14ac:dyDescent="0.25">
      <c r="A64" s="106" t="s">
        <v>49</v>
      </c>
      <c r="B64" s="102">
        <v>44193</v>
      </c>
      <c r="C64" s="25" t="s">
        <v>818</v>
      </c>
      <c r="D64" s="25" t="s">
        <v>1122</v>
      </c>
      <c r="E64" s="165">
        <v>8</v>
      </c>
      <c r="F64" s="134"/>
      <c r="G64" s="50"/>
      <c r="H64" s="103"/>
      <c r="I64" s="141"/>
      <c r="J64" s="104"/>
      <c r="K64" s="103">
        <f t="shared" si="5"/>
        <v>0</v>
      </c>
      <c r="L64" s="103"/>
      <c r="M64" s="141">
        <f t="shared" si="0"/>
        <v>8</v>
      </c>
      <c r="N64" s="103"/>
      <c r="O64" s="103" t="s">
        <v>946</v>
      </c>
      <c r="P64" s="137">
        <f t="shared" si="3"/>
        <v>0</v>
      </c>
    </row>
    <row r="65" spans="1:16" s="8" customFormat="1" ht="15.75" x14ac:dyDescent="0.25">
      <c r="A65" s="106" t="s">
        <v>50</v>
      </c>
      <c r="B65" s="106" t="s">
        <v>116</v>
      </c>
      <c r="C65" s="25" t="s">
        <v>720</v>
      </c>
      <c r="D65" s="25" t="s">
        <v>1122</v>
      </c>
      <c r="E65" s="165">
        <v>1</v>
      </c>
      <c r="F65" s="171">
        <v>3000</v>
      </c>
      <c r="G65" s="50">
        <f>E65*F65</f>
        <v>3000</v>
      </c>
      <c r="H65" s="103"/>
      <c r="I65" s="141"/>
      <c r="J65" s="104"/>
      <c r="K65" s="103">
        <f t="shared" si="5"/>
        <v>0</v>
      </c>
      <c r="L65" s="103">
        <v>2</v>
      </c>
      <c r="M65" s="141">
        <f t="shared" si="0"/>
        <v>-1</v>
      </c>
      <c r="N65" s="103"/>
      <c r="O65" s="103" t="s">
        <v>947</v>
      </c>
      <c r="P65" s="137">
        <f t="shared" si="3"/>
        <v>-3000</v>
      </c>
    </row>
    <row r="66" spans="1:16" s="8" customFormat="1" ht="15.75" x14ac:dyDescent="0.25">
      <c r="A66" s="106" t="s">
        <v>51</v>
      </c>
      <c r="B66" s="102">
        <v>44193</v>
      </c>
      <c r="C66" s="25" t="s">
        <v>579</v>
      </c>
      <c r="D66" s="25" t="s">
        <v>1122</v>
      </c>
      <c r="E66" s="165">
        <v>0</v>
      </c>
      <c r="F66" s="134">
        <v>35</v>
      </c>
      <c r="G66" s="50">
        <f t="shared" ref="G66:G87" si="6">E66*F66</f>
        <v>0</v>
      </c>
      <c r="H66" s="103"/>
      <c r="I66" s="141"/>
      <c r="J66" s="104"/>
      <c r="K66" s="103"/>
      <c r="L66" s="103"/>
      <c r="M66" s="141">
        <f t="shared" si="0"/>
        <v>0</v>
      </c>
      <c r="N66" s="103"/>
      <c r="O66" s="103" t="s">
        <v>946</v>
      </c>
      <c r="P66" s="137">
        <f t="shared" si="3"/>
        <v>0</v>
      </c>
    </row>
    <row r="67" spans="1:16" s="8" customFormat="1" ht="15.75" x14ac:dyDescent="0.25">
      <c r="A67" s="106" t="s">
        <v>52</v>
      </c>
      <c r="B67" s="102">
        <v>44193</v>
      </c>
      <c r="C67" s="25" t="s">
        <v>794</v>
      </c>
      <c r="D67" s="25" t="s">
        <v>1122</v>
      </c>
      <c r="E67" s="162">
        <v>1</v>
      </c>
      <c r="F67" s="134">
        <v>97.96</v>
      </c>
      <c r="G67" s="50">
        <f t="shared" si="6"/>
        <v>97.96</v>
      </c>
      <c r="H67" s="103"/>
      <c r="I67" s="141"/>
      <c r="J67" s="104"/>
      <c r="K67" s="103"/>
      <c r="L67" s="103"/>
      <c r="M67" s="150">
        <f t="shared" si="0"/>
        <v>1</v>
      </c>
      <c r="N67" s="103"/>
      <c r="O67" s="103" t="s">
        <v>946</v>
      </c>
      <c r="P67" s="137">
        <f t="shared" si="3"/>
        <v>97.96</v>
      </c>
    </row>
    <row r="68" spans="1:16" s="8" customFormat="1" ht="15.75" x14ac:dyDescent="0.25">
      <c r="A68" s="106" t="s">
        <v>53</v>
      </c>
      <c r="B68" s="102">
        <v>44193</v>
      </c>
      <c r="C68" s="9" t="s">
        <v>580</v>
      </c>
      <c r="D68" s="25" t="s">
        <v>1122</v>
      </c>
      <c r="E68" s="166">
        <v>225</v>
      </c>
      <c r="F68" s="134">
        <v>18</v>
      </c>
      <c r="G68" s="50">
        <f t="shared" si="6"/>
        <v>4050</v>
      </c>
      <c r="H68" s="103"/>
      <c r="I68" s="141"/>
      <c r="J68" s="104"/>
      <c r="K68" s="103"/>
      <c r="L68" s="103"/>
      <c r="M68" s="141">
        <f t="shared" si="0"/>
        <v>225</v>
      </c>
      <c r="N68" s="103"/>
      <c r="O68" s="103" t="s">
        <v>947</v>
      </c>
      <c r="P68" s="137">
        <f t="shared" si="3"/>
        <v>4050</v>
      </c>
    </row>
    <row r="69" spans="1:16" s="8" customFormat="1" ht="15.75" x14ac:dyDescent="0.25">
      <c r="A69" s="106" t="s">
        <v>44</v>
      </c>
      <c r="B69" s="102">
        <v>44193</v>
      </c>
      <c r="C69" s="9" t="s">
        <v>581</v>
      </c>
      <c r="D69" s="25" t="s">
        <v>1122</v>
      </c>
      <c r="E69" s="106">
        <v>0</v>
      </c>
      <c r="F69" s="134">
        <v>114</v>
      </c>
      <c r="G69" s="50">
        <f t="shared" si="6"/>
        <v>0</v>
      </c>
      <c r="H69" s="103"/>
      <c r="I69" s="141"/>
      <c r="J69" s="104"/>
      <c r="K69" s="103"/>
      <c r="L69" s="103"/>
      <c r="M69" s="141">
        <f t="shared" si="0"/>
        <v>0</v>
      </c>
      <c r="N69" s="103"/>
      <c r="O69" s="103" t="s">
        <v>947</v>
      </c>
      <c r="P69" s="137">
        <f t="shared" si="3"/>
        <v>0</v>
      </c>
    </row>
    <row r="70" spans="1:16" s="8" customFormat="1" ht="15.75" x14ac:dyDescent="0.25">
      <c r="A70" s="106" t="s">
        <v>113</v>
      </c>
      <c r="B70" s="102">
        <v>44193</v>
      </c>
      <c r="C70" s="9" t="s">
        <v>582</v>
      </c>
      <c r="D70" s="25" t="s">
        <v>1122</v>
      </c>
      <c r="E70" s="106">
        <v>50</v>
      </c>
      <c r="F70" s="134">
        <v>150</v>
      </c>
      <c r="G70" s="50">
        <f t="shared" si="6"/>
        <v>7500</v>
      </c>
      <c r="H70" s="103"/>
      <c r="I70" s="141"/>
      <c r="J70" s="104"/>
      <c r="K70" s="103"/>
      <c r="L70" s="103"/>
      <c r="M70" s="141">
        <f t="shared" si="0"/>
        <v>50</v>
      </c>
      <c r="N70" s="103"/>
      <c r="O70" s="103" t="s">
        <v>947</v>
      </c>
      <c r="P70" s="137">
        <f t="shared" si="3"/>
        <v>7500</v>
      </c>
    </row>
    <row r="71" spans="1:16" s="8" customFormat="1" ht="15.75" x14ac:dyDescent="0.25">
      <c r="A71" s="106" t="s">
        <v>136</v>
      </c>
      <c r="B71" s="102">
        <v>44193</v>
      </c>
      <c r="C71" s="25" t="s">
        <v>583</v>
      </c>
      <c r="D71" s="25" t="s">
        <v>1122</v>
      </c>
      <c r="E71" s="160">
        <v>0</v>
      </c>
      <c r="F71" s="134">
        <v>105.93</v>
      </c>
      <c r="G71" s="50">
        <f t="shared" si="6"/>
        <v>0</v>
      </c>
      <c r="H71" s="103"/>
      <c r="I71" s="141"/>
      <c r="J71" s="104"/>
      <c r="K71" s="103"/>
      <c r="L71" s="103"/>
      <c r="M71" s="141">
        <f t="shared" si="0"/>
        <v>0</v>
      </c>
      <c r="N71" s="103"/>
      <c r="O71" s="103" t="s">
        <v>946</v>
      </c>
      <c r="P71" s="137">
        <f t="shared" si="3"/>
        <v>0</v>
      </c>
    </row>
    <row r="72" spans="1:16" s="8" customFormat="1" ht="15.75" x14ac:dyDescent="0.25">
      <c r="A72" s="106" t="s">
        <v>137</v>
      </c>
      <c r="B72" s="102">
        <v>44193</v>
      </c>
      <c r="C72" s="25" t="s">
        <v>584</v>
      </c>
      <c r="D72" s="25" t="s">
        <v>1122</v>
      </c>
      <c r="E72" s="160">
        <v>1</v>
      </c>
      <c r="F72" s="134">
        <v>762.71</v>
      </c>
      <c r="G72" s="50">
        <f t="shared" si="6"/>
        <v>762.71</v>
      </c>
      <c r="H72" s="103"/>
      <c r="I72" s="141"/>
      <c r="J72" s="104"/>
      <c r="K72" s="103"/>
      <c r="L72" s="103"/>
      <c r="M72" s="141">
        <f t="shared" si="0"/>
        <v>1</v>
      </c>
      <c r="N72" s="103"/>
      <c r="O72" s="103" t="s">
        <v>946</v>
      </c>
      <c r="P72" s="137">
        <f t="shared" si="3"/>
        <v>762.71</v>
      </c>
    </row>
    <row r="73" spans="1:16" s="8" customFormat="1" ht="15.75" x14ac:dyDescent="0.25">
      <c r="A73" s="106" t="s">
        <v>138</v>
      </c>
      <c r="B73" s="102">
        <v>44193</v>
      </c>
      <c r="C73" s="25" t="s">
        <v>585</v>
      </c>
      <c r="D73" s="25" t="s">
        <v>1122</v>
      </c>
      <c r="E73" s="160">
        <v>0</v>
      </c>
      <c r="F73" s="134">
        <v>338.98</v>
      </c>
      <c r="G73" s="50">
        <f t="shared" si="6"/>
        <v>0</v>
      </c>
      <c r="H73" s="103"/>
      <c r="I73" s="141"/>
      <c r="J73" s="104"/>
      <c r="K73" s="103"/>
      <c r="L73" s="103"/>
      <c r="M73" s="141">
        <f t="shared" ref="M73:M74" si="7">+E73+I73-L73</f>
        <v>0</v>
      </c>
      <c r="N73" s="103"/>
      <c r="O73" s="103" t="s">
        <v>946</v>
      </c>
      <c r="P73" s="137">
        <f t="shared" si="3"/>
        <v>0</v>
      </c>
    </row>
    <row r="74" spans="1:16" s="8" customFormat="1" ht="15.75" x14ac:dyDescent="0.25">
      <c r="A74" s="106" t="s">
        <v>54</v>
      </c>
      <c r="B74" s="102">
        <v>44193</v>
      </c>
      <c r="C74" s="9" t="s">
        <v>586</v>
      </c>
      <c r="D74" s="25" t="s">
        <v>1122</v>
      </c>
      <c r="E74" s="161">
        <v>8</v>
      </c>
      <c r="F74" s="134">
        <v>17.07</v>
      </c>
      <c r="G74" s="50">
        <f t="shared" si="6"/>
        <v>136.56</v>
      </c>
      <c r="H74" s="103"/>
      <c r="I74" s="141"/>
      <c r="J74" s="104"/>
      <c r="K74" s="103"/>
      <c r="L74" s="103"/>
      <c r="M74" s="141">
        <f t="shared" si="7"/>
        <v>8</v>
      </c>
      <c r="N74" s="103"/>
      <c r="O74" s="103" t="s">
        <v>947</v>
      </c>
      <c r="P74" s="137">
        <f t="shared" si="3"/>
        <v>136.56</v>
      </c>
    </row>
    <row r="75" spans="1:16" s="92" customFormat="1" x14ac:dyDescent="0.3">
      <c r="A75" s="106" t="s">
        <v>55</v>
      </c>
      <c r="B75" s="129">
        <v>45019</v>
      </c>
      <c r="C75" s="25" t="s">
        <v>587</v>
      </c>
      <c r="D75" s="25" t="s">
        <v>1122</v>
      </c>
      <c r="E75" s="161">
        <v>129</v>
      </c>
      <c r="F75" s="134">
        <v>172.08</v>
      </c>
      <c r="G75" s="50">
        <f t="shared" si="6"/>
        <v>22198.320000000003</v>
      </c>
      <c r="H75" s="107">
        <v>45019</v>
      </c>
      <c r="I75" s="141">
        <f>6*4</f>
        <v>24</v>
      </c>
      <c r="J75" s="104">
        <v>172.08</v>
      </c>
      <c r="K75" s="108">
        <f>+I75*J75</f>
        <v>4129.92</v>
      </c>
      <c r="L75" s="103">
        <v>130</v>
      </c>
      <c r="M75" s="151">
        <f>+E75+I75-L75</f>
        <v>23</v>
      </c>
      <c r="N75" s="103"/>
      <c r="O75" s="103" t="s">
        <v>945</v>
      </c>
      <c r="P75" s="137">
        <f t="shared" si="3"/>
        <v>3957.84</v>
      </c>
    </row>
    <row r="76" spans="1:16" s="92" customFormat="1" x14ac:dyDescent="0.3">
      <c r="A76" s="106" t="s">
        <v>56</v>
      </c>
      <c r="B76" s="106" t="s">
        <v>106</v>
      </c>
      <c r="C76" s="25" t="s">
        <v>774</v>
      </c>
      <c r="D76" s="25" t="s">
        <v>1122</v>
      </c>
      <c r="E76" s="161">
        <v>67</v>
      </c>
      <c r="F76" s="171">
        <v>50</v>
      </c>
      <c r="G76" s="50">
        <f t="shared" si="6"/>
        <v>3350</v>
      </c>
      <c r="H76" s="103"/>
      <c r="I76" s="141"/>
      <c r="J76" s="104"/>
      <c r="K76" s="103"/>
      <c r="L76" s="103">
        <f>2+4+1+2+1+2+1+1+1</f>
        <v>15</v>
      </c>
      <c r="M76" s="141">
        <f t="shared" ref="M76:M82" si="8">+E76+I76-L76</f>
        <v>52</v>
      </c>
      <c r="N76" s="103"/>
      <c r="O76" s="103" t="s">
        <v>945</v>
      </c>
      <c r="P76" s="137">
        <f t="shared" si="3"/>
        <v>2600</v>
      </c>
    </row>
    <row r="77" spans="1:16" s="92" customFormat="1" x14ac:dyDescent="0.3">
      <c r="A77" s="106" t="s">
        <v>100</v>
      </c>
      <c r="B77" s="102">
        <v>44488</v>
      </c>
      <c r="C77" s="25" t="s">
        <v>589</v>
      </c>
      <c r="D77" s="25" t="s">
        <v>1122</v>
      </c>
      <c r="E77" s="161">
        <v>3</v>
      </c>
      <c r="F77" s="134">
        <v>2200</v>
      </c>
      <c r="G77" s="50">
        <f t="shared" si="6"/>
        <v>6600</v>
      </c>
      <c r="H77" s="103"/>
      <c r="I77" s="141"/>
      <c r="J77" s="104"/>
      <c r="K77" s="103"/>
      <c r="L77" s="103"/>
      <c r="M77" s="141">
        <f t="shared" si="8"/>
        <v>3</v>
      </c>
      <c r="N77" s="103"/>
      <c r="O77" s="103" t="s">
        <v>945</v>
      </c>
      <c r="P77" s="137">
        <f t="shared" si="3"/>
        <v>6600</v>
      </c>
    </row>
    <row r="78" spans="1:16" s="8" customFormat="1" ht="15.75" x14ac:dyDescent="0.25">
      <c r="A78" s="106" t="s">
        <v>57</v>
      </c>
      <c r="B78" s="102">
        <v>44193</v>
      </c>
      <c r="C78" s="9" t="s">
        <v>590</v>
      </c>
      <c r="D78" s="25" t="s">
        <v>1122</v>
      </c>
      <c r="E78" s="161">
        <v>0</v>
      </c>
      <c r="F78" s="134">
        <v>402.54</v>
      </c>
      <c r="G78" s="50">
        <f t="shared" si="6"/>
        <v>0</v>
      </c>
      <c r="H78" s="103"/>
      <c r="I78" s="141"/>
      <c r="J78" s="104"/>
      <c r="K78" s="103"/>
      <c r="L78" s="103"/>
      <c r="M78" s="141">
        <f t="shared" si="8"/>
        <v>0</v>
      </c>
      <c r="N78" s="103"/>
      <c r="O78" s="103" t="s">
        <v>946</v>
      </c>
      <c r="P78" s="137">
        <f t="shared" si="3"/>
        <v>0</v>
      </c>
    </row>
    <row r="79" spans="1:16" s="8" customFormat="1" ht="15.75" x14ac:dyDescent="0.25">
      <c r="A79" s="106" t="s">
        <v>139</v>
      </c>
      <c r="B79" s="102">
        <v>44193</v>
      </c>
      <c r="C79" s="9" t="s">
        <v>591</v>
      </c>
      <c r="D79" s="25" t="s">
        <v>1122</v>
      </c>
      <c r="E79" s="161">
        <v>11</v>
      </c>
      <c r="F79" s="134">
        <v>37.74</v>
      </c>
      <c r="G79" s="50">
        <f t="shared" si="6"/>
        <v>415.14000000000004</v>
      </c>
      <c r="H79" s="103"/>
      <c r="I79" s="141"/>
      <c r="J79" s="104"/>
      <c r="K79" s="103"/>
      <c r="L79" s="103"/>
      <c r="M79" s="141">
        <f t="shared" si="8"/>
        <v>11</v>
      </c>
      <c r="N79" s="103"/>
      <c r="O79" s="103" t="s">
        <v>946</v>
      </c>
      <c r="P79" s="137">
        <f t="shared" si="3"/>
        <v>415.14000000000004</v>
      </c>
    </row>
    <row r="80" spans="1:16" s="105" customFormat="1" ht="15.75" x14ac:dyDescent="0.25">
      <c r="A80" s="106" t="s">
        <v>140</v>
      </c>
      <c r="B80" s="129">
        <v>45042</v>
      </c>
      <c r="C80" s="9" t="s">
        <v>592</v>
      </c>
      <c r="D80" s="25" t="s">
        <v>1122</v>
      </c>
      <c r="E80" s="161">
        <v>10</v>
      </c>
      <c r="F80" s="134">
        <v>68.06</v>
      </c>
      <c r="G80" s="50">
        <f t="shared" si="6"/>
        <v>680.6</v>
      </c>
      <c r="H80" s="107">
        <v>45042</v>
      </c>
      <c r="I80" s="141">
        <v>10</v>
      </c>
      <c r="J80" s="104">
        <v>68.06</v>
      </c>
      <c r="K80" s="103">
        <f>+J80*I80</f>
        <v>680.6</v>
      </c>
      <c r="L80" s="103">
        <v>4</v>
      </c>
      <c r="M80" s="151">
        <f t="shared" si="8"/>
        <v>16</v>
      </c>
      <c r="N80" s="103" t="s">
        <v>1037</v>
      </c>
      <c r="O80" s="103" t="s">
        <v>947</v>
      </c>
      <c r="P80" s="137">
        <f>+F80*M80</f>
        <v>1088.96</v>
      </c>
    </row>
    <row r="81" spans="1:16" s="8" customFormat="1" ht="15.75" x14ac:dyDescent="0.25">
      <c r="A81" s="106" t="s">
        <v>141</v>
      </c>
      <c r="B81" s="102">
        <v>44193</v>
      </c>
      <c r="C81" s="9" t="s">
        <v>593</v>
      </c>
      <c r="D81" s="25" t="s">
        <v>1122</v>
      </c>
      <c r="E81" s="161">
        <v>6</v>
      </c>
      <c r="F81" s="134">
        <v>4740</v>
      </c>
      <c r="G81" s="50">
        <f t="shared" si="6"/>
        <v>28440</v>
      </c>
      <c r="H81" s="103"/>
      <c r="I81" s="141"/>
      <c r="J81" s="104"/>
      <c r="K81" s="103"/>
      <c r="L81" s="103"/>
      <c r="M81" s="141">
        <f t="shared" si="8"/>
        <v>6</v>
      </c>
      <c r="N81" s="103"/>
      <c r="O81" s="103" t="s">
        <v>947</v>
      </c>
      <c r="P81" s="137">
        <f t="shared" si="3"/>
        <v>28440</v>
      </c>
    </row>
    <row r="82" spans="1:16" s="8" customFormat="1" ht="15.75" x14ac:dyDescent="0.25">
      <c r="A82" s="106" t="s">
        <v>58</v>
      </c>
      <c r="B82" s="102">
        <v>44193</v>
      </c>
      <c r="C82" s="9" t="s">
        <v>594</v>
      </c>
      <c r="D82" s="25" t="s">
        <v>1122</v>
      </c>
      <c r="E82" s="161">
        <v>1</v>
      </c>
      <c r="F82" s="134">
        <v>2535</v>
      </c>
      <c r="G82" s="50">
        <f t="shared" si="6"/>
        <v>2535</v>
      </c>
      <c r="H82" s="103"/>
      <c r="I82" s="141"/>
      <c r="J82" s="104"/>
      <c r="K82" s="103"/>
      <c r="L82" s="103">
        <v>1</v>
      </c>
      <c r="M82" s="141">
        <f t="shared" si="8"/>
        <v>0</v>
      </c>
      <c r="N82" s="103"/>
      <c r="O82" s="103" t="s">
        <v>947</v>
      </c>
      <c r="P82" s="137">
        <f t="shared" si="3"/>
        <v>0</v>
      </c>
    </row>
    <row r="83" spans="1:16" s="8" customFormat="1" ht="15.75" x14ac:dyDescent="0.25">
      <c r="A83" s="106" t="s">
        <v>59</v>
      </c>
      <c r="B83" s="102">
        <v>44193</v>
      </c>
      <c r="C83" s="9" t="s">
        <v>595</v>
      </c>
      <c r="D83" s="25" t="s">
        <v>1122</v>
      </c>
      <c r="E83" s="161">
        <v>0</v>
      </c>
      <c r="F83" s="134">
        <v>211.86</v>
      </c>
      <c r="G83" s="50">
        <f t="shared" si="6"/>
        <v>0</v>
      </c>
      <c r="H83" s="103"/>
      <c r="I83" s="141"/>
      <c r="J83" s="104"/>
      <c r="K83" s="103"/>
      <c r="L83" s="103"/>
      <c r="M83" s="141">
        <f>+E83+I83-L83</f>
        <v>0</v>
      </c>
      <c r="N83" s="103"/>
      <c r="O83" s="103" t="s">
        <v>947</v>
      </c>
      <c r="P83" s="137">
        <f t="shared" si="3"/>
        <v>0</v>
      </c>
    </row>
    <row r="84" spans="1:16" s="8" customFormat="1" ht="15.75" x14ac:dyDescent="0.25">
      <c r="A84" s="106" t="s">
        <v>60</v>
      </c>
      <c r="B84" s="102">
        <v>44193</v>
      </c>
      <c r="C84" s="9" t="s">
        <v>596</v>
      </c>
      <c r="D84" s="25" t="s">
        <v>1122</v>
      </c>
      <c r="E84" s="161">
        <v>0</v>
      </c>
      <c r="F84" s="134">
        <v>70</v>
      </c>
      <c r="G84" s="50">
        <f t="shared" si="6"/>
        <v>0</v>
      </c>
      <c r="H84" s="103"/>
      <c r="I84" s="141"/>
      <c r="J84" s="104"/>
      <c r="K84" s="103"/>
      <c r="L84" s="103"/>
      <c r="M84" s="141">
        <f t="shared" ref="M84:M96" si="9">+E84+I84-L84</f>
        <v>0</v>
      </c>
      <c r="N84" s="103"/>
      <c r="O84" s="103" t="s">
        <v>947</v>
      </c>
      <c r="P84" s="137">
        <f t="shared" si="3"/>
        <v>0</v>
      </c>
    </row>
    <row r="85" spans="1:16" s="8" customFormat="1" ht="15.75" x14ac:dyDescent="0.25">
      <c r="A85" s="106" t="s">
        <v>61</v>
      </c>
      <c r="B85" s="102">
        <v>44193</v>
      </c>
      <c r="C85" s="25" t="s">
        <v>597</v>
      </c>
      <c r="D85" s="25" t="s">
        <v>1122</v>
      </c>
      <c r="E85" s="161">
        <v>2</v>
      </c>
      <c r="F85" s="134">
        <v>148.31</v>
      </c>
      <c r="G85" s="50">
        <f t="shared" si="6"/>
        <v>296.62</v>
      </c>
      <c r="H85" s="103"/>
      <c r="I85" s="141"/>
      <c r="J85" s="104"/>
      <c r="K85" s="103"/>
      <c r="L85" s="103"/>
      <c r="M85" s="141">
        <f t="shared" si="9"/>
        <v>2</v>
      </c>
      <c r="N85" s="103"/>
      <c r="O85" s="103" t="s">
        <v>947</v>
      </c>
      <c r="P85" s="137">
        <f t="shared" si="3"/>
        <v>296.62</v>
      </c>
    </row>
    <row r="86" spans="1:16" s="8" customFormat="1" ht="15.75" x14ac:dyDescent="0.25">
      <c r="A86" s="106" t="s">
        <v>62</v>
      </c>
      <c r="B86" s="102">
        <v>45042</v>
      </c>
      <c r="C86" s="9" t="s">
        <v>598</v>
      </c>
      <c r="D86" s="25" t="s">
        <v>1122</v>
      </c>
      <c r="E86" s="161">
        <v>24</v>
      </c>
      <c r="F86" s="134">
        <v>200</v>
      </c>
      <c r="G86" s="50">
        <f t="shared" si="6"/>
        <v>4800</v>
      </c>
      <c r="H86" s="103"/>
      <c r="I86" s="141">
        <v>5</v>
      </c>
      <c r="J86" s="108">
        <v>259.60000000000002</v>
      </c>
      <c r="K86" s="108">
        <f>+J86*I86</f>
        <v>1298</v>
      </c>
      <c r="L86" s="103">
        <v>25</v>
      </c>
      <c r="M86" s="151">
        <f t="shared" si="9"/>
        <v>4</v>
      </c>
      <c r="N86" s="103"/>
      <c r="O86" s="103" t="s">
        <v>947</v>
      </c>
      <c r="P86" s="137">
        <f t="shared" si="3"/>
        <v>800</v>
      </c>
    </row>
    <row r="87" spans="1:16" s="105" customFormat="1" ht="15.75" x14ac:dyDescent="0.25">
      <c r="A87" s="106" t="s">
        <v>63</v>
      </c>
      <c r="B87" s="129">
        <v>44852</v>
      </c>
      <c r="C87" s="9" t="s">
        <v>599</v>
      </c>
      <c r="D87" s="25" t="s">
        <v>1122</v>
      </c>
      <c r="E87" s="161">
        <v>0</v>
      </c>
      <c r="F87" s="134">
        <v>65</v>
      </c>
      <c r="G87" s="50">
        <f t="shared" si="6"/>
        <v>0</v>
      </c>
      <c r="H87" s="107">
        <v>44852</v>
      </c>
      <c r="I87" s="141">
        <v>10</v>
      </c>
      <c r="J87" s="104">
        <v>46</v>
      </c>
      <c r="K87" s="108">
        <f>+J87*I87</f>
        <v>460</v>
      </c>
      <c r="L87" s="103">
        <v>10</v>
      </c>
      <c r="M87" s="141">
        <f t="shared" si="9"/>
        <v>0</v>
      </c>
      <c r="N87" s="103" t="s">
        <v>1037</v>
      </c>
      <c r="O87" s="103" t="s">
        <v>947</v>
      </c>
      <c r="P87" s="137">
        <f t="shared" si="3"/>
        <v>0</v>
      </c>
    </row>
    <row r="88" spans="1:16" s="92" customFormat="1" x14ac:dyDescent="0.3">
      <c r="A88" s="106" t="s">
        <v>64</v>
      </c>
      <c r="B88" s="102">
        <v>44193</v>
      </c>
      <c r="C88" s="25" t="s">
        <v>850</v>
      </c>
      <c r="D88" s="25" t="s">
        <v>1122</v>
      </c>
      <c r="E88" s="162">
        <v>1</v>
      </c>
      <c r="F88" s="134"/>
      <c r="G88" s="50"/>
      <c r="H88" s="103"/>
      <c r="I88" s="141"/>
      <c r="J88" s="104"/>
      <c r="K88" s="103"/>
      <c r="L88" s="103"/>
      <c r="M88" s="141">
        <f t="shared" si="9"/>
        <v>1</v>
      </c>
      <c r="N88" s="103"/>
      <c r="O88" s="103" t="s">
        <v>506</v>
      </c>
      <c r="P88" s="137">
        <f t="shared" si="3"/>
        <v>0</v>
      </c>
    </row>
    <row r="89" spans="1:16" s="105" customFormat="1" ht="15.75" x14ac:dyDescent="0.25">
      <c r="A89" s="106" t="s">
        <v>65</v>
      </c>
      <c r="B89" s="129">
        <v>44852</v>
      </c>
      <c r="C89" s="9" t="s">
        <v>851</v>
      </c>
      <c r="D89" s="25" t="s">
        <v>1122</v>
      </c>
      <c r="E89" s="161">
        <v>6</v>
      </c>
      <c r="F89" s="134">
        <v>7.09</v>
      </c>
      <c r="G89" s="50">
        <f>E89*F89</f>
        <v>42.54</v>
      </c>
      <c r="H89" s="107">
        <v>44852</v>
      </c>
      <c r="I89" s="141">
        <f>10*12</f>
        <v>120</v>
      </c>
      <c r="J89" s="104">
        <v>7.09</v>
      </c>
      <c r="K89" s="103">
        <f>+J89*I89</f>
        <v>850.8</v>
      </c>
      <c r="L89" s="103"/>
      <c r="M89" s="141">
        <f t="shared" si="9"/>
        <v>126</v>
      </c>
      <c r="N89" s="103" t="s">
        <v>1037</v>
      </c>
      <c r="O89" s="108" t="s">
        <v>947</v>
      </c>
      <c r="P89" s="137">
        <f t="shared" ref="P89:P152" si="10">+F89*M89</f>
        <v>893.34</v>
      </c>
    </row>
    <row r="90" spans="1:16" s="8" customFormat="1" ht="15.75" x14ac:dyDescent="0.25">
      <c r="A90" s="106" t="s">
        <v>66</v>
      </c>
      <c r="B90" s="102">
        <v>44547</v>
      </c>
      <c r="C90" s="9" t="s">
        <v>775</v>
      </c>
      <c r="D90" s="25" t="s">
        <v>1122</v>
      </c>
      <c r="E90" s="161">
        <v>10</v>
      </c>
      <c r="F90" s="134">
        <v>155</v>
      </c>
      <c r="G90" s="50">
        <f>E90*F90</f>
        <v>1550</v>
      </c>
      <c r="H90" s="103"/>
      <c r="I90" s="141"/>
      <c r="J90" s="104"/>
      <c r="K90" s="103"/>
      <c r="L90" s="103">
        <v>1</v>
      </c>
      <c r="M90" s="141">
        <f t="shared" si="9"/>
        <v>9</v>
      </c>
      <c r="N90" s="103"/>
      <c r="O90" s="103" t="s">
        <v>947</v>
      </c>
      <c r="P90" s="137">
        <f t="shared" si="10"/>
        <v>1395</v>
      </c>
    </row>
    <row r="91" spans="1:16" s="92" customFormat="1" x14ac:dyDescent="0.3">
      <c r="A91" s="106" t="s">
        <v>68</v>
      </c>
      <c r="B91" s="102">
        <v>44453</v>
      </c>
      <c r="C91" s="25" t="s">
        <v>603</v>
      </c>
      <c r="D91" s="25" t="s">
        <v>1122</v>
      </c>
      <c r="E91" s="160">
        <v>4</v>
      </c>
      <c r="F91" s="134">
        <v>7500</v>
      </c>
      <c r="G91" s="50">
        <f>E91*F91</f>
        <v>30000</v>
      </c>
      <c r="H91" s="103"/>
      <c r="I91" s="141"/>
      <c r="J91" s="104"/>
      <c r="K91" s="103"/>
      <c r="L91" s="103"/>
      <c r="M91" s="141">
        <f t="shared" si="9"/>
        <v>4</v>
      </c>
      <c r="N91" s="103"/>
      <c r="O91" s="103" t="s">
        <v>945</v>
      </c>
      <c r="P91" s="137">
        <f t="shared" si="10"/>
        <v>30000</v>
      </c>
    </row>
    <row r="92" spans="1:16" s="92" customFormat="1" x14ac:dyDescent="0.3">
      <c r="A92" s="106" t="s">
        <v>67</v>
      </c>
      <c r="B92" s="102">
        <v>44659</v>
      </c>
      <c r="C92" s="25" t="s">
        <v>776</v>
      </c>
      <c r="D92" s="25" t="s">
        <v>1122</v>
      </c>
      <c r="E92" s="160">
        <v>108</v>
      </c>
      <c r="F92" s="134">
        <v>156.66667000000001</v>
      </c>
      <c r="G92" s="50">
        <f>E92*F92</f>
        <v>16920.000360000002</v>
      </c>
      <c r="H92" s="103"/>
      <c r="I92" s="141"/>
      <c r="J92" s="104"/>
      <c r="K92" s="103"/>
      <c r="L92" s="103">
        <f>44+14+19+1+1</f>
        <v>79</v>
      </c>
      <c r="M92" s="151">
        <f t="shared" si="9"/>
        <v>29</v>
      </c>
      <c r="N92" s="103"/>
      <c r="O92" s="103" t="s">
        <v>945</v>
      </c>
      <c r="P92" s="137">
        <f t="shared" si="10"/>
        <v>4543.3334300000006</v>
      </c>
    </row>
    <row r="93" spans="1:16" s="8" customFormat="1" ht="15.75" x14ac:dyDescent="0.25">
      <c r="A93" s="106" t="s">
        <v>69</v>
      </c>
      <c r="B93" s="102">
        <v>44193</v>
      </c>
      <c r="C93" s="25" t="s">
        <v>844</v>
      </c>
      <c r="D93" s="25" t="s">
        <v>1122</v>
      </c>
      <c r="E93" s="160">
        <v>20</v>
      </c>
      <c r="F93" s="134">
        <v>30.5</v>
      </c>
      <c r="G93" s="50">
        <f>E93*F93</f>
        <v>610</v>
      </c>
      <c r="H93" s="103"/>
      <c r="I93" s="141"/>
      <c r="J93" s="104"/>
      <c r="K93" s="103"/>
      <c r="L93" s="103"/>
      <c r="M93" s="141">
        <f t="shared" si="9"/>
        <v>20</v>
      </c>
      <c r="N93" s="103"/>
      <c r="O93" s="103" t="s">
        <v>946</v>
      </c>
      <c r="P93" s="137">
        <f t="shared" si="10"/>
        <v>610</v>
      </c>
    </row>
    <row r="94" spans="1:16" s="8" customFormat="1" ht="15.75" x14ac:dyDescent="0.25">
      <c r="A94" s="106" t="s">
        <v>103</v>
      </c>
      <c r="B94" s="102">
        <v>44193</v>
      </c>
      <c r="C94" s="25" t="s">
        <v>789</v>
      </c>
      <c r="D94" s="25" t="s">
        <v>1122</v>
      </c>
      <c r="E94" s="160">
        <f>21+8+14</f>
        <v>43</v>
      </c>
      <c r="F94" s="134">
        <v>11.24</v>
      </c>
      <c r="G94" s="50">
        <f t="shared" ref="G94:G132" si="11">E94*F94</f>
        <v>483.32</v>
      </c>
      <c r="H94" s="103"/>
      <c r="I94" s="141"/>
      <c r="J94" s="104"/>
      <c r="K94" s="103"/>
      <c r="L94" s="103">
        <v>3</v>
      </c>
      <c r="M94" s="141">
        <f t="shared" si="9"/>
        <v>40</v>
      </c>
      <c r="N94" s="103"/>
      <c r="O94" s="103" t="s">
        <v>946</v>
      </c>
      <c r="P94" s="137">
        <f t="shared" si="10"/>
        <v>449.6</v>
      </c>
    </row>
    <row r="95" spans="1:16" s="8" customFormat="1" ht="15.75" x14ac:dyDescent="0.25">
      <c r="A95" s="106" t="s">
        <v>104</v>
      </c>
      <c r="B95" s="102">
        <v>44193</v>
      </c>
      <c r="C95" s="25" t="s">
        <v>788</v>
      </c>
      <c r="D95" s="25" t="s">
        <v>1122</v>
      </c>
      <c r="E95" s="160">
        <f>16+6+7+2</f>
        <v>31</v>
      </c>
      <c r="F95" s="134">
        <v>11.24</v>
      </c>
      <c r="G95" s="50">
        <f t="shared" si="11"/>
        <v>348.44</v>
      </c>
      <c r="H95" s="103"/>
      <c r="I95" s="141"/>
      <c r="J95" s="104"/>
      <c r="K95" s="103"/>
      <c r="L95" s="103"/>
      <c r="M95" s="141">
        <f t="shared" si="9"/>
        <v>31</v>
      </c>
      <c r="N95" s="103"/>
      <c r="O95" s="103" t="s">
        <v>946</v>
      </c>
      <c r="P95" s="137">
        <f t="shared" si="10"/>
        <v>348.44</v>
      </c>
    </row>
    <row r="96" spans="1:16" s="8" customFormat="1" ht="15.75" x14ac:dyDescent="0.25">
      <c r="A96" s="106" t="s">
        <v>142</v>
      </c>
      <c r="B96" s="102">
        <v>44193</v>
      </c>
      <c r="C96" s="25" t="s">
        <v>604</v>
      </c>
      <c r="D96" s="25" t="s">
        <v>1122</v>
      </c>
      <c r="E96" s="160">
        <v>28</v>
      </c>
      <c r="F96" s="134">
        <v>45</v>
      </c>
      <c r="G96" s="50">
        <f t="shared" si="11"/>
        <v>1260</v>
      </c>
      <c r="H96" s="103"/>
      <c r="I96" s="141"/>
      <c r="J96" s="104"/>
      <c r="K96" s="103"/>
      <c r="L96" s="103"/>
      <c r="M96" s="141">
        <f t="shared" si="9"/>
        <v>28</v>
      </c>
      <c r="N96" s="103"/>
      <c r="O96" s="103" t="s">
        <v>946</v>
      </c>
      <c r="P96" s="137">
        <f t="shared" si="10"/>
        <v>1260</v>
      </c>
    </row>
    <row r="97" spans="1:16" s="8" customFormat="1" ht="15.75" x14ac:dyDescent="0.25">
      <c r="A97" s="106" t="s">
        <v>70</v>
      </c>
      <c r="B97" s="102">
        <v>44193</v>
      </c>
      <c r="C97" s="25" t="s">
        <v>605</v>
      </c>
      <c r="D97" s="25" t="s">
        <v>1122</v>
      </c>
      <c r="E97" s="160">
        <v>4</v>
      </c>
      <c r="F97" s="134">
        <v>40</v>
      </c>
      <c r="G97" s="50">
        <f t="shared" si="11"/>
        <v>160</v>
      </c>
      <c r="H97" s="103"/>
      <c r="I97" s="141"/>
      <c r="J97" s="104"/>
      <c r="K97" s="103"/>
      <c r="L97" s="103"/>
      <c r="M97" s="141">
        <f>+E97+I97-L97</f>
        <v>4</v>
      </c>
      <c r="N97" s="103"/>
      <c r="O97" s="103" t="s">
        <v>946</v>
      </c>
      <c r="P97" s="137">
        <f t="shared" si="10"/>
        <v>160</v>
      </c>
    </row>
    <row r="98" spans="1:16" s="8" customFormat="1" ht="15.75" x14ac:dyDescent="0.25">
      <c r="A98" s="106" t="s">
        <v>71</v>
      </c>
      <c r="B98" s="102">
        <v>44193</v>
      </c>
      <c r="C98" s="25" t="s">
        <v>606</v>
      </c>
      <c r="D98" s="25" t="s">
        <v>1122</v>
      </c>
      <c r="E98" s="160">
        <v>39</v>
      </c>
      <c r="F98" s="134">
        <v>45</v>
      </c>
      <c r="G98" s="50">
        <f t="shared" si="11"/>
        <v>1755</v>
      </c>
      <c r="H98" s="103"/>
      <c r="I98" s="141"/>
      <c r="J98" s="104"/>
      <c r="K98" s="103"/>
      <c r="L98" s="103"/>
      <c r="M98" s="141">
        <f t="shared" ref="M98:M109" si="12">+E98+I98-L98</f>
        <v>39</v>
      </c>
      <c r="N98" s="103"/>
      <c r="O98" s="103" t="s">
        <v>946</v>
      </c>
      <c r="P98" s="137">
        <f t="shared" si="10"/>
        <v>1755</v>
      </c>
    </row>
    <row r="99" spans="1:16" s="8" customFormat="1" ht="15.75" x14ac:dyDescent="0.25">
      <c r="A99" s="106" t="s">
        <v>72</v>
      </c>
      <c r="B99" s="102">
        <v>44193</v>
      </c>
      <c r="C99" s="25" t="s">
        <v>846</v>
      </c>
      <c r="D99" s="25" t="s">
        <v>1122</v>
      </c>
      <c r="E99" s="160">
        <v>1</v>
      </c>
      <c r="F99" s="134">
        <v>47</v>
      </c>
      <c r="G99" s="50">
        <f t="shared" si="11"/>
        <v>47</v>
      </c>
      <c r="H99" s="103"/>
      <c r="I99" s="141"/>
      <c r="J99" s="104"/>
      <c r="K99" s="103"/>
      <c r="L99" s="103"/>
      <c r="M99" s="141">
        <f t="shared" si="12"/>
        <v>1</v>
      </c>
      <c r="N99" s="103"/>
      <c r="O99" s="103" t="s">
        <v>946</v>
      </c>
      <c r="P99" s="137">
        <f t="shared" si="10"/>
        <v>47</v>
      </c>
    </row>
    <row r="100" spans="1:16" s="8" customFormat="1" ht="15.75" x14ac:dyDescent="0.25">
      <c r="A100" s="106" t="s">
        <v>73</v>
      </c>
      <c r="B100" s="102">
        <v>44193</v>
      </c>
      <c r="C100" s="25" t="s">
        <v>607</v>
      </c>
      <c r="D100" s="25" t="s">
        <v>1122</v>
      </c>
      <c r="E100" s="160">
        <v>1</v>
      </c>
      <c r="F100" s="134">
        <v>40</v>
      </c>
      <c r="G100" s="50">
        <f t="shared" si="11"/>
        <v>40</v>
      </c>
      <c r="H100" s="103"/>
      <c r="I100" s="141"/>
      <c r="J100" s="104"/>
      <c r="K100" s="103"/>
      <c r="L100" s="103"/>
      <c r="M100" s="141">
        <f t="shared" si="12"/>
        <v>1</v>
      </c>
      <c r="N100" s="103"/>
      <c r="O100" s="103" t="s">
        <v>946</v>
      </c>
      <c r="P100" s="137">
        <f t="shared" si="10"/>
        <v>40</v>
      </c>
    </row>
    <row r="101" spans="1:16" s="8" customFormat="1" ht="15.75" x14ac:dyDescent="0.25">
      <c r="A101" s="106" t="s">
        <v>74</v>
      </c>
      <c r="B101" s="102">
        <v>44193</v>
      </c>
      <c r="C101" s="25" t="s">
        <v>608</v>
      </c>
      <c r="D101" s="25" t="s">
        <v>1122</v>
      </c>
      <c r="E101" s="165">
        <v>2</v>
      </c>
      <c r="F101" s="134">
        <v>12.21</v>
      </c>
      <c r="G101" s="50">
        <f t="shared" si="11"/>
        <v>24.42</v>
      </c>
      <c r="H101" s="103"/>
      <c r="I101" s="141"/>
      <c r="J101" s="104"/>
      <c r="K101" s="103"/>
      <c r="L101" s="103"/>
      <c r="M101" s="141">
        <f t="shared" si="12"/>
        <v>2</v>
      </c>
      <c r="N101" s="103"/>
      <c r="O101" s="103" t="s">
        <v>946</v>
      </c>
      <c r="P101" s="137">
        <f t="shared" si="10"/>
        <v>24.42</v>
      </c>
    </row>
    <row r="102" spans="1:16" s="8" customFormat="1" ht="15.75" x14ac:dyDescent="0.25">
      <c r="A102" s="106" t="s">
        <v>101</v>
      </c>
      <c r="B102" s="102">
        <v>44193</v>
      </c>
      <c r="C102" s="25" t="s">
        <v>609</v>
      </c>
      <c r="D102" s="25" t="s">
        <v>1122</v>
      </c>
      <c r="E102" s="165">
        <v>0</v>
      </c>
      <c r="F102" s="134">
        <v>4</v>
      </c>
      <c r="G102" s="50">
        <f t="shared" si="11"/>
        <v>0</v>
      </c>
      <c r="H102" s="103"/>
      <c r="I102" s="141"/>
      <c r="J102" s="104"/>
      <c r="K102" s="103"/>
      <c r="L102" s="103"/>
      <c r="M102" s="141">
        <f t="shared" si="12"/>
        <v>0</v>
      </c>
      <c r="N102" s="103"/>
      <c r="O102" s="103" t="s">
        <v>946</v>
      </c>
      <c r="P102" s="137">
        <f t="shared" si="10"/>
        <v>0</v>
      </c>
    </row>
    <row r="103" spans="1:16" s="8" customFormat="1" ht="15.75" x14ac:dyDescent="0.25">
      <c r="A103" s="106" t="s">
        <v>75</v>
      </c>
      <c r="B103" s="102">
        <v>44193</v>
      </c>
      <c r="C103" s="25" t="s">
        <v>610</v>
      </c>
      <c r="D103" s="25" t="s">
        <v>1122</v>
      </c>
      <c r="E103" s="165">
        <f>13+7+29</f>
        <v>49</v>
      </c>
      <c r="F103" s="134">
        <v>5.05</v>
      </c>
      <c r="G103" s="50">
        <f t="shared" si="11"/>
        <v>247.45</v>
      </c>
      <c r="H103" s="103"/>
      <c r="I103" s="141"/>
      <c r="J103" s="104"/>
      <c r="K103" s="103"/>
      <c r="L103" s="103"/>
      <c r="M103" s="141">
        <f t="shared" si="12"/>
        <v>49</v>
      </c>
      <c r="N103" s="103"/>
      <c r="O103" s="103" t="s">
        <v>946</v>
      </c>
      <c r="P103" s="137">
        <f t="shared" si="10"/>
        <v>247.45</v>
      </c>
    </row>
    <row r="104" spans="1:16" s="8" customFormat="1" ht="15.75" x14ac:dyDescent="0.25">
      <c r="A104" s="106" t="s">
        <v>102</v>
      </c>
      <c r="B104" s="102">
        <v>44193</v>
      </c>
      <c r="C104" s="25" t="s">
        <v>611</v>
      </c>
      <c r="D104" s="25" t="s">
        <v>1122</v>
      </c>
      <c r="E104" s="165">
        <v>0</v>
      </c>
      <c r="F104" s="134">
        <v>42.95</v>
      </c>
      <c r="G104" s="50">
        <f t="shared" si="11"/>
        <v>0</v>
      </c>
      <c r="H104" s="103"/>
      <c r="I104" s="141"/>
      <c r="J104" s="104"/>
      <c r="K104" s="103"/>
      <c r="L104" s="103"/>
      <c r="M104" s="141">
        <f t="shared" si="12"/>
        <v>0</v>
      </c>
      <c r="N104" s="103"/>
      <c r="O104" s="103" t="s">
        <v>946</v>
      </c>
      <c r="P104" s="137">
        <f t="shared" si="10"/>
        <v>0</v>
      </c>
    </row>
    <row r="105" spans="1:16" s="8" customFormat="1" ht="15.75" x14ac:dyDescent="0.25">
      <c r="A105" s="106" t="s">
        <v>143</v>
      </c>
      <c r="B105" s="102">
        <v>44193</v>
      </c>
      <c r="C105" s="25" t="s">
        <v>612</v>
      </c>
      <c r="D105" s="25" t="s">
        <v>1122</v>
      </c>
      <c r="E105" s="161">
        <v>11</v>
      </c>
      <c r="F105" s="134">
        <v>19.95</v>
      </c>
      <c r="G105" s="50">
        <f t="shared" si="11"/>
        <v>219.45</v>
      </c>
      <c r="H105" s="103"/>
      <c r="I105" s="141"/>
      <c r="J105" s="104"/>
      <c r="K105" s="103"/>
      <c r="L105" s="103"/>
      <c r="M105" s="141">
        <f t="shared" si="12"/>
        <v>11</v>
      </c>
      <c r="N105" s="103"/>
      <c r="O105" s="103" t="s">
        <v>946</v>
      </c>
      <c r="P105" s="137">
        <f t="shared" si="10"/>
        <v>219.45</v>
      </c>
    </row>
    <row r="106" spans="1:16" s="8" customFormat="1" ht="15.75" x14ac:dyDescent="0.25">
      <c r="A106" s="106" t="s">
        <v>334</v>
      </c>
      <c r="B106" s="102">
        <v>44193</v>
      </c>
      <c r="C106" s="25" t="s">
        <v>613</v>
      </c>
      <c r="D106" s="25" t="s">
        <v>1122</v>
      </c>
      <c r="E106" s="161">
        <f>6+7</f>
        <v>13</v>
      </c>
      <c r="F106" s="134">
        <v>5.78</v>
      </c>
      <c r="G106" s="50">
        <f t="shared" si="11"/>
        <v>75.14</v>
      </c>
      <c r="H106" s="103"/>
      <c r="I106" s="141"/>
      <c r="J106" s="104"/>
      <c r="K106" s="103"/>
      <c r="L106" s="103"/>
      <c r="M106" s="141">
        <f t="shared" si="12"/>
        <v>13</v>
      </c>
      <c r="N106" s="103"/>
      <c r="O106" s="103" t="s">
        <v>946</v>
      </c>
      <c r="P106" s="137">
        <f t="shared" si="10"/>
        <v>75.14</v>
      </c>
    </row>
    <row r="107" spans="1:16" s="8" customFormat="1" ht="15.75" x14ac:dyDescent="0.25">
      <c r="A107" s="106" t="s">
        <v>335</v>
      </c>
      <c r="B107" s="102">
        <v>44193</v>
      </c>
      <c r="C107" s="25" t="s">
        <v>849</v>
      </c>
      <c r="D107" s="25" t="s">
        <v>1122</v>
      </c>
      <c r="E107" s="161">
        <v>1</v>
      </c>
      <c r="F107" s="134"/>
      <c r="G107" s="50">
        <f t="shared" si="11"/>
        <v>0</v>
      </c>
      <c r="H107" s="103"/>
      <c r="I107" s="141"/>
      <c r="J107" s="104"/>
      <c r="K107" s="103"/>
      <c r="L107" s="103"/>
      <c r="M107" s="141">
        <f t="shared" si="12"/>
        <v>1</v>
      </c>
      <c r="N107" s="103"/>
      <c r="O107" s="103" t="s">
        <v>946</v>
      </c>
      <c r="P107" s="137">
        <f t="shared" si="10"/>
        <v>0</v>
      </c>
    </row>
    <row r="108" spans="1:16" s="8" customFormat="1" ht="15.75" x14ac:dyDescent="0.25">
      <c r="A108" s="106" t="s">
        <v>336</v>
      </c>
      <c r="B108" s="102">
        <v>44193</v>
      </c>
      <c r="C108" s="25" t="s">
        <v>821</v>
      </c>
      <c r="D108" s="25" t="s">
        <v>1122</v>
      </c>
      <c r="E108" s="161">
        <v>9</v>
      </c>
      <c r="F108" s="134">
        <v>77.540000000000006</v>
      </c>
      <c r="G108" s="50">
        <f t="shared" si="11"/>
        <v>697.86</v>
      </c>
      <c r="H108" s="103"/>
      <c r="I108" s="141"/>
      <c r="J108" s="104"/>
      <c r="K108" s="103"/>
      <c r="L108" s="103"/>
      <c r="M108" s="141">
        <f t="shared" si="12"/>
        <v>9</v>
      </c>
      <c r="N108" s="103"/>
      <c r="O108" s="103" t="s">
        <v>946</v>
      </c>
      <c r="P108" s="137">
        <f t="shared" si="10"/>
        <v>697.86</v>
      </c>
    </row>
    <row r="109" spans="1:16" s="8" customFormat="1" ht="15.75" x14ac:dyDescent="0.25">
      <c r="A109" s="106" t="s">
        <v>337</v>
      </c>
      <c r="B109" s="102">
        <v>44193</v>
      </c>
      <c r="C109" s="25" t="s">
        <v>820</v>
      </c>
      <c r="D109" s="25" t="s">
        <v>1122</v>
      </c>
      <c r="E109" s="161">
        <v>21</v>
      </c>
      <c r="F109" s="134">
        <v>719.2</v>
      </c>
      <c r="G109" s="50">
        <f t="shared" si="11"/>
        <v>15103.2</v>
      </c>
      <c r="H109" s="103"/>
      <c r="I109" s="141"/>
      <c r="J109" s="104"/>
      <c r="K109" s="103"/>
      <c r="L109" s="103"/>
      <c r="M109" s="141">
        <f t="shared" si="12"/>
        <v>21</v>
      </c>
      <c r="N109" s="103"/>
      <c r="O109" s="103" t="s">
        <v>946</v>
      </c>
      <c r="P109" s="137">
        <f t="shared" si="10"/>
        <v>15103.2</v>
      </c>
    </row>
    <row r="110" spans="1:16" s="8" customFormat="1" ht="15.75" x14ac:dyDescent="0.25">
      <c r="A110" s="106" t="s">
        <v>338</v>
      </c>
      <c r="B110" s="102">
        <v>44193</v>
      </c>
      <c r="C110" s="25" t="s">
        <v>823</v>
      </c>
      <c r="D110" s="25" t="s">
        <v>1122</v>
      </c>
      <c r="E110" s="161">
        <v>3</v>
      </c>
      <c r="F110" s="134">
        <v>51</v>
      </c>
      <c r="G110" s="50">
        <f t="shared" si="11"/>
        <v>153</v>
      </c>
      <c r="H110" s="103"/>
      <c r="I110" s="141"/>
      <c r="J110" s="104"/>
      <c r="K110" s="103"/>
      <c r="L110" s="103"/>
      <c r="M110" s="141">
        <f>+E110+I110-L110</f>
        <v>3</v>
      </c>
      <c r="N110" s="103"/>
      <c r="O110" s="103" t="s">
        <v>946</v>
      </c>
      <c r="P110" s="137">
        <f t="shared" si="10"/>
        <v>153</v>
      </c>
    </row>
    <row r="111" spans="1:16" s="8" customFormat="1" ht="15.75" x14ac:dyDescent="0.25">
      <c r="A111" s="106" t="s">
        <v>339</v>
      </c>
      <c r="B111" s="102">
        <v>44193</v>
      </c>
      <c r="C111" s="25" t="s">
        <v>822</v>
      </c>
      <c r="D111" s="25" t="s">
        <v>1122</v>
      </c>
      <c r="E111" s="161">
        <v>12</v>
      </c>
      <c r="F111" s="134">
        <v>66.11</v>
      </c>
      <c r="G111" s="50">
        <f t="shared" si="11"/>
        <v>793.31999999999994</v>
      </c>
      <c r="H111" s="103"/>
      <c r="I111" s="141"/>
      <c r="J111" s="104"/>
      <c r="K111" s="103"/>
      <c r="L111" s="103"/>
      <c r="M111" s="141">
        <f t="shared" ref="M111:M175" si="13">+E111+I111-L111</f>
        <v>12</v>
      </c>
      <c r="N111" s="103"/>
      <c r="O111" s="103" t="s">
        <v>946</v>
      </c>
      <c r="P111" s="137">
        <f t="shared" si="10"/>
        <v>793.31999999999994</v>
      </c>
    </row>
    <row r="112" spans="1:16" s="8" customFormat="1" ht="15.75" x14ac:dyDescent="0.25">
      <c r="A112" s="106" t="s">
        <v>340</v>
      </c>
      <c r="B112" s="102">
        <v>44193</v>
      </c>
      <c r="C112" s="25" t="s">
        <v>802</v>
      </c>
      <c r="D112" s="25" t="s">
        <v>1122</v>
      </c>
      <c r="E112" s="161">
        <v>2</v>
      </c>
      <c r="F112" s="134">
        <v>70</v>
      </c>
      <c r="G112" s="50">
        <f t="shared" si="11"/>
        <v>140</v>
      </c>
      <c r="H112" s="103"/>
      <c r="I112" s="141"/>
      <c r="J112" s="104"/>
      <c r="K112" s="103"/>
      <c r="L112" s="103"/>
      <c r="M112" s="141">
        <f t="shared" si="13"/>
        <v>2</v>
      </c>
      <c r="N112" s="103"/>
      <c r="O112" s="103" t="s">
        <v>946</v>
      </c>
      <c r="P112" s="137">
        <f t="shared" si="10"/>
        <v>140</v>
      </c>
    </row>
    <row r="113" spans="1:16" s="8" customFormat="1" ht="15.75" x14ac:dyDescent="0.25">
      <c r="A113" s="106" t="s">
        <v>341</v>
      </c>
      <c r="B113" s="102">
        <v>44193</v>
      </c>
      <c r="C113" s="25" t="s">
        <v>804</v>
      </c>
      <c r="D113" s="25" t="s">
        <v>1122</v>
      </c>
      <c r="E113" s="161">
        <v>6</v>
      </c>
      <c r="F113" s="134">
        <v>450</v>
      </c>
      <c r="G113" s="50">
        <f t="shared" si="11"/>
        <v>2700</v>
      </c>
      <c r="H113" s="103"/>
      <c r="I113" s="141"/>
      <c r="J113" s="104"/>
      <c r="K113" s="103"/>
      <c r="L113" s="103">
        <v>1</v>
      </c>
      <c r="M113" s="141">
        <f t="shared" si="13"/>
        <v>5</v>
      </c>
      <c r="N113" s="103"/>
      <c r="O113" s="103" t="s">
        <v>946</v>
      </c>
      <c r="P113" s="137">
        <f t="shared" si="10"/>
        <v>2250</v>
      </c>
    </row>
    <row r="114" spans="1:16" s="8" customFormat="1" ht="15.75" x14ac:dyDescent="0.25">
      <c r="A114" s="106" t="s">
        <v>342</v>
      </c>
      <c r="B114" s="102">
        <v>44193</v>
      </c>
      <c r="C114" s="25" t="s">
        <v>801</v>
      </c>
      <c r="D114" s="25" t="s">
        <v>1122</v>
      </c>
      <c r="E114" s="161">
        <v>2</v>
      </c>
      <c r="F114" s="134">
        <v>719.2</v>
      </c>
      <c r="G114" s="50">
        <f t="shared" si="11"/>
        <v>1438.4</v>
      </c>
      <c r="H114" s="103"/>
      <c r="I114" s="141"/>
      <c r="J114" s="104"/>
      <c r="K114" s="103"/>
      <c r="L114" s="103">
        <v>2</v>
      </c>
      <c r="M114" s="141">
        <f t="shared" si="13"/>
        <v>0</v>
      </c>
      <c r="N114" s="103"/>
      <c r="O114" s="103" t="s">
        <v>946</v>
      </c>
      <c r="P114" s="137">
        <f t="shared" si="10"/>
        <v>0</v>
      </c>
    </row>
    <row r="115" spans="1:16" s="8" customFormat="1" ht="15.75" x14ac:dyDescent="0.25">
      <c r="A115" s="106" t="s">
        <v>343</v>
      </c>
      <c r="B115" s="102">
        <v>44193</v>
      </c>
      <c r="C115" s="25" t="s">
        <v>616</v>
      </c>
      <c r="D115" s="25" t="s">
        <v>1122</v>
      </c>
      <c r="E115" s="165">
        <v>0</v>
      </c>
      <c r="F115" s="134">
        <v>2950</v>
      </c>
      <c r="G115" s="50">
        <f t="shared" si="11"/>
        <v>0</v>
      </c>
      <c r="H115" s="103"/>
      <c r="I115" s="141"/>
      <c r="J115" s="104"/>
      <c r="K115" s="103"/>
      <c r="L115" s="103"/>
      <c r="M115" s="141">
        <f t="shared" si="13"/>
        <v>0</v>
      </c>
      <c r="N115" s="103"/>
      <c r="O115" s="103" t="s">
        <v>946</v>
      </c>
      <c r="P115" s="137">
        <f t="shared" si="10"/>
        <v>0</v>
      </c>
    </row>
    <row r="116" spans="1:16" s="8" customFormat="1" ht="15.75" x14ac:dyDescent="0.25">
      <c r="A116" s="106" t="s">
        <v>344</v>
      </c>
      <c r="B116" s="102">
        <v>44193</v>
      </c>
      <c r="C116" s="25" t="s">
        <v>617</v>
      </c>
      <c r="D116" s="25" t="s">
        <v>1122</v>
      </c>
      <c r="E116" s="165">
        <v>5</v>
      </c>
      <c r="F116" s="134">
        <v>29</v>
      </c>
      <c r="G116" s="50">
        <f t="shared" si="11"/>
        <v>145</v>
      </c>
      <c r="H116" s="103"/>
      <c r="I116" s="141"/>
      <c r="J116" s="104"/>
      <c r="K116" s="103"/>
      <c r="L116" s="103">
        <v>4</v>
      </c>
      <c r="M116" s="141">
        <f t="shared" si="13"/>
        <v>1</v>
      </c>
      <c r="N116" s="103"/>
      <c r="O116" s="103" t="s">
        <v>946</v>
      </c>
      <c r="P116" s="137">
        <f t="shared" si="10"/>
        <v>29</v>
      </c>
    </row>
    <row r="117" spans="1:16" s="8" customFormat="1" ht="15.75" x14ac:dyDescent="0.25">
      <c r="A117" s="106" t="s">
        <v>345</v>
      </c>
      <c r="B117" s="102">
        <v>45042</v>
      </c>
      <c r="C117" s="9" t="s">
        <v>618</v>
      </c>
      <c r="D117" s="25" t="s">
        <v>1122</v>
      </c>
      <c r="E117" s="161">
        <f>12*4</f>
        <v>48</v>
      </c>
      <c r="F117" s="171">
        <v>22</v>
      </c>
      <c r="G117" s="50">
        <f t="shared" si="11"/>
        <v>1056</v>
      </c>
      <c r="H117" s="103"/>
      <c r="I117" s="141"/>
      <c r="J117" s="104"/>
      <c r="K117" s="103"/>
      <c r="L117" s="103">
        <v>1</v>
      </c>
      <c r="M117" s="151">
        <f t="shared" si="13"/>
        <v>47</v>
      </c>
      <c r="N117" s="103"/>
      <c r="O117" s="103" t="s">
        <v>947</v>
      </c>
      <c r="P117" s="137">
        <f t="shared" si="10"/>
        <v>1034</v>
      </c>
    </row>
    <row r="118" spans="1:16" s="92" customFormat="1" x14ac:dyDescent="0.3">
      <c r="A118" s="106" t="s">
        <v>346</v>
      </c>
      <c r="B118" s="102">
        <v>44193</v>
      </c>
      <c r="C118" s="25" t="s">
        <v>619</v>
      </c>
      <c r="D118" s="25" t="s">
        <v>1122</v>
      </c>
      <c r="E118" s="165">
        <v>12</v>
      </c>
      <c r="F118" s="134">
        <v>155</v>
      </c>
      <c r="G118" s="50">
        <f t="shared" si="11"/>
        <v>1860</v>
      </c>
      <c r="H118" s="103"/>
      <c r="I118" s="141"/>
      <c r="J118" s="104"/>
      <c r="K118" s="103"/>
      <c r="L118" s="103">
        <f>2+1+1+1+1+1+1+1+3</f>
        <v>12</v>
      </c>
      <c r="M118" s="141">
        <f t="shared" si="13"/>
        <v>0</v>
      </c>
      <c r="N118" s="103"/>
      <c r="O118" s="103" t="s">
        <v>945</v>
      </c>
      <c r="P118" s="137">
        <f t="shared" si="10"/>
        <v>0</v>
      </c>
    </row>
    <row r="119" spans="1:16" s="92" customFormat="1" x14ac:dyDescent="0.3">
      <c r="A119" s="106" t="s">
        <v>347</v>
      </c>
      <c r="B119" s="102">
        <v>44777</v>
      </c>
      <c r="C119" s="25" t="s">
        <v>620</v>
      </c>
      <c r="D119" s="25" t="s">
        <v>1122</v>
      </c>
      <c r="E119" s="165">
        <v>90</v>
      </c>
      <c r="F119" s="134">
        <v>71.95</v>
      </c>
      <c r="G119" s="50">
        <f t="shared" si="11"/>
        <v>6475.5</v>
      </c>
      <c r="H119" s="103"/>
      <c r="I119" s="141"/>
      <c r="J119" s="104"/>
      <c r="K119" s="103"/>
      <c r="L119" s="103">
        <v>90</v>
      </c>
      <c r="M119" s="141">
        <f t="shared" si="13"/>
        <v>0</v>
      </c>
      <c r="N119" s="103"/>
      <c r="O119" s="103" t="s">
        <v>945</v>
      </c>
      <c r="P119" s="137">
        <f t="shared" si="10"/>
        <v>0</v>
      </c>
    </row>
    <row r="120" spans="1:16" s="8" customFormat="1" ht="15.75" x14ac:dyDescent="0.25">
      <c r="A120" s="106" t="s">
        <v>348</v>
      </c>
      <c r="B120" s="102">
        <v>44193</v>
      </c>
      <c r="C120" s="25" t="s">
        <v>626</v>
      </c>
      <c r="D120" s="25" t="s">
        <v>1122</v>
      </c>
      <c r="E120" s="165">
        <v>0</v>
      </c>
      <c r="F120" s="134">
        <v>190.68</v>
      </c>
      <c r="G120" s="50">
        <f t="shared" si="11"/>
        <v>0</v>
      </c>
      <c r="H120" s="103"/>
      <c r="I120" s="141"/>
      <c r="J120" s="104"/>
      <c r="K120" s="103"/>
      <c r="L120" s="103"/>
      <c r="M120" s="141">
        <f t="shared" si="13"/>
        <v>0</v>
      </c>
      <c r="N120" s="103"/>
      <c r="O120" s="103" t="s">
        <v>946</v>
      </c>
      <c r="P120" s="137">
        <f t="shared" si="10"/>
        <v>0</v>
      </c>
    </row>
    <row r="121" spans="1:16" s="92" customFormat="1" x14ac:dyDescent="0.3">
      <c r="A121" s="106" t="s">
        <v>349</v>
      </c>
      <c r="B121" s="167">
        <v>44851</v>
      </c>
      <c r="C121" s="25" t="s">
        <v>621</v>
      </c>
      <c r="D121" s="25" t="s">
        <v>1122</v>
      </c>
      <c r="E121" s="165">
        <v>1</v>
      </c>
      <c r="F121" s="134">
        <v>1187.08</v>
      </c>
      <c r="G121" s="50">
        <f t="shared" si="11"/>
        <v>1187.08</v>
      </c>
      <c r="H121" s="124">
        <v>44851</v>
      </c>
      <c r="I121" s="141">
        <v>20</v>
      </c>
      <c r="J121" s="126">
        <v>1187.08</v>
      </c>
      <c r="K121" s="127">
        <f>+I121*J121</f>
        <v>23741.599999999999</v>
      </c>
      <c r="L121" s="103">
        <v>12</v>
      </c>
      <c r="M121" s="151">
        <f t="shared" si="13"/>
        <v>9</v>
      </c>
      <c r="N121" s="103"/>
      <c r="O121" s="103" t="s">
        <v>945</v>
      </c>
      <c r="P121" s="137">
        <f t="shared" si="10"/>
        <v>10683.72</v>
      </c>
    </row>
    <row r="122" spans="1:16" s="92" customFormat="1" x14ac:dyDescent="0.3">
      <c r="A122" s="106" t="s">
        <v>350</v>
      </c>
      <c r="B122" s="102">
        <v>44193</v>
      </c>
      <c r="C122" s="25" t="s">
        <v>622</v>
      </c>
      <c r="D122" s="25" t="s">
        <v>1122</v>
      </c>
      <c r="E122" s="165">
        <v>0</v>
      </c>
      <c r="F122" s="134">
        <v>1400</v>
      </c>
      <c r="G122" s="50">
        <f t="shared" si="11"/>
        <v>0</v>
      </c>
      <c r="H122" s="103"/>
      <c r="I122" s="141"/>
      <c r="J122" s="104"/>
      <c r="K122" s="103"/>
      <c r="L122" s="103"/>
      <c r="M122" s="141">
        <f t="shared" si="13"/>
        <v>0</v>
      </c>
      <c r="N122" s="103"/>
      <c r="O122" s="103" t="s">
        <v>945</v>
      </c>
      <c r="P122" s="137">
        <f t="shared" si="10"/>
        <v>0</v>
      </c>
    </row>
    <row r="123" spans="1:16" s="92" customFormat="1" x14ac:dyDescent="0.3">
      <c r="A123" s="106" t="s">
        <v>351</v>
      </c>
      <c r="B123" s="102">
        <v>44456</v>
      </c>
      <c r="C123" s="25" t="s">
        <v>623</v>
      </c>
      <c r="D123" s="25" t="s">
        <v>1122</v>
      </c>
      <c r="E123" s="165">
        <v>13</v>
      </c>
      <c r="F123" s="134">
        <v>1099</v>
      </c>
      <c r="G123" s="50">
        <f t="shared" si="11"/>
        <v>14287</v>
      </c>
      <c r="H123" s="103"/>
      <c r="I123" s="141"/>
      <c r="J123" s="104"/>
      <c r="K123" s="103"/>
      <c r="L123" s="103">
        <v>7</v>
      </c>
      <c r="M123" s="151">
        <f t="shared" si="13"/>
        <v>6</v>
      </c>
      <c r="N123" s="103"/>
      <c r="O123" s="103" t="s">
        <v>945</v>
      </c>
      <c r="P123" s="137">
        <f t="shared" si="10"/>
        <v>6594</v>
      </c>
    </row>
    <row r="124" spans="1:16" s="92" customFormat="1" x14ac:dyDescent="0.3">
      <c r="A124" s="106" t="s">
        <v>352</v>
      </c>
      <c r="B124" s="102">
        <v>44456</v>
      </c>
      <c r="C124" s="25" t="s">
        <v>767</v>
      </c>
      <c r="D124" s="25" t="s">
        <v>1122</v>
      </c>
      <c r="E124" s="165">
        <v>18</v>
      </c>
      <c r="F124" s="134">
        <v>4000</v>
      </c>
      <c r="G124" s="50">
        <f t="shared" si="11"/>
        <v>72000</v>
      </c>
      <c r="H124" s="103"/>
      <c r="I124" s="141"/>
      <c r="J124" s="104"/>
      <c r="K124" s="103"/>
      <c r="L124" s="103">
        <f>4+4+3</f>
        <v>11</v>
      </c>
      <c r="M124" s="141">
        <f t="shared" si="13"/>
        <v>7</v>
      </c>
      <c r="N124" s="103"/>
      <c r="O124" s="103" t="s">
        <v>945</v>
      </c>
      <c r="P124" s="137">
        <f t="shared" si="10"/>
        <v>28000</v>
      </c>
    </row>
    <row r="125" spans="1:16" s="92" customFormat="1" x14ac:dyDescent="0.3">
      <c r="A125" s="106" t="s">
        <v>353</v>
      </c>
      <c r="B125" s="102">
        <v>44193</v>
      </c>
      <c r="C125" s="25" t="s">
        <v>625</v>
      </c>
      <c r="D125" s="25" t="s">
        <v>1122</v>
      </c>
      <c r="E125" s="165">
        <v>5</v>
      </c>
      <c r="F125" s="134">
        <v>1400</v>
      </c>
      <c r="G125" s="50">
        <f t="shared" si="11"/>
        <v>7000</v>
      </c>
      <c r="H125" s="103"/>
      <c r="I125" s="141"/>
      <c r="J125" s="104"/>
      <c r="K125" s="103"/>
      <c r="L125" s="103"/>
      <c r="M125" s="141">
        <f t="shared" si="13"/>
        <v>5</v>
      </c>
      <c r="N125" s="103"/>
      <c r="O125" s="103" t="s">
        <v>945</v>
      </c>
      <c r="P125" s="137">
        <f t="shared" si="10"/>
        <v>7000</v>
      </c>
    </row>
    <row r="126" spans="1:16" s="8" customFormat="1" ht="15.75" x14ac:dyDescent="0.25">
      <c r="A126" s="106" t="s">
        <v>354</v>
      </c>
      <c r="B126" s="106" t="s">
        <v>106</v>
      </c>
      <c r="C126" s="28" t="s">
        <v>627</v>
      </c>
      <c r="D126" s="25" t="s">
        <v>1122</v>
      </c>
      <c r="E126" s="168">
        <v>100</v>
      </c>
      <c r="F126" s="172">
        <v>28</v>
      </c>
      <c r="G126" s="50">
        <f t="shared" si="11"/>
        <v>2800</v>
      </c>
      <c r="H126" s="103"/>
      <c r="I126" s="141"/>
      <c r="J126" s="104"/>
      <c r="K126" s="103"/>
      <c r="L126" s="103"/>
      <c r="M126" s="141">
        <f t="shared" si="13"/>
        <v>100</v>
      </c>
      <c r="N126" s="103"/>
      <c r="O126" s="103" t="s">
        <v>947</v>
      </c>
      <c r="P126" s="137">
        <f t="shared" si="10"/>
        <v>2800</v>
      </c>
    </row>
    <row r="127" spans="1:16" s="8" customFormat="1" ht="15.75" x14ac:dyDescent="0.25">
      <c r="A127" s="106" t="s">
        <v>355</v>
      </c>
      <c r="B127" s="106" t="s">
        <v>114</v>
      </c>
      <c r="C127" s="25" t="s">
        <v>80</v>
      </c>
      <c r="D127" s="25" t="s">
        <v>1122</v>
      </c>
      <c r="E127" s="165">
        <v>0</v>
      </c>
      <c r="F127" s="171">
        <v>85</v>
      </c>
      <c r="G127" s="50">
        <f t="shared" si="11"/>
        <v>0</v>
      </c>
      <c r="H127" s="103"/>
      <c r="I127" s="141"/>
      <c r="J127" s="104"/>
      <c r="K127" s="103"/>
      <c r="L127" s="103"/>
      <c r="M127" s="141">
        <f t="shared" si="13"/>
        <v>0</v>
      </c>
      <c r="N127" s="103"/>
      <c r="O127" s="103" t="s">
        <v>946</v>
      </c>
      <c r="P127" s="137">
        <f t="shared" si="10"/>
        <v>0</v>
      </c>
    </row>
    <row r="128" spans="1:16" s="8" customFormat="1" ht="15.75" x14ac:dyDescent="0.25">
      <c r="A128" s="106" t="s">
        <v>356</v>
      </c>
      <c r="B128" s="102">
        <v>44193</v>
      </c>
      <c r="C128" s="9" t="s">
        <v>628</v>
      </c>
      <c r="D128" s="25" t="s">
        <v>1122</v>
      </c>
      <c r="E128" s="166">
        <v>1</v>
      </c>
      <c r="F128" s="134">
        <v>550</v>
      </c>
      <c r="G128" s="50">
        <f t="shared" si="11"/>
        <v>550</v>
      </c>
      <c r="H128" s="103"/>
      <c r="I128" s="141"/>
      <c r="J128" s="104"/>
      <c r="K128" s="103"/>
      <c r="L128" s="103"/>
      <c r="M128" s="141">
        <f t="shared" si="13"/>
        <v>1</v>
      </c>
      <c r="N128" s="103"/>
      <c r="O128" s="103" t="s">
        <v>946</v>
      </c>
      <c r="P128" s="137">
        <f t="shared" si="10"/>
        <v>550</v>
      </c>
    </row>
    <row r="129" spans="1:16" s="92" customFormat="1" x14ac:dyDescent="0.3">
      <c r="A129" s="106" t="s">
        <v>357</v>
      </c>
      <c r="B129" s="102">
        <v>44193</v>
      </c>
      <c r="C129" s="9" t="s">
        <v>629</v>
      </c>
      <c r="D129" s="25" t="s">
        <v>1122</v>
      </c>
      <c r="E129" s="106">
        <v>0</v>
      </c>
      <c r="F129" s="134">
        <v>60</v>
      </c>
      <c r="G129" s="50">
        <f t="shared" si="11"/>
        <v>0</v>
      </c>
      <c r="H129" s="103"/>
      <c r="I129" s="141"/>
      <c r="J129" s="104"/>
      <c r="K129" s="103"/>
      <c r="L129" s="103"/>
      <c r="M129" s="141">
        <f t="shared" si="13"/>
        <v>0</v>
      </c>
      <c r="N129" s="103"/>
      <c r="O129" s="103" t="s">
        <v>945</v>
      </c>
      <c r="P129" s="137">
        <f t="shared" si="10"/>
        <v>0</v>
      </c>
    </row>
    <row r="130" spans="1:16" s="92" customFormat="1" x14ac:dyDescent="0.3">
      <c r="A130" s="106" t="s">
        <v>358</v>
      </c>
      <c r="B130" s="102">
        <v>45019</v>
      </c>
      <c r="C130" s="25" t="s">
        <v>631</v>
      </c>
      <c r="D130" s="25" t="s">
        <v>1122</v>
      </c>
      <c r="E130" s="165">
        <f>7*12</f>
        <v>84</v>
      </c>
      <c r="F130" s="134">
        <v>115.53</v>
      </c>
      <c r="G130" s="50">
        <f t="shared" si="11"/>
        <v>9704.52</v>
      </c>
      <c r="H130" s="103"/>
      <c r="I130" s="141"/>
      <c r="J130" s="104"/>
      <c r="K130" s="103"/>
      <c r="L130" s="103">
        <f>2+1+2+1+1+1+1+1+1</f>
        <v>11</v>
      </c>
      <c r="M130" s="151">
        <f>+E130+I130-L130</f>
        <v>73</v>
      </c>
      <c r="N130" s="103"/>
      <c r="O130" s="103" t="s">
        <v>945</v>
      </c>
      <c r="P130" s="137">
        <f t="shared" si="10"/>
        <v>8433.69</v>
      </c>
    </row>
    <row r="131" spans="1:16" s="92" customFormat="1" x14ac:dyDescent="0.3">
      <c r="A131" s="106" t="s">
        <v>359</v>
      </c>
      <c r="B131" s="102">
        <v>44656</v>
      </c>
      <c r="C131" s="25" t="s">
        <v>632</v>
      </c>
      <c r="D131" s="25" t="s">
        <v>1122</v>
      </c>
      <c r="E131" s="165">
        <v>12</v>
      </c>
      <c r="F131" s="134">
        <v>128.62</v>
      </c>
      <c r="G131" s="50">
        <f t="shared" si="11"/>
        <v>1543.44</v>
      </c>
      <c r="H131" s="103"/>
      <c r="I131" s="141"/>
      <c r="J131" s="104"/>
      <c r="K131" s="103"/>
      <c r="L131" s="103">
        <v>12</v>
      </c>
      <c r="M131" s="141">
        <f t="shared" si="13"/>
        <v>0</v>
      </c>
      <c r="N131" s="103"/>
      <c r="O131" s="103" t="s">
        <v>945</v>
      </c>
      <c r="P131" s="137">
        <f t="shared" si="10"/>
        <v>0</v>
      </c>
    </row>
    <row r="132" spans="1:16" s="92" customFormat="1" x14ac:dyDescent="0.3">
      <c r="A132" s="106" t="s">
        <v>360</v>
      </c>
      <c r="B132" s="102">
        <v>44659</v>
      </c>
      <c r="C132" s="25" t="s">
        <v>633</v>
      </c>
      <c r="D132" s="25" t="s">
        <v>1122</v>
      </c>
      <c r="E132" s="160">
        <v>41</v>
      </c>
      <c r="F132" s="134">
        <v>325</v>
      </c>
      <c r="G132" s="50">
        <f t="shared" si="11"/>
        <v>13325</v>
      </c>
      <c r="H132" s="103"/>
      <c r="I132" s="141"/>
      <c r="J132" s="104"/>
      <c r="K132" s="103"/>
      <c r="L132" s="103"/>
      <c r="M132" s="141">
        <f t="shared" si="13"/>
        <v>41</v>
      </c>
      <c r="N132" s="103"/>
      <c r="O132" s="103" t="s">
        <v>945</v>
      </c>
      <c r="P132" s="137">
        <f t="shared" si="10"/>
        <v>13325</v>
      </c>
    </row>
    <row r="133" spans="1:16" s="8" customFormat="1" ht="15.75" x14ac:dyDescent="0.25">
      <c r="A133" s="106" t="s">
        <v>361</v>
      </c>
      <c r="B133" s="102"/>
      <c r="C133" s="25" t="s">
        <v>861</v>
      </c>
      <c r="D133" s="25" t="s">
        <v>1122</v>
      </c>
      <c r="E133" s="162">
        <f>8+48</f>
        <v>56</v>
      </c>
      <c r="F133" s="134"/>
      <c r="G133" s="50">
        <f t="shared" ref="G133:G138" si="14">+E133*F133</f>
        <v>0</v>
      </c>
      <c r="H133" s="103"/>
      <c r="I133" s="141"/>
      <c r="J133" s="104"/>
      <c r="K133" s="103"/>
      <c r="L133" s="103"/>
      <c r="M133" s="141">
        <f t="shared" si="13"/>
        <v>56</v>
      </c>
      <c r="N133" s="103"/>
      <c r="O133" s="103" t="s">
        <v>947</v>
      </c>
      <c r="P133" s="137">
        <f t="shared" si="10"/>
        <v>0</v>
      </c>
    </row>
    <row r="134" spans="1:16" s="8" customFormat="1" ht="15.75" x14ac:dyDescent="0.25">
      <c r="A134" s="106" t="s">
        <v>362</v>
      </c>
      <c r="B134" s="102"/>
      <c r="C134" s="25" t="s">
        <v>862</v>
      </c>
      <c r="D134" s="25" t="s">
        <v>1122</v>
      </c>
      <c r="E134" s="162">
        <v>74</v>
      </c>
      <c r="F134" s="134"/>
      <c r="G134" s="50">
        <f t="shared" si="14"/>
        <v>0</v>
      </c>
      <c r="H134" s="103"/>
      <c r="I134" s="141"/>
      <c r="J134" s="104"/>
      <c r="K134" s="103"/>
      <c r="L134" s="103"/>
      <c r="M134" s="141">
        <f t="shared" si="13"/>
        <v>74</v>
      </c>
      <c r="N134" s="103"/>
      <c r="O134" s="103" t="s">
        <v>947</v>
      </c>
      <c r="P134" s="137">
        <f t="shared" si="10"/>
        <v>0</v>
      </c>
    </row>
    <row r="135" spans="1:16" s="8" customFormat="1" ht="15.75" x14ac:dyDescent="0.25">
      <c r="A135" s="106" t="s">
        <v>363</v>
      </c>
      <c r="B135" s="102"/>
      <c r="C135" s="25" t="s">
        <v>863</v>
      </c>
      <c r="D135" s="25" t="s">
        <v>1122</v>
      </c>
      <c r="E135" s="162">
        <f>79+33+106</f>
        <v>218</v>
      </c>
      <c r="F135" s="134"/>
      <c r="G135" s="50">
        <f t="shared" si="14"/>
        <v>0</v>
      </c>
      <c r="H135" s="103"/>
      <c r="I135" s="141"/>
      <c r="J135" s="104"/>
      <c r="K135" s="103"/>
      <c r="L135" s="103"/>
      <c r="M135" s="141">
        <f t="shared" si="13"/>
        <v>218</v>
      </c>
      <c r="N135" s="103"/>
      <c r="O135" s="103" t="s">
        <v>947</v>
      </c>
      <c r="P135" s="137">
        <f t="shared" si="10"/>
        <v>0</v>
      </c>
    </row>
    <row r="136" spans="1:16" s="8" customFormat="1" ht="15.75" x14ac:dyDescent="0.25">
      <c r="A136" s="106" t="s">
        <v>364</v>
      </c>
      <c r="B136" s="102"/>
      <c r="C136" s="25" t="s">
        <v>864</v>
      </c>
      <c r="D136" s="25" t="s">
        <v>1122</v>
      </c>
      <c r="E136" s="162">
        <v>46</v>
      </c>
      <c r="F136" s="134"/>
      <c r="G136" s="50">
        <f t="shared" si="14"/>
        <v>0</v>
      </c>
      <c r="H136" s="103"/>
      <c r="I136" s="141"/>
      <c r="J136" s="104"/>
      <c r="K136" s="103"/>
      <c r="L136" s="103"/>
      <c r="M136" s="141">
        <f t="shared" si="13"/>
        <v>46</v>
      </c>
      <c r="N136" s="103"/>
      <c r="O136" s="103" t="s">
        <v>947</v>
      </c>
      <c r="P136" s="137">
        <f t="shared" si="10"/>
        <v>0</v>
      </c>
    </row>
    <row r="137" spans="1:16" s="8" customFormat="1" ht="15.75" x14ac:dyDescent="0.25">
      <c r="A137" s="106" t="s">
        <v>365</v>
      </c>
      <c r="B137" s="102"/>
      <c r="C137" s="25" t="s">
        <v>865</v>
      </c>
      <c r="D137" s="25" t="s">
        <v>1122</v>
      </c>
      <c r="E137" s="162">
        <v>41</v>
      </c>
      <c r="F137" s="134"/>
      <c r="G137" s="50">
        <f t="shared" si="14"/>
        <v>0</v>
      </c>
      <c r="H137" s="103"/>
      <c r="I137" s="141"/>
      <c r="J137" s="104"/>
      <c r="K137" s="103"/>
      <c r="L137" s="103"/>
      <c r="M137" s="141">
        <f t="shared" si="13"/>
        <v>41</v>
      </c>
      <c r="N137" s="103"/>
      <c r="O137" s="103" t="s">
        <v>947</v>
      </c>
      <c r="P137" s="137">
        <f t="shared" si="10"/>
        <v>0</v>
      </c>
    </row>
    <row r="138" spans="1:16" s="8" customFormat="1" ht="15.75" x14ac:dyDescent="0.25">
      <c r="A138" s="106" t="s">
        <v>366</v>
      </c>
      <c r="B138" s="102"/>
      <c r="C138" s="25" t="s">
        <v>866</v>
      </c>
      <c r="D138" s="25" t="s">
        <v>1122</v>
      </c>
      <c r="E138" s="162">
        <f>34+1</f>
        <v>35</v>
      </c>
      <c r="F138" s="134"/>
      <c r="G138" s="50">
        <f t="shared" si="14"/>
        <v>0</v>
      </c>
      <c r="H138" s="103"/>
      <c r="I138" s="141"/>
      <c r="J138" s="104"/>
      <c r="K138" s="103"/>
      <c r="L138" s="103"/>
      <c r="M138" s="141">
        <f t="shared" si="13"/>
        <v>35</v>
      </c>
      <c r="N138" s="103"/>
      <c r="O138" s="103" t="s">
        <v>947</v>
      </c>
      <c r="P138" s="137">
        <f t="shared" si="10"/>
        <v>0</v>
      </c>
    </row>
    <row r="139" spans="1:16" s="92" customFormat="1" x14ac:dyDescent="0.3">
      <c r="A139" s="106" t="s">
        <v>367</v>
      </c>
      <c r="B139" s="129">
        <v>44748</v>
      </c>
      <c r="C139" s="25" t="s">
        <v>719</v>
      </c>
      <c r="D139" s="25" t="s">
        <v>1122</v>
      </c>
      <c r="E139" s="165"/>
      <c r="F139" s="171">
        <v>161.66999999999999</v>
      </c>
      <c r="G139" s="50">
        <f>E139*F139</f>
        <v>0</v>
      </c>
      <c r="H139" s="107">
        <v>44748</v>
      </c>
      <c r="I139" s="137">
        <f>3*6</f>
        <v>18</v>
      </c>
      <c r="J139" s="104">
        <v>161.66666666666666</v>
      </c>
      <c r="K139" s="108">
        <f>+I139*J139</f>
        <v>2910</v>
      </c>
      <c r="L139" s="103">
        <v>18</v>
      </c>
      <c r="M139" s="141">
        <f t="shared" si="13"/>
        <v>0</v>
      </c>
      <c r="N139" s="103"/>
      <c r="O139" s="103" t="s">
        <v>945</v>
      </c>
      <c r="P139" s="137">
        <f t="shared" si="10"/>
        <v>0</v>
      </c>
    </row>
    <row r="140" spans="1:16" s="8" customFormat="1" ht="15.75" x14ac:dyDescent="0.25">
      <c r="A140" s="106" t="s">
        <v>368</v>
      </c>
      <c r="B140" s="102">
        <v>44193</v>
      </c>
      <c r="C140" s="25" t="s">
        <v>813</v>
      </c>
      <c r="D140" s="25" t="s">
        <v>1122</v>
      </c>
      <c r="E140" s="165">
        <v>8</v>
      </c>
      <c r="F140" s="134">
        <v>1375</v>
      </c>
      <c r="G140" s="50">
        <f>E140*F140</f>
        <v>11000</v>
      </c>
      <c r="H140" s="103"/>
      <c r="I140" s="141"/>
      <c r="J140" s="104"/>
      <c r="K140" s="103"/>
      <c r="L140" s="103"/>
      <c r="M140" s="141">
        <f t="shared" si="13"/>
        <v>8</v>
      </c>
      <c r="N140" s="103"/>
      <c r="O140" s="103" t="s">
        <v>946</v>
      </c>
      <c r="P140" s="137">
        <f t="shared" si="10"/>
        <v>11000</v>
      </c>
    </row>
    <row r="141" spans="1:16" s="8" customFormat="1" ht="15.75" x14ac:dyDescent="0.25">
      <c r="A141" s="106" t="s">
        <v>369</v>
      </c>
      <c r="B141" s="106" t="s">
        <v>114</v>
      </c>
      <c r="C141" s="25" t="s">
        <v>642</v>
      </c>
      <c r="D141" s="25" t="s">
        <v>1122</v>
      </c>
      <c r="E141" s="165">
        <v>8</v>
      </c>
      <c r="F141" s="134">
        <v>1375</v>
      </c>
      <c r="G141" s="50">
        <f>E141*F141</f>
        <v>11000</v>
      </c>
      <c r="H141" s="103"/>
      <c r="I141" s="141"/>
      <c r="J141" s="104"/>
      <c r="K141" s="103"/>
      <c r="L141" s="103">
        <v>1</v>
      </c>
      <c r="M141" s="141">
        <f t="shared" si="13"/>
        <v>7</v>
      </c>
      <c r="N141" s="103"/>
      <c r="O141" s="103" t="s">
        <v>946</v>
      </c>
      <c r="P141" s="137">
        <f t="shared" si="10"/>
        <v>9625</v>
      </c>
    </row>
    <row r="142" spans="1:16" s="8" customFormat="1" ht="15.75" x14ac:dyDescent="0.25">
      <c r="A142" s="106" t="s">
        <v>370</v>
      </c>
      <c r="B142" s="102"/>
      <c r="C142" s="25" t="s">
        <v>833</v>
      </c>
      <c r="D142" s="25" t="s">
        <v>1122</v>
      </c>
      <c r="E142" s="165">
        <v>7</v>
      </c>
      <c r="F142" s="134"/>
      <c r="G142" s="50"/>
      <c r="H142" s="103"/>
      <c r="I142" s="141"/>
      <c r="J142" s="104"/>
      <c r="K142" s="103"/>
      <c r="L142" s="103"/>
      <c r="M142" s="141">
        <f t="shared" si="13"/>
        <v>7</v>
      </c>
      <c r="N142" s="103"/>
      <c r="O142" s="103" t="s">
        <v>946</v>
      </c>
      <c r="P142" s="137">
        <f t="shared" si="10"/>
        <v>0</v>
      </c>
    </row>
    <row r="143" spans="1:16" s="8" customFormat="1" ht="15.75" x14ac:dyDescent="0.25">
      <c r="A143" s="106" t="s">
        <v>371</v>
      </c>
      <c r="B143" s="102">
        <v>44193</v>
      </c>
      <c r="C143" s="25" t="s">
        <v>643</v>
      </c>
      <c r="D143" s="25" t="s">
        <v>1122</v>
      </c>
      <c r="E143" s="165">
        <v>4</v>
      </c>
      <c r="F143" s="134">
        <v>1375</v>
      </c>
      <c r="G143" s="50">
        <f>E143*F143</f>
        <v>5500</v>
      </c>
      <c r="H143" s="103"/>
      <c r="I143" s="141"/>
      <c r="J143" s="104"/>
      <c r="K143" s="103"/>
      <c r="L143" s="103"/>
      <c r="M143" s="141">
        <f t="shared" si="13"/>
        <v>4</v>
      </c>
      <c r="N143" s="103"/>
      <c r="O143" s="103" t="s">
        <v>946</v>
      </c>
      <c r="P143" s="137">
        <f t="shared" si="10"/>
        <v>5500</v>
      </c>
    </row>
    <row r="144" spans="1:16" s="8" customFormat="1" ht="15.75" x14ac:dyDescent="0.25">
      <c r="A144" s="106" t="s">
        <v>372</v>
      </c>
      <c r="B144" s="106"/>
      <c r="C144" s="25" t="s">
        <v>816</v>
      </c>
      <c r="D144" s="25" t="s">
        <v>1122</v>
      </c>
      <c r="E144" s="165">
        <v>2</v>
      </c>
      <c r="F144" s="134"/>
      <c r="G144" s="50"/>
      <c r="H144" s="103"/>
      <c r="I144" s="141"/>
      <c r="J144" s="104"/>
      <c r="K144" s="103"/>
      <c r="L144" s="103"/>
      <c r="M144" s="141">
        <f t="shared" si="13"/>
        <v>2</v>
      </c>
      <c r="N144" s="103"/>
      <c r="O144" s="103" t="s">
        <v>946</v>
      </c>
      <c r="P144" s="137">
        <f t="shared" si="10"/>
        <v>0</v>
      </c>
    </row>
    <row r="145" spans="1:16" s="8" customFormat="1" ht="15.75" x14ac:dyDescent="0.25">
      <c r="A145" s="106" t="s">
        <v>373</v>
      </c>
      <c r="B145" s="102"/>
      <c r="C145" s="25" t="s">
        <v>829</v>
      </c>
      <c r="D145" s="25" t="s">
        <v>1122</v>
      </c>
      <c r="E145" s="165">
        <v>2</v>
      </c>
      <c r="F145" s="134"/>
      <c r="G145" s="50"/>
      <c r="H145" s="103"/>
      <c r="I145" s="141"/>
      <c r="J145" s="104"/>
      <c r="K145" s="103"/>
      <c r="L145" s="103"/>
      <c r="M145" s="151">
        <f t="shared" si="13"/>
        <v>2</v>
      </c>
      <c r="N145" s="103"/>
      <c r="O145" s="103" t="s">
        <v>946</v>
      </c>
      <c r="P145" s="137">
        <f t="shared" si="10"/>
        <v>0</v>
      </c>
    </row>
    <row r="146" spans="1:16" s="8" customFormat="1" ht="15.75" x14ac:dyDescent="0.25">
      <c r="A146" s="106" t="s">
        <v>374</v>
      </c>
      <c r="B146" s="106" t="s">
        <v>106</v>
      </c>
      <c r="C146" s="25" t="s">
        <v>635</v>
      </c>
      <c r="D146" s="25" t="s">
        <v>1122</v>
      </c>
      <c r="E146" s="165">
        <v>8</v>
      </c>
      <c r="F146" s="134">
        <v>1375</v>
      </c>
      <c r="G146" s="50">
        <f>E146*F146</f>
        <v>11000</v>
      </c>
      <c r="H146" s="103"/>
      <c r="I146" s="141"/>
      <c r="J146" s="104"/>
      <c r="K146" s="103"/>
      <c r="L146" s="103">
        <v>2</v>
      </c>
      <c r="M146" s="141">
        <f t="shared" si="13"/>
        <v>6</v>
      </c>
      <c r="N146" s="103"/>
      <c r="O146" s="103" t="s">
        <v>946</v>
      </c>
      <c r="P146" s="137">
        <f t="shared" si="10"/>
        <v>8250</v>
      </c>
    </row>
    <row r="147" spans="1:16" s="8" customFormat="1" ht="15.75" x14ac:dyDescent="0.25">
      <c r="A147" s="106" t="s">
        <v>375</v>
      </c>
      <c r="B147" s="102">
        <v>45020</v>
      </c>
      <c r="C147" s="25" t="s">
        <v>636</v>
      </c>
      <c r="D147" s="25" t="s">
        <v>1122</v>
      </c>
      <c r="E147" s="164">
        <v>30</v>
      </c>
      <c r="F147" s="134">
        <v>436.6</v>
      </c>
      <c r="G147" s="50">
        <f>E147*F147</f>
        <v>13098</v>
      </c>
      <c r="H147" s="103"/>
      <c r="I147" s="141"/>
      <c r="J147" s="104"/>
      <c r="K147" s="103"/>
      <c r="L147" s="103"/>
      <c r="M147" s="141">
        <f t="shared" si="13"/>
        <v>30</v>
      </c>
      <c r="N147" s="103"/>
      <c r="O147" s="103" t="s">
        <v>946</v>
      </c>
      <c r="P147" s="137">
        <f t="shared" si="10"/>
        <v>13098</v>
      </c>
    </row>
    <row r="148" spans="1:16" s="8" customFormat="1" ht="15.75" x14ac:dyDescent="0.25">
      <c r="A148" s="106" t="s">
        <v>376</v>
      </c>
      <c r="B148" s="102"/>
      <c r="C148" s="25" t="s">
        <v>831</v>
      </c>
      <c r="D148" s="25" t="s">
        <v>1122</v>
      </c>
      <c r="E148" s="165">
        <f>25+28</f>
        <v>53</v>
      </c>
      <c r="F148" s="134"/>
      <c r="G148" s="50"/>
      <c r="H148" s="103"/>
      <c r="I148" s="141"/>
      <c r="J148" s="104"/>
      <c r="K148" s="103"/>
      <c r="L148" s="103">
        <v>10</v>
      </c>
      <c r="M148" s="141">
        <f t="shared" si="13"/>
        <v>43</v>
      </c>
      <c r="N148" s="103"/>
      <c r="O148" s="103" t="s">
        <v>946</v>
      </c>
      <c r="P148" s="137">
        <f t="shared" si="10"/>
        <v>0</v>
      </c>
    </row>
    <row r="149" spans="1:16" s="8" customFormat="1" ht="15.75" x14ac:dyDescent="0.25">
      <c r="A149" s="106" t="s">
        <v>377</v>
      </c>
      <c r="B149" s="102"/>
      <c r="C149" s="25" t="s">
        <v>832</v>
      </c>
      <c r="D149" s="25" t="s">
        <v>1122</v>
      </c>
      <c r="E149" s="165">
        <v>5</v>
      </c>
      <c r="F149" s="134"/>
      <c r="G149" s="50"/>
      <c r="H149" s="103"/>
      <c r="I149" s="141"/>
      <c r="J149" s="104"/>
      <c r="K149" s="103"/>
      <c r="L149" s="103"/>
      <c r="M149" s="141">
        <f t="shared" si="13"/>
        <v>5</v>
      </c>
      <c r="N149" s="103"/>
      <c r="O149" s="103" t="s">
        <v>946</v>
      </c>
      <c r="P149" s="137">
        <f t="shared" si="10"/>
        <v>0</v>
      </c>
    </row>
    <row r="150" spans="1:16" s="8" customFormat="1" ht="15.75" x14ac:dyDescent="0.25">
      <c r="A150" s="106" t="s">
        <v>378</v>
      </c>
      <c r="B150" s="106" t="s">
        <v>106</v>
      </c>
      <c r="C150" s="25" t="s">
        <v>812</v>
      </c>
      <c r="D150" s="25" t="s">
        <v>1122</v>
      </c>
      <c r="E150" s="165">
        <v>3</v>
      </c>
      <c r="F150" s="134">
        <v>1180</v>
      </c>
      <c r="G150" s="50">
        <f>E150*F150</f>
        <v>3540</v>
      </c>
      <c r="H150" s="103"/>
      <c r="I150" s="141"/>
      <c r="J150" s="104"/>
      <c r="K150" s="103"/>
      <c r="L150" s="103"/>
      <c r="M150" s="141">
        <f t="shared" si="13"/>
        <v>3</v>
      </c>
      <c r="N150" s="103"/>
      <c r="O150" s="103" t="s">
        <v>946</v>
      </c>
      <c r="P150" s="137">
        <f t="shared" si="10"/>
        <v>3540</v>
      </c>
    </row>
    <row r="151" spans="1:16" s="8" customFormat="1" ht="15.75" x14ac:dyDescent="0.25">
      <c r="A151" s="106" t="s">
        <v>379</v>
      </c>
      <c r="B151" s="102">
        <v>44193</v>
      </c>
      <c r="C151" s="25" t="s">
        <v>637</v>
      </c>
      <c r="D151" s="25" t="s">
        <v>1122</v>
      </c>
      <c r="E151" s="164">
        <v>9</v>
      </c>
      <c r="F151" s="134">
        <v>1180</v>
      </c>
      <c r="G151" s="50">
        <f>E151*F151</f>
        <v>10620</v>
      </c>
      <c r="H151" s="103"/>
      <c r="I151" s="141"/>
      <c r="J151" s="104"/>
      <c r="K151" s="103"/>
      <c r="L151" s="103"/>
      <c r="M151" s="141">
        <f t="shared" si="13"/>
        <v>9</v>
      </c>
      <c r="N151" s="103"/>
      <c r="O151" s="103" t="s">
        <v>946</v>
      </c>
      <c r="P151" s="137">
        <f t="shared" si="10"/>
        <v>10620</v>
      </c>
    </row>
    <row r="152" spans="1:16" s="8" customFormat="1" ht="15.75" x14ac:dyDescent="0.25">
      <c r="A152" s="106" t="s">
        <v>380</v>
      </c>
      <c r="B152" s="102"/>
      <c r="C152" s="25" t="s">
        <v>834</v>
      </c>
      <c r="D152" s="25" t="s">
        <v>1122</v>
      </c>
      <c r="E152" s="165">
        <v>1</v>
      </c>
      <c r="F152" s="134"/>
      <c r="G152" s="50"/>
      <c r="H152" s="103"/>
      <c r="I152" s="141"/>
      <c r="J152" s="104"/>
      <c r="K152" s="103"/>
      <c r="L152" s="103"/>
      <c r="M152" s="151">
        <f t="shared" si="13"/>
        <v>1</v>
      </c>
      <c r="N152" s="103"/>
      <c r="O152" s="103" t="s">
        <v>946</v>
      </c>
      <c r="P152" s="137">
        <f t="shared" si="10"/>
        <v>0</v>
      </c>
    </row>
    <row r="153" spans="1:16" s="8" customFormat="1" ht="15.75" x14ac:dyDescent="0.25">
      <c r="A153" s="106" t="s">
        <v>381</v>
      </c>
      <c r="B153" s="106" t="s">
        <v>106</v>
      </c>
      <c r="C153" s="25" t="s">
        <v>639</v>
      </c>
      <c r="D153" s="25" t="s">
        <v>1122</v>
      </c>
      <c r="E153" s="165">
        <v>8</v>
      </c>
      <c r="F153" s="171">
        <v>1375</v>
      </c>
      <c r="G153" s="50">
        <f t="shared" ref="G153:G165" si="15">E153*F153</f>
        <v>11000</v>
      </c>
      <c r="H153" s="103"/>
      <c r="I153" s="141"/>
      <c r="J153" s="104"/>
      <c r="K153" s="103"/>
      <c r="L153" s="103"/>
      <c r="M153" s="151">
        <f t="shared" si="13"/>
        <v>8</v>
      </c>
      <c r="N153" s="103"/>
      <c r="O153" s="103" t="s">
        <v>946</v>
      </c>
      <c r="P153" s="137">
        <f t="shared" ref="P153:P216" si="16">+F153*M153</f>
        <v>11000</v>
      </c>
    </row>
    <row r="154" spans="1:16" s="8" customFormat="1" ht="15.75" x14ac:dyDescent="0.25">
      <c r="A154" s="106" t="s">
        <v>382</v>
      </c>
      <c r="B154" s="102">
        <v>44193</v>
      </c>
      <c r="C154" s="25" t="s">
        <v>638</v>
      </c>
      <c r="D154" s="25" t="s">
        <v>1122</v>
      </c>
      <c r="E154" s="165">
        <v>4</v>
      </c>
      <c r="F154" s="134">
        <v>1294.3699999999999</v>
      </c>
      <c r="G154" s="50">
        <f t="shared" si="15"/>
        <v>5177.4799999999996</v>
      </c>
      <c r="H154" s="103"/>
      <c r="I154" s="141"/>
      <c r="J154" s="104"/>
      <c r="K154" s="103"/>
      <c r="L154" s="103"/>
      <c r="M154" s="141">
        <f t="shared" si="13"/>
        <v>4</v>
      </c>
      <c r="N154" s="103"/>
      <c r="O154" s="103" t="s">
        <v>946</v>
      </c>
      <c r="P154" s="137">
        <f t="shared" si="16"/>
        <v>5177.4799999999996</v>
      </c>
    </row>
    <row r="155" spans="1:16" s="8" customFormat="1" ht="15.75" x14ac:dyDescent="0.25">
      <c r="A155" s="106" t="s">
        <v>383</v>
      </c>
      <c r="B155" s="106" t="s">
        <v>114</v>
      </c>
      <c r="C155" s="25" t="s">
        <v>640</v>
      </c>
      <c r="D155" s="25" t="s">
        <v>1122</v>
      </c>
      <c r="E155" s="165">
        <v>4</v>
      </c>
      <c r="F155" s="172">
        <v>2600</v>
      </c>
      <c r="G155" s="50">
        <f t="shared" si="15"/>
        <v>10400</v>
      </c>
      <c r="H155" s="103"/>
      <c r="I155" s="141"/>
      <c r="J155" s="104"/>
      <c r="K155" s="103"/>
      <c r="L155" s="103"/>
      <c r="M155" s="141">
        <f t="shared" si="13"/>
        <v>4</v>
      </c>
      <c r="N155" s="103"/>
      <c r="O155" s="103" t="s">
        <v>946</v>
      </c>
      <c r="P155" s="137">
        <f t="shared" si="16"/>
        <v>10400</v>
      </c>
    </row>
    <row r="156" spans="1:16" s="8" customFormat="1" ht="15.75" x14ac:dyDescent="0.25">
      <c r="A156" s="106" t="s">
        <v>384</v>
      </c>
      <c r="B156" s="102">
        <v>44193</v>
      </c>
      <c r="C156" s="25" t="s">
        <v>830</v>
      </c>
      <c r="D156" s="25" t="s">
        <v>1122</v>
      </c>
      <c r="E156" s="165">
        <v>2</v>
      </c>
      <c r="F156" s="134">
        <v>2600</v>
      </c>
      <c r="G156" s="50">
        <f t="shared" si="15"/>
        <v>5200</v>
      </c>
      <c r="H156" s="103"/>
      <c r="I156" s="141"/>
      <c r="J156" s="104"/>
      <c r="K156" s="103"/>
      <c r="L156" s="103">
        <v>2</v>
      </c>
      <c r="M156" s="141">
        <f t="shared" si="13"/>
        <v>0</v>
      </c>
      <c r="N156" s="103"/>
      <c r="O156" s="103" t="s">
        <v>946</v>
      </c>
      <c r="P156" s="137">
        <f t="shared" si="16"/>
        <v>0</v>
      </c>
    </row>
    <row r="157" spans="1:16" s="105" customFormat="1" ht="15.75" x14ac:dyDescent="0.25">
      <c r="A157" s="106" t="s">
        <v>385</v>
      </c>
      <c r="B157" s="129">
        <v>44852</v>
      </c>
      <c r="C157" s="9" t="s">
        <v>951</v>
      </c>
      <c r="D157" s="25" t="s">
        <v>1122</v>
      </c>
      <c r="E157" s="166">
        <v>46</v>
      </c>
      <c r="F157" s="134">
        <v>5.07</v>
      </c>
      <c r="G157" s="50">
        <f t="shared" si="15"/>
        <v>233.22000000000003</v>
      </c>
      <c r="H157" s="107">
        <v>44852</v>
      </c>
      <c r="I157" s="141">
        <f>10*100</f>
        <v>1000</v>
      </c>
      <c r="J157" s="104">
        <v>5.07</v>
      </c>
      <c r="K157" s="108">
        <f>+I157*J157</f>
        <v>5070</v>
      </c>
      <c r="L157" s="103">
        <f>12+100+15+819</f>
        <v>946</v>
      </c>
      <c r="M157" s="151">
        <f t="shared" si="13"/>
        <v>100</v>
      </c>
      <c r="N157" s="103" t="s">
        <v>1037</v>
      </c>
      <c r="O157" s="103" t="s">
        <v>947</v>
      </c>
      <c r="P157" s="137">
        <f t="shared" si="16"/>
        <v>507</v>
      </c>
    </row>
    <row r="158" spans="1:16" s="8" customFormat="1" ht="15.75" x14ac:dyDescent="0.25">
      <c r="A158" s="106" t="s">
        <v>386</v>
      </c>
      <c r="B158" s="102">
        <v>44193</v>
      </c>
      <c r="C158" s="9" t="s">
        <v>647</v>
      </c>
      <c r="D158" s="25" t="s">
        <v>1122</v>
      </c>
      <c r="E158" s="166">
        <v>15</v>
      </c>
      <c r="F158" s="134">
        <v>4.55</v>
      </c>
      <c r="G158" s="50">
        <f t="shared" si="15"/>
        <v>68.25</v>
      </c>
      <c r="H158" s="103"/>
      <c r="I158" s="141"/>
      <c r="J158" s="104"/>
      <c r="K158" s="103"/>
      <c r="L158" s="103"/>
      <c r="M158" s="141">
        <f t="shared" si="13"/>
        <v>15</v>
      </c>
      <c r="N158" s="103"/>
      <c r="O158" s="103" t="s">
        <v>947</v>
      </c>
      <c r="P158" s="137">
        <f t="shared" si="16"/>
        <v>68.25</v>
      </c>
    </row>
    <row r="159" spans="1:16" s="8" customFormat="1" ht="15.75" x14ac:dyDescent="0.25">
      <c r="A159" s="106" t="s">
        <v>387</v>
      </c>
      <c r="B159" s="102">
        <v>44193</v>
      </c>
      <c r="C159" s="25" t="s">
        <v>645</v>
      </c>
      <c r="D159" s="25" t="s">
        <v>1122</v>
      </c>
      <c r="E159" s="166">
        <v>820</v>
      </c>
      <c r="F159" s="134">
        <v>7.5</v>
      </c>
      <c r="G159" s="50">
        <f t="shared" si="15"/>
        <v>6150</v>
      </c>
      <c r="H159" s="103"/>
      <c r="I159" s="141"/>
      <c r="J159" s="104"/>
      <c r="K159" s="103"/>
      <c r="L159" s="103"/>
      <c r="M159" s="141">
        <f t="shared" si="13"/>
        <v>820</v>
      </c>
      <c r="N159" s="103"/>
      <c r="O159" s="103" t="s">
        <v>947</v>
      </c>
      <c r="P159" s="137">
        <f t="shared" si="16"/>
        <v>6150</v>
      </c>
    </row>
    <row r="160" spans="1:16" s="92" customFormat="1" x14ac:dyDescent="0.3">
      <c r="A160" s="106" t="s">
        <v>388</v>
      </c>
      <c r="B160" s="102">
        <v>44659</v>
      </c>
      <c r="C160" s="25" t="s">
        <v>854</v>
      </c>
      <c r="D160" s="25" t="s">
        <v>1122</v>
      </c>
      <c r="E160" s="161">
        <f>30*100</f>
        <v>3000</v>
      </c>
      <c r="F160" s="134">
        <v>3.4</v>
      </c>
      <c r="G160" s="50">
        <f t="shared" si="15"/>
        <v>10200</v>
      </c>
      <c r="H160" s="103"/>
      <c r="I160" s="141"/>
      <c r="J160" s="104"/>
      <c r="K160" s="103"/>
      <c r="L160" s="103">
        <v>3000</v>
      </c>
      <c r="M160" s="151">
        <f t="shared" si="13"/>
        <v>0</v>
      </c>
      <c r="N160" s="103"/>
      <c r="O160" s="103" t="s">
        <v>945</v>
      </c>
      <c r="P160" s="137">
        <f t="shared" si="16"/>
        <v>0</v>
      </c>
    </row>
    <row r="161" spans="1:16" s="92" customFormat="1" x14ac:dyDescent="0.3">
      <c r="A161" s="106" t="s">
        <v>389</v>
      </c>
      <c r="B161" s="129">
        <v>45019</v>
      </c>
      <c r="C161" s="9" t="s">
        <v>648</v>
      </c>
      <c r="D161" s="25" t="s">
        <v>1122</v>
      </c>
      <c r="E161" s="161">
        <v>0</v>
      </c>
      <c r="F161" s="134">
        <v>4.01</v>
      </c>
      <c r="G161" s="50">
        <f t="shared" si="15"/>
        <v>0</v>
      </c>
      <c r="H161" s="107">
        <v>45019</v>
      </c>
      <c r="I161" s="144">
        <v>700</v>
      </c>
      <c r="J161" s="104">
        <f>3.4+0.612</f>
        <v>4.0119999999999996</v>
      </c>
      <c r="K161" s="108">
        <f>+I161*J161</f>
        <v>2808.3999999999996</v>
      </c>
      <c r="L161" s="103">
        <f>400+100+100</f>
        <v>600</v>
      </c>
      <c r="M161" s="158">
        <f>+E161+I161-L161</f>
        <v>100</v>
      </c>
      <c r="N161" s="103"/>
      <c r="O161" s="103" t="s">
        <v>945</v>
      </c>
      <c r="P161" s="137">
        <f t="shared" si="16"/>
        <v>401</v>
      </c>
    </row>
    <row r="162" spans="1:16" s="92" customFormat="1" x14ac:dyDescent="0.3">
      <c r="A162" s="106" t="s">
        <v>390</v>
      </c>
      <c r="B162" s="129">
        <v>44778</v>
      </c>
      <c r="C162" s="25" t="s">
        <v>855</v>
      </c>
      <c r="D162" s="25" t="s">
        <v>1122</v>
      </c>
      <c r="E162" s="162">
        <f>25*100</f>
        <v>2500</v>
      </c>
      <c r="F162" s="134">
        <v>4.8899999999999997</v>
      </c>
      <c r="G162" s="50">
        <f t="shared" si="15"/>
        <v>12225</v>
      </c>
      <c r="H162" s="107">
        <v>44778</v>
      </c>
      <c r="I162" s="144">
        <f>10*100</f>
        <v>1000</v>
      </c>
      <c r="J162" s="104">
        <v>4.8899999999999997</v>
      </c>
      <c r="K162" s="108">
        <f>+I162*J162</f>
        <v>4890</v>
      </c>
      <c r="L162" s="103">
        <v>3500</v>
      </c>
      <c r="M162" s="151">
        <f t="shared" si="13"/>
        <v>0</v>
      </c>
      <c r="N162" s="103" t="s">
        <v>943</v>
      </c>
      <c r="O162" s="103" t="s">
        <v>945</v>
      </c>
      <c r="P162" s="137">
        <f t="shared" si="16"/>
        <v>0</v>
      </c>
    </row>
    <row r="163" spans="1:16" s="92" customFormat="1" x14ac:dyDescent="0.3">
      <c r="A163" s="106" t="s">
        <v>391</v>
      </c>
      <c r="B163" s="129">
        <v>45019</v>
      </c>
      <c r="C163" s="25" t="s">
        <v>651</v>
      </c>
      <c r="D163" s="25" t="s">
        <v>1122</v>
      </c>
      <c r="E163" s="162">
        <f>60*100</f>
        <v>6000</v>
      </c>
      <c r="F163" s="134">
        <v>9.56</v>
      </c>
      <c r="G163" s="50">
        <f t="shared" si="15"/>
        <v>57360</v>
      </c>
      <c r="H163" s="107">
        <v>45019</v>
      </c>
      <c r="I163" s="144">
        <v>700</v>
      </c>
      <c r="J163" s="104">
        <v>9.56</v>
      </c>
      <c r="K163" s="108">
        <f t="shared" ref="K163:K166" si="17">+I163*J163</f>
        <v>6692</v>
      </c>
      <c r="L163" s="103">
        <f>100+100+100+3600+100</f>
        <v>4000</v>
      </c>
      <c r="M163" s="152">
        <f t="shared" si="13"/>
        <v>2700</v>
      </c>
      <c r="N163" s="103"/>
      <c r="O163" s="103" t="s">
        <v>945</v>
      </c>
      <c r="P163" s="137">
        <f t="shared" si="16"/>
        <v>25812</v>
      </c>
    </row>
    <row r="164" spans="1:16" s="92" customFormat="1" x14ac:dyDescent="0.3">
      <c r="A164" s="106" t="s">
        <v>392</v>
      </c>
      <c r="B164" s="129">
        <v>45019</v>
      </c>
      <c r="C164" s="25" t="s">
        <v>652</v>
      </c>
      <c r="D164" s="25" t="s">
        <v>1122</v>
      </c>
      <c r="E164" s="162">
        <f>30*100</f>
        <v>3000</v>
      </c>
      <c r="F164" s="134">
        <v>11.21</v>
      </c>
      <c r="G164" s="50">
        <f t="shared" si="15"/>
        <v>33630</v>
      </c>
      <c r="H164" s="107">
        <v>45019</v>
      </c>
      <c r="I164" s="144">
        <f>7*100</f>
        <v>700</v>
      </c>
      <c r="J164" s="104">
        <v>11.21</v>
      </c>
      <c r="K164" s="108">
        <f t="shared" si="17"/>
        <v>7847.0000000000009</v>
      </c>
      <c r="L164" s="103">
        <v>3100</v>
      </c>
      <c r="M164" s="151">
        <f t="shared" si="13"/>
        <v>600</v>
      </c>
      <c r="N164" s="103"/>
      <c r="O164" s="103" t="s">
        <v>945</v>
      </c>
      <c r="P164" s="137">
        <f t="shared" si="16"/>
        <v>6726.0000000000009</v>
      </c>
    </row>
    <row r="165" spans="1:16" s="92" customFormat="1" x14ac:dyDescent="0.3">
      <c r="A165" s="106" t="s">
        <v>393</v>
      </c>
      <c r="B165" s="102">
        <v>44193</v>
      </c>
      <c r="C165" s="25" t="s">
        <v>786</v>
      </c>
      <c r="D165" s="25" t="s">
        <v>1122</v>
      </c>
      <c r="E165" s="165">
        <f>4+8</f>
        <v>12</v>
      </c>
      <c r="F165" s="134">
        <v>150</v>
      </c>
      <c r="G165" s="50">
        <f t="shared" si="15"/>
        <v>1800</v>
      </c>
      <c r="H165" s="103"/>
      <c r="I165" s="144"/>
      <c r="J165" s="104"/>
      <c r="K165" s="108">
        <f t="shared" si="17"/>
        <v>0</v>
      </c>
      <c r="L165" s="103">
        <v>5</v>
      </c>
      <c r="M165" s="151">
        <f t="shared" si="13"/>
        <v>7</v>
      </c>
      <c r="N165" s="103"/>
      <c r="O165" s="103" t="s">
        <v>945</v>
      </c>
      <c r="P165" s="137">
        <f t="shared" si="16"/>
        <v>1050</v>
      </c>
    </row>
    <row r="166" spans="1:16" s="8" customFormat="1" ht="15.75" x14ac:dyDescent="0.25">
      <c r="A166" s="106" t="s">
        <v>394</v>
      </c>
      <c r="B166" s="102"/>
      <c r="C166" s="25" t="s">
        <v>827</v>
      </c>
      <c r="D166" s="25" t="s">
        <v>1122</v>
      </c>
      <c r="E166" s="162">
        <v>2</v>
      </c>
      <c r="F166" s="134"/>
      <c r="G166" s="50"/>
      <c r="H166" s="103"/>
      <c r="I166" s="144">
        <v>10</v>
      </c>
      <c r="J166" s="104"/>
      <c r="K166" s="108">
        <f t="shared" si="17"/>
        <v>0</v>
      </c>
      <c r="L166" s="103"/>
      <c r="M166" s="141">
        <f t="shared" si="13"/>
        <v>12</v>
      </c>
      <c r="N166" s="103"/>
      <c r="O166" s="103" t="s">
        <v>946</v>
      </c>
      <c r="P166" s="137">
        <f t="shared" si="16"/>
        <v>0</v>
      </c>
    </row>
    <row r="167" spans="1:16" s="8" customFormat="1" ht="15.75" x14ac:dyDescent="0.25">
      <c r="A167" s="106" t="s">
        <v>395</v>
      </c>
      <c r="B167" s="102"/>
      <c r="C167" s="25" t="s">
        <v>828</v>
      </c>
      <c r="D167" s="25" t="s">
        <v>1122</v>
      </c>
      <c r="E167" s="162">
        <v>1</v>
      </c>
      <c r="F167" s="134"/>
      <c r="G167" s="50"/>
      <c r="H167" s="103"/>
      <c r="I167" s="144"/>
      <c r="J167" s="104"/>
      <c r="K167" s="103"/>
      <c r="L167" s="103"/>
      <c r="M167" s="141">
        <f t="shared" si="13"/>
        <v>1</v>
      </c>
      <c r="N167" s="103"/>
      <c r="O167" s="103" t="s">
        <v>946</v>
      </c>
      <c r="P167" s="137">
        <f t="shared" si="16"/>
        <v>0</v>
      </c>
    </row>
    <row r="168" spans="1:16" s="92" customFormat="1" x14ac:dyDescent="0.3">
      <c r="A168" s="106" t="s">
        <v>396</v>
      </c>
      <c r="B168" s="102">
        <v>44193</v>
      </c>
      <c r="C168" s="25" t="s">
        <v>653</v>
      </c>
      <c r="D168" s="25" t="s">
        <v>1122</v>
      </c>
      <c r="E168" s="162">
        <v>50</v>
      </c>
      <c r="F168" s="134">
        <v>575</v>
      </c>
      <c r="G168" s="50">
        <f t="shared" ref="G168:G198" si="18">E168*F168</f>
        <v>28750</v>
      </c>
      <c r="H168" s="103"/>
      <c r="I168" s="144"/>
      <c r="J168" s="104"/>
      <c r="K168" s="103"/>
      <c r="L168" s="103">
        <f>1+1</f>
        <v>2</v>
      </c>
      <c r="M168" s="141">
        <f t="shared" si="13"/>
        <v>48</v>
      </c>
      <c r="N168" s="103"/>
      <c r="O168" s="103" t="s">
        <v>945</v>
      </c>
      <c r="P168" s="137">
        <f t="shared" si="16"/>
        <v>27600</v>
      </c>
    </row>
    <row r="169" spans="1:16" s="105" customFormat="1" ht="15.75" x14ac:dyDescent="0.25">
      <c r="A169" s="106" t="s">
        <v>397</v>
      </c>
      <c r="B169" s="129">
        <v>45042</v>
      </c>
      <c r="C169" s="25" t="s">
        <v>655</v>
      </c>
      <c r="D169" s="25" t="s">
        <v>1122</v>
      </c>
      <c r="E169" s="165">
        <v>20</v>
      </c>
      <c r="F169" s="134">
        <v>8.08</v>
      </c>
      <c r="G169" s="50">
        <f t="shared" si="18"/>
        <v>161.6</v>
      </c>
      <c r="H169" s="107">
        <v>44851</v>
      </c>
      <c r="I169" s="144">
        <v>5.56</v>
      </c>
      <c r="J169" s="104">
        <v>8.08</v>
      </c>
      <c r="K169" s="104">
        <f>+J169*I169</f>
        <v>44.924799999999998</v>
      </c>
      <c r="L169" s="103">
        <v>3</v>
      </c>
      <c r="M169" s="157">
        <f>+E169+I169-L169</f>
        <v>22.56</v>
      </c>
      <c r="N169" s="103" t="s">
        <v>1037</v>
      </c>
      <c r="O169" s="103" t="s">
        <v>947</v>
      </c>
      <c r="P169" s="137">
        <f t="shared" si="16"/>
        <v>182.28479999999999</v>
      </c>
    </row>
    <row r="170" spans="1:16" s="8" customFormat="1" ht="15.75" x14ac:dyDescent="0.25">
      <c r="A170" s="106" t="s">
        <v>398</v>
      </c>
      <c r="B170" s="129">
        <v>45022</v>
      </c>
      <c r="C170" s="9" t="s">
        <v>1241</v>
      </c>
      <c r="D170" s="25" t="s">
        <v>1122</v>
      </c>
      <c r="E170" s="165">
        <v>15</v>
      </c>
      <c r="F170" s="134">
        <v>275</v>
      </c>
      <c r="G170" s="50">
        <f t="shared" si="18"/>
        <v>4125</v>
      </c>
      <c r="H170" s="107">
        <v>45022</v>
      </c>
      <c r="I170" s="144">
        <v>10</v>
      </c>
      <c r="J170" s="104">
        <v>168</v>
      </c>
      <c r="K170" s="104">
        <f t="shared" ref="K170:K173" si="19">+J170*I170</f>
        <v>1680</v>
      </c>
      <c r="L170" s="103">
        <f>17+1+1</f>
        <v>19</v>
      </c>
      <c r="M170" s="151">
        <f t="shared" si="13"/>
        <v>6</v>
      </c>
      <c r="N170" s="103"/>
      <c r="O170" s="103" t="s">
        <v>947</v>
      </c>
      <c r="P170" s="137">
        <f t="shared" si="16"/>
        <v>1650</v>
      </c>
    </row>
    <row r="171" spans="1:16" s="8" customFormat="1" ht="15.75" x14ac:dyDescent="0.25">
      <c r="A171" s="106" t="s">
        <v>399</v>
      </c>
      <c r="B171" s="102">
        <v>44193</v>
      </c>
      <c r="C171" s="9" t="s">
        <v>658</v>
      </c>
      <c r="D171" s="25" t="s">
        <v>1122</v>
      </c>
      <c r="E171" s="161">
        <v>2</v>
      </c>
      <c r="F171" s="134">
        <v>50</v>
      </c>
      <c r="G171" s="50">
        <f t="shared" si="18"/>
        <v>100</v>
      </c>
      <c r="H171" s="103"/>
      <c r="I171" s="144"/>
      <c r="J171" s="104"/>
      <c r="K171" s="104">
        <f t="shared" si="19"/>
        <v>0</v>
      </c>
      <c r="L171" s="103">
        <v>1</v>
      </c>
      <c r="M171" s="151">
        <f t="shared" si="13"/>
        <v>1</v>
      </c>
      <c r="N171" s="103"/>
      <c r="O171" s="103" t="s">
        <v>947</v>
      </c>
      <c r="P171" s="137">
        <f t="shared" si="16"/>
        <v>50</v>
      </c>
    </row>
    <row r="172" spans="1:16" s="8" customFormat="1" ht="15.75" x14ac:dyDescent="0.25">
      <c r="A172" s="106" t="s">
        <v>400</v>
      </c>
      <c r="B172" s="129">
        <v>45042</v>
      </c>
      <c r="C172" s="9" t="s">
        <v>657</v>
      </c>
      <c r="D172" s="25" t="s">
        <v>1122</v>
      </c>
      <c r="E172" s="161">
        <f>20+9</f>
        <v>29</v>
      </c>
      <c r="F172" s="134">
        <v>50</v>
      </c>
      <c r="G172" s="50">
        <f t="shared" si="18"/>
        <v>1450</v>
      </c>
      <c r="H172" s="107">
        <v>45042</v>
      </c>
      <c r="I172" s="144">
        <v>10</v>
      </c>
      <c r="J172" s="104">
        <v>44.55</v>
      </c>
      <c r="K172" s="104">
        <f t="shared" si="19"/>
        <v>445.5</v>
      </c>
      <c r="L172" s="103">
        <v>14</v>
      </c>
      <c r="M172" s="151">
        <f t="shared" si="13"/>
        <v>25</v>
      </c>
      <c r="N172" s="103"/>
      <c r="O172" s="103" t="s">
        <v>947</v>
      </c>
      <c r="P172" s="137">
        <f t="shared" si="16"/>
        <v>1250</v>
      </c>
    </row>
    <row r="173" spans="1:16" s="92" customFormat="1" x14ac:dyDescent="0.3">
      <c r="A173" s="106" t="s">
        <v>401</v>
      </c>
      <c r="B173" s="102">
        <v>44193</v>
      </c>
      <c r="C173" s="25" t="s">
        <v>660</v>
      </c>
      <c r="D173" s="25" t="s">
        <v>1122</v>
      </c>
      <c r="E173" s="161">
        <v>35</v>
      </c>
      <c r="F173" s="134">
        <v>7</v>
      </c>
      <c r="G173" s="50">
        <f t="shared" si="18"/>
        <v>245</v>
      </c>
      <c r="H173" s="103"/>
      <c r="I173" s="144"/>
      <c r="J173" s="104"/>
      <c r="K173" s="104">
        <f t="shared" si="19"/>
        <v>0</v>
      </c>
      <c r="L173" s="103"/>
      <c r="M173" s="141">
        <f t="shared" si="13"/>
        <v>35</v>
      </c>
      <c r="N173" s="103"/>
      <c r="O173" s="103" t="s">
        <v>945</v>
      </c>
      <c r="P173" s="137">
        <f t="shared" si="16"/>
        <v>245</v>
      </c>
    </row>
    <row r="174" spans="1:16" s="92" customFormat="1" x14ac:dyDescent="0.3">
      <c r="A174" s="106" t="s">
        <v>402</v>
      </c>
      <c r="B174" s="102">
        <v>44193</v>
      </c>
      <c r="C174" s="25" t="s">
        <v>659</v>
      </c>
      <c r="D174" s="25" t="s">
        <v>1122</v>
      </c>
      <c r="E174" s="161">
        <v>34</v>
      </c>
      <c r="F174" s="134">
        <v>125</v>
      </c>
      <c r="G174" s="50">
        <f t="shared" si="18"/>
        <v>4250</v>
      </c>
      <c r="H174" s="103"/>
      <c r="I174" s="144"/>
      <c r="J174" s="104"/>
      <c r="K174" s="103"/>
      <c r="L174" s="103">
        <v>1</v>
      </c>
      <c r="M174" s="141">
        <f t="shared" si="13"/>
        <v>33</v>
      </c>
      <c r="N174" s="103"/>
      <c r="O174" s="103" t="s">
        <v>945</v>
      </c>
      <c r="P174" s="137">
        <f t="shared" si="16"/>
        <v>4125</v>
      </c>
    </row>
    <row r="175" spans="1:16" s="92" customFormat="1" x14ac:dyDescent="0.3">
      <c r="A175" s="106" t="s">
        <v>403</v>
      </c>
      <c r="B175" s="102">
        <v>44193</v>
      </c>
      <c r="C175" s="25" t="s">
        <v>661</v>
      </c>
      <c r="D175" s="25" t="s">
        <v>1122</v>
      </c>
      <c r="E175" s="161">
        <v>106</v>
      </c>
      <c r="F175" s="134">
        <v>7</v>
      </c>
      <c r="G175" s="50">
        <f t="shared" si="18"/>
        <v>742</v>
      </c>
      <c r="H175" s="103"/>
      <c r="I175" s="144"/>
      <c r="J175" s="104"/>
      <c r="K175" s="103"/>
      <c r="L175" s="103">
        <v>5</v>
      </c>
      <c r="M175" s="141">
        <f t="shared" si="13"/>
        <v>101</v>
      </c>
      <c r="N175" s="103"/>
      <c r="O175" s="103" t="s">
        <v>945</v>
      </c>
      <c r="P175" s="137">
        <f t="shared" si="16"/>
        <v>707</v>
      </c>
    </row>
    <row r="176" spans="1:16" s="92" customFormat="1" x14ac:dyDescent="0.3">
      <c r="A176" s="106" t="s">
        <v>404</v>
      </c>
      <c r="B176" s="102">
        <v>44456</v>
      </c>
      <c r="C176" s="25" t="s">
        <v>662</v>
      </c>
      <c r="D176" s="25" t="s">
        <v>1122</v>
      </c>
      <c r="E176" s="161">
        <v>27</v>
      </c>
      <c r="F176" s="134">
        <v>7</v>
      </c>
      <c r="G176" s="50">
        <f t="shared" si="18"/>
        <v>189</v>
      </c>
      <c r="H176" s="103"/>
      <c r="I176" s="144"/>
      <c r="J176" s="104"/>
      <c r="K176" s="103"/>
      <c r="L176" s="103"/>
      <c r="M176" s="141">
        <f t="shared" ref="M176:M239" si="20">+E176+I176-L176</f>
        <v>27</v>
      </c>
      <c r="N176" s="103"/>
      <c r="O176" s="103" t="s">
        <v>945</v>
      </c>
      <c r="P176" s="137">
        <f t="shared" si="16"/>
        <v>189</v>
      </c>
    </row>
    <row r="177" spans="1:17" s="8" customFormat="1" ht="15.75" x14ac:dyDescent="0.25">
      <c r="A177" s="106" t="s">
        <v>405</v>
      </c>
      <c r="B177" s="102">
        <v>44193</v>
      </c>
      <c r="C177" s="25" t="s">
        <v>800</v>
      </c>
      <c r="D177" s="25" t="s">
        <v>1122</v>
      </c>
      <c r="E177" s="165">
        <f>6+6</f>
        <v>12</v>
      </c>
      <c r="F177" s="134">
        <v>135</v>
      </c>
      <c r="G177" s="50">
        <f t="shared" si="18"/>
        <v>1620</v>
      </c>
      <c r="H177" s="103"/>
      <c r="I177" s="144"/>
      <c r="J177" s="104"/>
      <c r="K177" s="103"/>
      <c r="L177" s="103"/>
      <c r="M177" s="141">
        <f t="shared" si="20"/>
        <v>12</v>
      </c>
      <c r="N177" s="103"/>
      <c r="O177" s="103" t="s">
        <v>946</v>
      </c>
      <c r="P177" s="137">
        <f t="shared" si="16"/>
        <v>1620</v>
      </c>
    </row>
    <row r="178" spans="1:17" s="8" customFormat="1" ht="15.75" x14ac:dyDescent="0.25">
      <c r="A178" s="106" t="s">
        <v>406</v>
      </c>
      <c r="B178" s="102">
        <v>44193</v>
      </c>
      <c r="C178" s="25" t="s">
        <v>663</v>
      </c>
      <c r="D178" s="25" t="s">
        <v>1122</v>
      </c>
      <c r="E178" s="164">
        <v>42</v>
      </c>
      <c r="F178" s="134">
        <v>115</v>
      </c>
      <c r="G178" s="50">
        <f t="shared" si="18"/>
        <v>4830</v>
      </c>
      <c r="H178" s="103"/>
      <c r="I178" s="144"/>
      <c r="J178" s="104"/>
      <c r="K178" s="103"/>
      <c r="L178" s="103"/>
      <c r="M178" s="141">
        <f t="shared" si="20"/>
        <v>42</v>
      </c>
      <c r="N178" s="103"/>
      <c r="O178" s="103" t="s">
        <v>946</v>
      </c>
      <c r="P178" s="137">
        <f t="shared" si="16"/>
        <v>4830</v>
      </c>
    </row>
    <row r="179" spans="1:17" s="92" customFormat="1" x14ac:dyDescent="0.3">
      <c r="A179" s="106" t="s">
        <v>407</v>
      </c>
      <c r="B179" s="129">
        <v>44903</v>
      </c>
      <c r="C179" s="25" t="s">
        <v>768</v>
      </c>
      <c r="D179" s="25" t="s">
        <v>1122</v>
      </c>
      <c r="E179" s="165">
        <v>104</v>
      </c>
      <c r="F179" s="134">
        <v>154.58000000000001</v>
      </c>
      <c r="G179" s="50">
        <f t="shared" si="18"/>
        <v>16076.320000000002</v>
      </c>
      <c r="H179" s="107">
        <v>44903</v>
      </c>
      <c r="I179" s="144">
        <f>20*4</f>
        <v>80</v>
      </c>
      <c r="J179" s="104">
        <v>154.58000000000001</v>
      </c>
      <c r="K179" s="108">
        <f>+I179*J179</f>
        <v>12366.400000000001</v>
      </c>
      <c r="L179" s="103">
        <f>13+4</f>
        <v>17</v>
      </c>
      <c r="M179" s="141">
        <f t="shared" si="20"/>
        <v>167</v>
      </c>
      <c r="N179" s="103"/>
      <c r="O179" s="103" t="s">
        <v>945</v>
      </c>
      <c r="P179" s="137">
        <f t="shared" si="16"/>
        <v>25814.86</v>
      </c>
    </row>
    <row r="180" spans="1:17" s="92" customFormat="1" x14ac:dyDescent="0.3">
      <c r="A180" s="106" t="s">
        <v>408</v>
      </c>
      <c r="B180" s="129">
        <v>45019</v>
      </c>
      <c r="C180" s="25" t="s">
        <v>769</v>
      </c>
      <c r="D180" s="25" t="s">
        <v>1173</v>
      </c>
      <c r="E180" s="165">
        <v>132</v>
      </c>
      <c r="F180" s="134">
        <v>139.04</v>
      </c>
      <c r="G180" s="50">
        <f t="shared" si="18"/>
        <v>18353.28</v>
      </c>
      <c r="H180" s="107">
        <v>45019</v>
      </c>
      <c r="I180" s="144">
        <f>10*6</f>
        <v>60</v>
      </c>
      <c r="J180" s="104">
        <v>139.04</v>
      </c>
      <c r="K180" s="108">
        <f>+I180*J180</f>
        <v>8342.4</v>
      </c>
      <c r="L180" s="103">
        <f>4+1+1+1</f>
        <v>7</v>
      </c>
      <c r="M180" s="141">
        <f>+E180+I180-L180</f>
        <v>185</v>
      </c>
      <c r="N180" s="154"/>
      <c r="O180" s="103" t="s">
        <v>945</v>
      </c>
      <c r="P180" s="137">
        <f t="shared" si="16"/>
        <v>25722.399999999998</v>
      </c>
      <c r="Q180" s="156">
        <v>24</v>
      </c>
    </row>
    <row r="181" spans="1:17" s="8" customFormat="1" ht="15.75" x14ac:dyDescent="0.25">
      <c r="A181" s="106" t="s">
        <v>409</v>
      </c>
      <c r="B181" s="102">
        <v>44193</v>
      </c>
      <c r="C181" s="25" t="s">
        <v>796</v>
      </c>
      <c r="D181" s="25" t="s">
        <v>1122</v>
      </c>
      <c r="E181" s="162">
        <v>3</v>
      </c>
      <c r="F181" s="134">
        <v>352</v>
      </c>
      <c r="G181" s="50">
        <f t="shared" si="18"/>
        <v>1056</v>
      </c>
      <c r="H181" s="103"/>
      <c r="I181" s="144"/>
      <c r="J181" s="104"/>
      <c r="K181" s="103"/>
      <c r="L181" s="103"/>
      <c r="M181" s="141">
        <f t="shared" si="20"/>
        <v>3</v>
      </c>
      <c r="N181" s="103"/>
      <c r="O181" s="103" t="s">
        <v>946</v>
      </c>
      <c r="P181" s="137">
        <f t="shared" si="16"/>
        <v>1056</v>
      </c>
    </row>
    <row r="182" spans="1:17" s="8" customFormat="1" ht="15.75" x14ac:dyDescent="0.25">
      <c r="A182" s="106" t="s">
        <v>410</v>
      </c>
      <c r="B182" s="102">
        <v>44193</v>
      </c>
      <c r="C182" s="25" t="s">
        <v>670</v>
      </c>
      <c r="D182" s="25" t="s">
        <v>1122</v>
      </c>
      <c r="E182" s="164">
        <f>38+19</f>
        <v>57</v>
      </c>
      <c r="F182" s="134">
        <v>67.8</v>
      </c>
      <c r="G182" s="50">
        <f t="shared" si="18"/>
        <v>3864.6</v>
      </c>
      <c r="H182" s="103"/>
      <c r="I182" s="144"/>
      <c r="J182" s="104"/>
      <c r="K182" s="103"/>
      <c r="L182" s="103"/>
      <c r="M182" s="141">
        <f t="shared" si="20"/>
        <v>57</v>
      </c>
      <c r="N182" s="103"/>
      <c r="O182" s="103" t="s">
        <v>946</v>
      </c>
      <c r="P182" s="137">
        <f t="shared" si="16"/>
        <v>3864.6</v>
      </c>
    </row>
    <row r="183" spans="1:17" s="8" customFormat="1" ht="15.75" x14ac:dyDescent="0.25">
      <c r="A183" s="106" t="s">
        <v>411</v>
      </c>
      <c r="B183" s="102">
        <v>44193</v>
      </c>
      <c r="C183" s="25" t="s">
        <v>671</v>
      </c>
      <c r="D183" s="25" t="s">
        <v>1122</v>
      </c>
      <c r="E183" s="164">
        <f>19+19</f>
        <v>38</v>
      </c>
      <c r="F183" s="134">
        <v>67.8</v>
      </c>
      <c r="G183" s="50">
        <f t="shared" si="18"/>
        <v>2576.4</v>
      </c>
      <c r="H183" s="103"/>
      <c r="I183" s="144"/>
      <c r="J183" s="104"/>
      <c r="K183" s="103"/>
      <c r="L183" s="103"/>
      <c r="M183" s="141">
        <f t="shared" si="20"/>
        <v>38</v>
      </c>
      <c r="N183" s="103"/>
      <c r="O183" s="103" t="s">
        <v>946</v>
      </c>
      <c r="P183" s="137">
        <f t="shared" si="16"/>
        <v>2576.4</v>
      </c>
    </row>
    <row r="184" spans="1:17" s="8" customFormat="1" ht="15.75" x14ac:dyDescent="0.25">
      <c r="A184" s="106" t="s">
        <v>412</v>
      </c>
      <c r="B184" s="102">
        <v>44193</v>
      </c>
      <c r="C184" s="25" t="s">
        <v>669</v>
      </c>
      <c r="D184" s="25" t="s">
        <v>1122</v>
      </c>
      <c r="E184" s="165">
        <v>0</v>
      </c>
      <c r="F184" s="134">
        <v>67.8</v>
      </c>
      <c r="G184" s="50">
        <f t="shared" si="18"/>
        <v>0</v>
      </c>
      <c r="H184" s="103"/>
      <c r="I184" s="144"/>
      <c r="J184" s="104"/>
      <c r="K184" s="103"/>
      <c r="L184" s="103"/>
      <c r="M184" s="141">
        <f t="shared" si="20"/>
        <v>0</v>
      </c>
      <c r="N184" s="103"/>
      <c r="O184" s="103" t="s">
        <v>946</v>
      </c>
      <c r="P184" s="137">
        <f t="shared" si="16"/>
        <v>0</v>
      </c>
    </row>
    <row r="185" spans="1:17" s="8" customFormat="1" ht="15.75" x14ac:dyDescent="0.25">
      <c r="A185" s="106" t="s">
        <v>413</v>
      </c>
      <c r="B185" s="102">
        <v>44193</v>
      </c>
      <c r="C185" s="9" t="s">
        <v>672</v>
      </c>
      <c r="D185" s="25" t="s">
        <v>1122</v>
      </c>
      <c r="E185" s="164">
        <v>50</v>
      </c>
      <c r="F185" s="134">
        <v>170.69</v>
      </c>
      <c r="G185" s="50">
        <f t="shared" si="18"/>
        <v>8534.5</v>
      </c>
      <c r="H185" s="103"/>
      <c r="I185" s="144"/>
      <c r="J185" s="104"/>
      <c r="K185" s="103"/>
      <c r="L185" s="103"/>
      <c r="M185" s="141">
        <f t="shared" si="20"/>
        <v>50</v>
      </c>
      <c r="N185" s="103"/>
      <c r="O185" s="103" t="s">
        <v>947</v>
      </c>
      <c r="P185" s="137">
        <f t="shared" si="16"/>
        <v>8534.5</v>
      </c>
    </row>
    <row r="186" spans="1:17" s="8" customFormat="1" ht="15.75" x14ac:dyDescent="0.25">
      <c r="A186" s="106" t="s">
        <v>414</v>
      </c>
      <c r="B186" s="102">
        <v>44193</v>
      </c>
      <c r="C186" s="9" t="s">
        <v>673</v>
      </c>
      <c r="D186" s="25" t="s">
        <v>1122</v>
      </c>
      <c r="E186" s="164">
        <v>1040</v>
      </c>
      <c r="F186" s="134">
        <v>170.69</v>
      </c>
      <c r="G186" s="50">
        <f t="shared" si="18"/>
        <v>177517.6</v>
      </c>
      <c r="H186" s="103"/>
      <c r="I186" s="144"/>
      <c r="J186" s="104"/>
      <c r="K186" s="103"/>
      <c r="L186" s="103"/>
      <c r="M186" s="141">
        <f t="shared" si="20"/>
        <v>1040</v>
      </c>
      <c r="N186" s="103"/>
      <c r="O186" s="103" t="s">
        <v>947</v>
      </c>
      <c r="P186" s="137">
        <f t="shared" si="16"/>
        <v>177517.6</v>
      </c>
    </row>
    <row r="187" spans="1:17" s="8" customFormat="1" ht="15.75" x14ac:dyDescent="0.25">
      <c r="A187" s="106" t="s">
        <v>415</v>
      </c>
      <c r="B187" s="102">
        <v>44193</v>
      </c>
      <c r="C187" s="9" t="s">
        <v>674</v>
      </c>
      <c r="D187" s="25" t="s">
        <v>1122</v>
      </c>
      <c r="E187" s="169">
        <v>1</v>
      </c>
      <c r="F187" s="134">
        <v>170.69</v>
      </c>
      <c r="G187" s="50">
        <f t="shared" si="18"/>
        <v>170.69</v>
      </c>
      <c r="H187" s="103"/>
      <c r="I187" s="144"/>
      <c r="J187" s="104"/>
      <c r="K187" s="103"/>
      <c r="L187" s="103"/>
      <c r="M187" s="141">
        <f t="shared" si="20"/>
        <v>1</v>
      </c>
      <c r="N187" s="103"/>
      <c r="O187" s="103" t="s">
        <v>947</v>
      </c>
      <c r="P187" s="137">
        <f t="shared" si="16"/>
        <v>170.69</v>
      </c>
    </row>
    <row r="188" spans="1:17" s="8" customFormat="1" ht="15.75" x14ac:dyDescent="0.25">
      <c r="A188" s="106" t="s">
        <v>416</v>
      </c>
      <c r="B188" s="102">
        <v>44193</v>
      </c>
      <c r="C188" s="9" t="s">
        <v>675</v>
      </c>
      <c r="D188" s="25" t="s">
        <v>1122</v>
      </c>
      <c r="E188" s="161">
        <v>300</v>
      </c>
      <c r="F188" s="134">
        <v>6.5</v>
      </c>
      <c r="G188" s="50">
        <f t="shared" si="18"/>
        <v>1950</v>
      </c>
      <c r="H188" s="103"/>
      <c r="I188" s="144"/>
      <c r="J188" s="104"/>
      <c r="K188" s="103"/>
      <c r="L188" s="103">
        <v>5</v>
      </c>
      <c r="M188" s="141">
        <f t="shared" si="20"/>
        <v>295</v>
      </c>
      <c r="N188" s="103"/>
      <c r="O188" s="103" t="s">
        <v>947</v>
      </c>
      <c r="P188" s="137">
        <f t="shared" si="16"/>
        <v>1917.5</v>
      </c>
    </row>
    <row r="189" spans="1:17" s="8" customFormat="1" ht="15.75" x14ac:dyDescent="0.25">
      <c r="A189" s="106" t="s">
        <v>417</v>
      </c>
      <c r="B189" s="102">
        <v>44193</v>
      </c>
      <c r="C189" s="9" t="s">
        <v>676</v>
      </c>
      <c r="D189" s="25" t="s">
        <v>1122</v>
      </c>
      <c r="E189" s="161">
        <v>2</v>
      </c>
      <c r="F189" s="134">
        <v>3.5</v>
      </c>
      <c r="G189" s="50">
        <f t="shared" si="18"/>
        <v>7</v>
      </c>
      <c r="H189" s="103"/>
      <c r="I189" s="144"/>
      <c r="J189" s="104"/>
      <c r="K189" s="103"/>
      <c r="L189" s="103"/>
      <c r="M189" s="141">
        <f t="shared" si="20"/>
        <v>2</v>
      </c>
      <c r="N189" s="103"/>
      <c r="O189" s="103" t="s">
        <v>947</v>
      </c>
      <c r="P189" s="137">
        <f t="shared" si="16"/>
        <v>7</v>
      </c>
    </row>
    <row r="190" spans="1:17" s="8" customFormat="1" ht="15.75" x14ac:dyDescent="0.25">
      <c r="A190" s="106" t="s">
        <v>418</v>
      </c>
      <c r="B190" s="102">
        <v>44193</v>
      </c>
      <c r="C190" s="25" t="s">
        <v>678</v>
      </c>
      <c r="D190" s="25" t="s">
        <v>1122</v>
      </c>
      <c r="E190" s="161">
        <v>5</v>
      </c>
      <c r="F190" s="134">
        <v>5000</v>
      </c>
      <c r="G190" s="50">
        <f t="shared" si="18"/>
        <v>25000</v>
      </c>
      <c r="H190" s="103"/>
      <c r="I190" s="144"/>
      <c r="J190" s="104"/>
      <c r="K190" s="103"/>
      <c r="L190" s="103"/>
      <c r="M190" s="141">
        <f t="shared" si="20"/>
        <v>5</v>
      </c>
      <c r="N190" s="103"/>
      <c r="O190" s="103" t="s">
        <v>946</v>
      </c>
      <c r="P190" s="137">
        <f t="shared" si="16"/>
        <v>25000</v>
      </c>
    </row>
    <row r="191" spans="1:17" s="8" customFormat="1" ht="15.75" x14ac:dyDescent="0.25">
      <c r="A191" s="106" t="s">
        <v>419</v>
      </c>
      <c r="B191" s="102">
        <v>44193</v>
      </c>
      <c r="C191" s="25" t="s">
        <v>677</v>
      </c>
      <c r="D191" s="25" t="s">
        <v>1122</v>
      </c>
      <c r="E191" s="161">
        <v>2</v>
      </c>
      <c r="F191" s="134">
        <v>10800</v>
      </c>
      <c r="G191" s="50">
        <f t="shared" si="18"/>
        <v>21600</v>
      </c>
      <c r="H191" s="103"/>
      <c r="I191" s="144"/>
      <c r="J191" s="104"/>
      <c r="K191" s="103"/>
      <c r="L191" s="103"/>
      <c r="M191" s="141">
        <f t="shared" si="20"/>
        <v>2</v>
      </c>
      <c r="N191" s="103"/>
      <c r="O191" s="103" t="s">
        <v>946</v>
      </c>
      <c r="P191" s="137">
        <f t="shared" si="16"/>
        <v>21600</v>
      </c>
    </row>
    <row r="192" spans="1:17" s="8" customFormat="1" ht="15.75" x14ac:dyDescent="0.25">
      <c r="A192" s="106" t="s">
        <v>420</v>
      </c>
      <c r="B192" s="102">
        <v>44193</v>
      </c>
      <c r="C192" s="9" t="s">
        <v>679</v>
      </c>
      <c r="D192" s="25" t="s">
        <v>1122</v>
      </c>
      <c r="E192" s="162">
        <v>29</v>
      </c>
      <c r="F192" s="134">
        <v>33</v>
      </c>
      <c r="G192" s="50">
        <f t="shared" si="18"/>
        <v>957</v>
      </c>
      <c r="H192" s="103"/>
      <c r="I192" s="144"/>
      <c r="J192" s="104"/>
      <c r="K192" s="103"/>
      <c r="L192" s="103"/>
      <c r="M192" s="141">
        <f t="shared" si="20"/>
        <v>29</v>
      </c>
      <c r="N192" s="103"/>
      <c r="O192" s="103" t="s">
        <v>947</v>
      </c>
      <c r="P192" s="137">
        <f t="shared" si="16"/>
        <v>957</v>
      </c>
    </row>
    <row r="193" spans="1:16" s="8" customFormat="1" ht="15.75" x14ac:dyDescent="0.25">
      <c r="A193" s="106" t="s">
        <v>421</v>
      </c>
      <c r="B193" s="129">
        <v>45042</v>
      </c>
      <c r="C193" s="9" t="s">
        <v>1035</v>
      </c>
      <c r="D193" s="25" t="s">
        <v>1122</v>
      </c>
      <c r="E193" s="161">
        <f>8*12</f>
        <v>96</v>
      </c>
      <c r="F193" s="134">
        <v>15</v>
      </c>
      <c r="G193" s="50">
        <f t="shared" si="18"/>
        <v>1440</v>
      </c>
      <c r="H193" s="107">
        <v>45042</v>
      </c>
      <c r="I193" s="144">
        <f>20*12</f>
        <v>240</v>
      </c>
      <c r="J193" s="104">
        <v>11.51</v>
      </c>
      <c r="K193" s="104">
        <f>+J193*I193</f>
        <v>2762.4</v>
      </c>
      <c r="L193" s="103">
        <f>12+6+12+12+12+12+12</f>
        <v>78</v>
      </c>
      <c r="M193" s="151">
        <f t="shared" si="20"/>
        <v>258</v>
      </c>
      <c r="N193" s="103"/>
      <c r="O193" s="103" t="s">
        <v>947</v>
      </c>
      <c r="P193" s="137">
        <f t="shared" si="16"/>
        <v>3870</v>
      </c>
    </row>
    <row r="194" spans="1:16" s="8" customFormat="1" ht="15.75" x14ac:dyDescent="0.25">
      <c r="A194" s="106" t="s">
        <v>422</v>
      </c>
      <c r="B194" s="102">
        <v>44547</v>
      </c>
      <c r="C194" s="9" t="s">
        <v>777</v>
      </c>
      <c r="D194" s="25" t="s">
        <v>1122</v>
      </c>
      <c r="E194" s="161">
        <v>27</v>
      </c>
      <c r="F194" s="134">
        <v>8.34</v>
      </c>
      <c r="G194" s="50">
        <f t="shared" si="18"/>
        <v>225.18</v>
      </c>
      <c r="H194" s="103"/>
      <c r="I194" s="144"/>
      <c r="J194" s="104"/>
      <c r="K194" s="103"/>
      <c r="L194" s="103"/>
      <c r="M194" s="141">
        <f t="shared" si="20"/>
        <v>27</v>
      </c>
      <c r="N194" s="103"/>
      <c r="O194" s="103" t="s">
        <v>947</v>
      </c>
      <c r="P194" s="137">
        <f t="shared" si="16"/>
        <v>225.18</v>
      </c>
    </row>
    <row r="195" spans="1:16" s="8" customFormat="1" ht="15.75" x14ac:dyDescent="0.25">
      <c r="A195" s="106" t="s">
        <v>423</v>
      </c>
      <c r="B195" s="102">
        <v>44193</v>
      </c>
      <c r="C195" s="9" t="s">
        <v>1222</v>
      </c>
      <c r="D195" s="25" t="s">
        <v>1122</v>
      </c>
      <c r="E195" s="161">
        <f>12+8</f>
        <v>20</v>
      </c>
      <c r="F195" s="134">
        <v>8.34</v>
      </c>
      <c r="G195" s="50">
        <f t="shared" si="18"/>
        <v>166.8</v>
      </c>
      <c r="H195" s="103"/>
      <c r="I195" s="144">
        <v>12</v>
      </c>
      <c r="J195" s="104"/>
      <c r="K195" s="103"/>
      <c r="L195" s="103"/>
      <c r="M195" s="151">
        <f t="shared" si="20"/>
        <v>32</v>
      </c>
      <c r="N195" s="103"/>
      <c r="O195" s="103" t="s">
        <v>947</v>
      </c>
      <c r="P195" s="137">
        <f t="shared" si="16"/>
        <v>266.88</v>
      </c>
    </row>
    <row r="196" spans="1:16" s="8" customFormat="1" ht="15.75" x14ac:dyDescent="0.25">
      <c r="A196" s="106" t="s">
        <v>424</v>
      </c>
      <c r="B196" s="102">
        <v>45042</v>
      </c>
      <c r="C196" s="9" t="s">
        <v>681</v>
      </c>
      <c r="D196" s="25" t="s">
        <v>1122</v>
      </c>
      <c r="E196" s="161">
        <v>139</v>
      </c>
      <c r="F196" s="134">
        <v>5.6</v>
      </c>
      <c r="G196" s="50">
        <f t="shared" si="18"/>
        <v>778.4</v>
      </c>
      <c r="H196" s="103"/>
      <c r="I196" s="144">
        <f>20*12</f>
        <v>240</v>
      </c>
      <c r="J196" s="104">
        <v>4.43</v>
      </c>
      <c r="K196" s="104">
        <f>+J196*I196</f>
        <v>1063.1999999999998</v>
      </c>
      <c r="L196" s="103">
        <f>188+3+12+4</f>
        <v>207</v>
      </c>
      <c r="M196" s="151">
        <f t="shared" si="20"/>
        <v>172</v>
      </c>
      <c r="N196" s="103"/>
      <c r="O196" s="103" t="s">
        <v>947</v>
      </c>
      <c r="P196" s="137">
        <f t="shared" si="16"/>
        <v>963.19999999999993</v>
      </c>
    </row>
    <row r="197" spans="1:16" s="92" customFormat="1" x14ac:dyDescent="0.3">
      <c r="A197" s="106" t="s">
        <v>425</v>
      </c>
      <c r="B197" s="102">
        <v>44193</v>
      </c>
      <c r="C197" s="9" t="s">
        <v>684</v>
      </c>
      <c r="D197" s="25" t="s">
        <v>1122</v>
      </c>
      <c r="E197" s="161">
        <v>79</v>
      </c>
      <c r="F197" s="134">
        <v>160</v>
      </c>
      <c r="G197" s="50">
        <f t="shared" si="18"/>
        <v>12640</v>
      </c>
      <c r="H197" s="103"/>
      <c r="I197" s="144"/>
      <c r="J197" s="104"/>
      <c r="K197" s="103"/>
      <c r="L197" s="103">
        <v>1</v>
      </c>
      <c r="M197" s="141">
        <f t="shared" si="20"/>
        <v>78</v>
      </c>
      <c r="N197" s="103"/>
      <c r="O197" s="103" t="s">
        <v>945</v>
      </c>
      <c r="P197" s="137">
        <f t="shared" si="16"/>
        <v>12480</v>
      </c>
    </row>
    <row r="198" spans="1:16" s="105" customFormat="1" ht="15.75" x14ac:dyDescent="0.25">
      <c r="A198" s="106" t="s">
        <v>426</v>
      </c>
      <c r="B198" s="129">
        <v>45042</v>
      </c>
      <c r="C198" s="9" t="s">
        <v>787</v>
      </c>
      <c r="D198" s="25" t="s">
        <v>1122</v>
      </c>
      <c r="E198" s="161">
        <v>18</v>
      </c>
      <c r="F198" s="134">
        <v>38.65</v>
      </c>
      <c r="G198" s="50">
        <f t="shared" si="18"/>
        <v>695.69999999999993</v>
      </c>
      <c r="H198" s="107"/>
      <c r="I198" s="144">
        <v>10</v>
      </c>
      <c r="J198" s="104">
        <v>58</v>
      </c>
      <c r="K198" s="103">
        <f>+J198*I198</f>
        <v>580</v>
      </c>
      <c r="L198" s="103">
        <v>3</v>
      </c>
      <c r="M198" s="151">
        <f t="shared" si="20"/>
        <v>25</v>
      </c>
      <c r="N198" s="103" t="s">
        <v>1037</v>
      </c>
      <c r="O198" s="103" t="s">
        <v>947</v>
      </c>
      <c r="P198" s="137">
        <f t="shared" si="16"/>
        <v>966.25</v>
      </c>
    </row>
    <row r="199" spans="1:16" s="8" customFormat="1" ht="15.75" x14ac:dyDescent="0.25">
      <c r="A199" s="106" t="s">
        <v>427</v>
      </c>
      <c r="B199" s="102"/>
      <c r="C199" s="25" t="s">
        <v>1224</v>
      </c>
      <c r="D199" s="25" t="s">
        <v>1122</v>
      </c>
      <c r="E199" s="162">
        <v>56</v>
      </c>
      <c r="F199" s="134"/>
      <c r="G199" s="50"/>
      <c r="H199" s="103"/>
      <c r="I199" s="144"/>
      <c r="J199" s="104"/>
      <c r="K199" s="103"/>
      <c r="L199" s="103"/>
      <c r="M199" s="141">
        <f t="shared" si="20"/>
        <v>56</v>
      </c>
      <c r="N199" s="103"/>
      <c r="O199" s="103" t="s">
        <v>947</v>
      </c>
      <c r="P199" s="137">
        <f t="shared" si="16"/>
        <v>0</v>
      </c>
    </row>
    <row r="200" spans="1:16" s="105" customFormat="1" ht="15.75" x14ac:dyDescent="0.25">
      <c r="A200" s="106" t="s">
        <v>428</v>
      </c>
      <c r="B200" s="129">
        <v>45042</v>
      </c>
      <c r="C200" s="9" t="s">
        <v>780</v>
      </c>
      <c r="D200" s="25" t="s">
        <v>1122</v>
      </c>
      <c r="E200" s="161">
        <v>8</v>
      </c>
      <c r="F200" s="171">
        <v>310.33999999999997</v>
      </c>
      <c r="G200" s="50">
        <f>E200*F200</f>
        <v>2482.7199999999998</v>
      </c>
      <c r="H200" s="107">
        <v>45042</v>
      </c>
      <c r="I200" s="144">
        <v>10</v>
      </c>
      <c r="J200" s="104">
        <v>310.33999999999997</v>
      </c>
      <c r="K200" s="104">
        <f>+J200*I200</f>
        <v>3103.3999999999996</v>
      </c>
      <c r="L200" s="103">
        <v>1</v>
      </c>
      <c r="M200" s="151">
        <f t="shared" si="20"/>
        <v>17</v>
      </c>
      <c r="N200" s="103" t="s">
        <v>1037</v>
      </c>
      <c r="O200" s="103" t="s">
        <v>947</v>
      </c>
      <c r="P200" s="137">
        <f t="shared" si="16"/>
        <v>5275.78</v>
      </c>
    </row>
    <row r="201" spans="1:16" s="8" customFormat="1" ht="15.75" x14ac:dyDescent="0.25">
      <c r="A201" s="106" t="s">
        <v>429</v>
      </c>
      <c r="B201" s="102"/>
      <c r="C201" s="25" t="s">
        <v>783</v>
      </c>
      <c r="D201" s="25" t="s">
        <v>1122</v>
      </c>
      <c r="E201" s="162">
        <v>15</v>
      </c>
      <c r="F201" s="134"/>
      <c r="G201" s="50"/>
      <c r="H201" s="103"/>
      <c r="I201" s="144"/>
      <c r="J201" s="104"/>
      <c r="K201" s="103"/>
      <c r="L201" s="103"/>
      <c r="M201" s="141">
        <f t="shared" si="20"/>
        <v>15</v>
      </c>
      <c r="N201" s="103"/>
      <c r="O201" s="103" t="s">
        <v>947</v>
      </c>
      <c r="P201" s="137">
        <f t="shared" si="16"/>
        <v>0</v>
      </c>
    </row>
    <row r="202" spans="1:16" s="8" customFormat="1" ht="15.75" x14ac:dyDescent="0.25">
      <c r="A202" s="106" t="s">
        <v>430</v>
      </c>
      <c r="B202" s="102">
        <v>44193</v>
      </c>
      <c r="C202" s="9" t="s">
        <v>687</v>
      </c>
      <c r="D202" s="25" t="s">
        <v>1122</v>
      </c>
      <c r="E202" s="165">
        <v>2</v>
      </c>
      <c r="F202" s="134">
        <v>175</v>
      </c>
      <c r="G202" s="50">
        <f t="shared" ref="G202:G260" si="21">E202*F202</f>
        <v>350</v>
      </c>
      <c r="H202" s="103"/>
      <c r="I202" s="144"/>
      <c r="J202" s="104"/>
      <c r="K202" s="103"/>
      <c r="L202" s="103"/>
      <c r="M202" s="141">
        <f t="shared" si="20"/>
        <v>2</v>
      </c>
      <c r="N202" s="103"/>
      <c r="O202" s="103" t="s">
        <v>947</v>
      </c>
      <c r="P202" s="137">
        <f t="shared" si="16"/>
        <v>350</v>
      </c>
    </row>
    <row r="203" spans="1:16" s="8" customFormat="1" ht="15.75" x14ac:dyDescent="0.25">
      <c r="A203" s="106" t="s">
        <v>431</v>
      </c>
      <c r="B203" s="102">
        <v>44193</v>
      </c>
      <c r="C203" s="25" t="s">
        <v>695</v>
      </c>
      <c r="D203" s="25" t="s">
        <v>1122</v>
      </c>
      <c r="E203" s="162">
        <v>1</v>
      </c>
      <c r="F203" s="134">
        <v>270.55</v>
      </c>
      <c r="G203" s="50">
        <f t="shared" si="21"/>
        <v>270.55</v>
      </c>
      <c r="H203" s="103"/>
      <c r="I203" s="144"/>
      <c r="J203" s="104"/>
      <c r="K203" s="103"/>
      <c r="L203" s="103"/>
      <c r="M203" s="141">
        <f t="shared" si="20"/>
        <v>1</v>
      </c>
      <c r="N203" s="103"/>
      <c r="O203" s="103" t="s">
        <v>946</v>
      </c>
      <c r="P203" s="137">
        <f t="shared" si="16"/>
        <v>270.55</v>
      </c>
    </row>
    <row r="204" spans="1:16" s="8" customFormat="1" ht="15.75" x14ac:dyDescent="0.25">
      <c r="A204" s="106" t="s">
        <v>432</v>
      </c>
      <c r="B204" s="102">
        <v>44193</v>
      </c>
      <c r="C204" s="25" t="s">
        <v>688</v>
      </c>
      <c r="D204" s="25" t="s">
        <v>1122</v>
      </c>
      <c r="E204" s="166">
        <v>3</v>
      </c>
      <c r="F204" s="134">
        <v>79.8</v>
      </c>
      <c r="G204" s="50">
        <f t="shared" si="21"/>
        <v>239.39999999999998</v>
      </c>
      <c r="H204" s="103"/>
      <c r="I204" s="144"/>
      <c r="J204" s="104"/>
      <c r="K204" s="103"/>
      <c r="L204" s="103"/>
      <c r="M204" s="141">
        <f t="shared" si="20"/>
        <v>3</v>
      </c>
      <c r="N204" s="103"/>
      <c r="O204" s="103" t="s">
        <v>946</v>
      </c>
      <c r="P204" s="137">
        <f t="shared" si="16"/>
        <v>239.39999999999998</v>
      </c>
    </row>
    <row r="205" spans="1:16" s="8" customFormat="1" ht="15.75" x14ac:dyDescent="0.25">
      <c r="A205" s="106" t="s">
        <v>433</v>
      </c>
      <c r="B205" s="102">
        <v>44193</v>
      </c>
      <c r="C205" s="25" t="s">
        <v>689</v>
      </c>
      <c r="D205" s="25" t="s">
        <v>1122</v>
      </c>
      <c r="E205" s="164">
        <v>7</v>
      </c>
      <c r="F205" s="134">
        <v>79.8</v>
      </c>
      <c r="G205" s="50">
        <f t="shared" si="21"/>
        <v>558.6</v>
      </c>
      <c r="H205" s="103"/>
      <c r="I205" s="144"/>
      <c r="J205" s="104"/>
      <c r="K205" s="103"/>
      <c r="L205" s="103"/>
      <c r="M205" s="141">
        <f t="shared" si="20"/>
        <v>7</v>
      </c>
      <c r="N205" s="103"/>
      <c r="O205" s="103" t="s">
        <v>946</v>
      </c>
      <c r="P205" s="137">
        <f t="shared" si="16"/>
        <v>558.6</v>
      </c>
    </row>
    <row r="206" spans="1:16" s="8" customFormat="1" ht="15.75" x14ac:dyDescent="0.25">
      <c r="A206" s="106" t="s">
        <v>434</v>
      </c>
      <c r="B206" s="102">
        <v>44193</v>
      </c>
      <c r="C206" s="25" t="s">
        <v>690</v>
      </c>
      <c r="D206" s="25" t="s">
        <v>1122</v>
      </c>
      <c r="E206" s="170">
        <v>7</v>
      </c>
      <c r="F206" s="134">
        <v>62.93</v>
      </c>
      <c r="G206" s="50">
        <f t="shared" si="21"/>
        <v>440.51</v>
      </c>
      <c r="H206" s="103"/>
      <c r="I206" s="144"/>
      <c r="J206" s="104"/>
      <c r="K206" s="103"/>
      <c r="L206" s="103"/>
      <c r="M206" s="141">
        <f t="shared" si="20"/>
        <v>7</v>
      </c>
      <c r="N206" s="103"/>
      <c r="O206" s="103" t="s">
        <v>946</v>
      </c>
      <c r="P206" s="137">
        <f t="shared" si="16"/>
        <v>440.51</v>
      </c>
    </row>
    <row r="207" spans="1:16" s="8" customFormat="1" ht="15.75" x14ac:dyDescent="0.25">
      <c r="A207" s="106" t="s">
        <v>435</v>
      </c>
      <c r="B207" s="102">
        <v>44193</v>
      </c>
      <c r="C207" s="25" t="s">
        <v>691</v>
      </c>
      <c r="D207" s="25" t="s">
        <v>1122</v>
      </c>
      <c r="E207" s="170">
        <v>21</v>
      </c>
      <c r="F207" s="134">
        <v>165</v>
      </c>
      <c r="G207" s="50">
        <f t="shared" si="21"/>
        <v>3465</v>
      </c>
      <c r="H207" s="103"/>
      <c r="I207" s="144"/>
      <c r="J207" s="104"/>
      <c r="K207" s="103"/>
      <c r="L207" s="103"/>
      <c r="M207" s="141">
        <f t="shared" si="20"/>
        <v>21</v>
      </c>
      <c r="N207" s="103"/>
      <c r="O207" s="103" t="s">
        <v>946</v>
      </c>
      <c r="P207" s="137">
        <f t="shared" si="16"/>
        <v>3465</v>
      </c>
    </row>
    <row r="208" spans="1:16" s="8" customFormat="1" ht="15.75" x14ac:dyDescent="0.25">
      <c r="A208" s="106" t="s">
        <v>436</v>
      </c>
      <c r="B208" s="102">
        <v>44193</v>
      </c>
      <c r="C208" s="25" t="s">
        <v>791</v>
      </c>
      <c r="D208" s="25" t="s">
        <v>1122</v>
      </c>
      <c r="E208" s="162">
        <v>18</v>
      </c>
      <c r="F208" s="134">
        <v>52</v>
      </c>
      <c r="G208" s="50">
        <f t="shared" si="21"/>
        <v>936</v>
      </c>
      <c r="H208" s="103"/>
      <c r="I208" s="144"/>
      <c r="J208" s="104"/>
      <c r="K208" s="103"/>
      <c r="L208" s="103">
        <v>1</v>
      </c>
      <c r="M208" s="141">
        <f t="shared" si="20"/>
        <v>17</v>
      </c>
      <c r="N208" s="103"/>
      <c r="O208" s="103" t="s">
        <v>946</v>
      </c>
      <c r="P208" s="137">
        <f t="shared" si="16"/>
        <v>884</v>
      </c>
    </row>
    <row r="209" spans="1:16" s="8" customFormat="1" ht="15.75" x14ac:dyDescent="0.25">
      <c r="A209" s="106" t="s">
        <v>437</v>
      </c>
      <c r="B209" s="102">
        <v>44193</v>
      </c>
      <c r="C209" s="25" t="s">
        <v>790</v>
      </c>
      <c r="D209" s="25" t="s">
        <v>1122</v>
      </c>
      <c r="E209" s="162">
        <v>11</v>
      </c>
      <c r="F209" s="134">
        <v>79.8</v>
      </c>
      <c r="G209" s="50">
        <f t="shared" si="21"/>
        <v>877.8</v>
      </c>
      <c r="H209" s="103"/>
      <c r="I209" s="144"/>
      <c r="J209" s="104"/>
      <c r="K209" s="103"/>
      <c r="L209" s="103"/>
      <c r="M209" s="141">
        <f t="shared" si="20"/>
        <v>11</v>
      </c>
      <c r="N209" s="103"/>
      <c r="O209" s="103" t="s">
        <v>946</v>
      </c>
      <c r="P209" s="137">
        <f t="shared" si="16"/>
        <v>877.8</v>
      </c>
    </row>
    <row r="210" spans="1:16" s="8" customFormat="1" ht="15.75" x14ac:dyDescent="0.25">
      <c r="A210" s="106" t="s">
        <v>438</v>
      </c>
      <c r="B210" s="102">
        <v>44193</v>
      </c>
      <c r="C210" s="25" t="s">
        <v>693</v>
      </c>
      <c r="D210" s="25" t="s">
        <v>1122</v>
      </c>
      <c r="E210" s="162">
        <v>1</v>
      </c>
      <c r="F210" s="134">
        <v>2075</v>
      </c>
      <c r="G210" s="50">
        <f t="shared" si="21"/>
        <v>2075</v>
      </c>
      <c r="H210" s="103"/>
      <c r="I210" s="144"/>
      <c r="J210" s="104"/>
      <c r="K210" s="103"/>
      <c r="L210" s="103"/>
      <c r="M210" s="141">
        <f t="shared" si="20"/>
        <v>1</v>
      </c>
      <c r="N210" s="103"/>
      <c r="O210" s="103" t="s">
        <v>946</v>
      </c>
      <c r="P210" s="137">
        <f t="shared" si="16"/>
        <v>2075</v>
      </c>
    </row>
    <row r="211" spans="1:16" s="8" customFormat="1" ht="15.75" x14ac:dyDescent="0.25">
      <c r="A211" s="106" t="s">
        <v>439</v>
      </c>
      <c r="B211" s="102">
        <v>44193</v>
      </c>
      <c r="C211" s="25" t="s">
        <v>692</v>
      </c>
      <c r="D211" s="25" t="s">
        <v>1122</v>
      </c>
      <c r="E211" s="170">
        <v>18</v>
      </c>
      <c r="F211" s="134">
        <v>165</v>
      </c>
      <c r="G211" s="50">
        <f t="shared" si="21"/>
        <v>2970</v>
      </c>
      <c r="H211" s="103"/>
      <c r="I211" s="144"/>
      <c r="J211" s="104"/>
      <c r="K211" s="103"/>
      <c r="L211" s="103"/>
      <c r="M211" s="141">
        <f t="shared" si="20"/>
        <v>18</v>
      </c>
      <c r="N211" s="103"/>
      <c r="O211" s="103" t="s">
        <v>946</v>
      </c>
      <c r="P211" s="137">
        <f t="shared" si="16"/>
        <v>2970</v>
      </c>
    </row>
    <row r="212" spans="1:16" s="8" customFormat="1" ht="15.75" x14ac:dyDescent="0.25">
      <c r="A212" s="106" t="s">
        <v>440</v>
      </c>
      <c r="B212" s="102">
        <v>44193</v>
      </c>
      <c r="C212" s="25" t="s">
        <v>697</v>
      </c>
      <c r="D212" s="25" t="s">
        <v>1122</v>
      </c>
      <c r="E212" s="162">
        <v>20</v>
      </c>
      <c r="F212" s="134">
        <v>79.8</v>
      </c>
      <c r="G212" s="50">
        <f t="shared" si="21"/>
        <v>1596</v>
      </c>
      <c r="H212" s="103"/>
      <c r="I212" s="144"/>
      <c r="J212" s="104"/>
      <c r="K212" s="103"/>
      <c r="L212" s="103"/>
      <c r="M212" s="141">
        <f t="shared" si="20"/>
        <v>20</v>
      </c>
      <c r="N212" s="103"/>
      <c r="O212" s="103" t="s">
        <v>946</v>
      </c>
      <c r="P212" s="137">
        <f t="shared" si="16"/>
        <v>1596</v>
      </c>
    </row>
    <row r="213" spans="1:16" s="8" customFormat="1" ht="15.75" x14ac:dyDescent="0.25">
      <c r="A213" s="106" t="s">
        <v>441</v>
      </c>
      <c r="B213" s="102">
        <v>44193</v>
      </c>
      <c r="C213" s="25" t="s">
        <v>696</v>
      </c>
      <c r="D213" s="25" t="s">
        <v>1122</v>
      </c>
      <c r="E213" s="162">
        <v>9</v>
      </c>
      <c r="F213" s="134">
        <v>79.8</v>
      </c>
      <c r="G213" s="50">
        <f t="shared" si="21"/>
        <v>718.19999999999993</v>
      </c>
      <c r="H213" s="103"/>
      <c r="I213" s="144"/>
      <c r="J213" s="104"/>
      <c r="K213" s="103"/>
      <c r="L213" s="103">
        <v>1</v>
      </c>
      <c r="M213" s="141">
        <f t="shared" si="20"/>
        <v>8</v>
      </c>
      <c r="N213" s="103"/>
      <c r="O213" s="103" t="s">
        <v>946</v>
      </c>
      <c r="P213" s="137">
        <f t="shared" si="16"/>
        <v>638.4</v>
      </c>
    </row>
    <row r="214" spans="1:16" s="8" customFormat="1" ht="15.75" x14ac:dyDescent="0.25">
      <c r="A214" s="106" t="s">
        <v>442</v>
      </c>
      <c r="B214" s="102"/>
      <c r="C214" s="25" t="s">
        <v>808</v>
      </c>
      <c r="D214" s="25" t="s">
        <v>1122</v>
      </c>
      <c r="E214" s="162">
        <v>9</v>
      </c>
      <c r="F214" s="134">
        <v>352</v>
      </c>
      <c r="G214" s="50">
        <f t="shared" si="21"/>
        <v>3168</v>
      </c>
      <c r="H214" s="103"/>
      <c r="I214" s="144"/>
      <c r="J214" s="104"/>
      <c r="K214" s="103"/>
      <c r="L214" s="103"/>
      <c r="M214" s="141">
        <f t="shared" si="20"/>
        <v>9</v>
      </c>
      <c r="N214" s="103"/>
      <c r="O214" s="103" t="s">
        <v>946</v>
      </c>
      <c r="P214" s="137">
        <f t="shared" si="16"/>
        <v>3168</v>
      </c>
    </row>
    <row r="215" spans="1:16" s="92" customFormat="1" x14ac:dyDescent="0.3">
      <c r="A215" s="106" t="s">
        <v>443</v>
      </c>
      <c r="B215" s="129">
        <v>45019</v>
      </c>
      <c r="C215" s="25" t="s">
        <v>698</v>
      </c>
      <c r="D215" s="25" t="s">
        <v>1122</v>
      </c>
      <c r="E215" s="162">
        <v>4</v>
      </c>
      <c r="F215" s="134">
        <v>600</v>
      </c>
      <c r="G215" s="50">
        <f t="shared" si="21"/>
        <v>2400</v>
      </c>
      <c r="H215" s="103"/>
      <c r="I215" s="144"/>
      <c r="J215" s="104"/>
      <c r="K215" s="103"/>
      <c r="L215" s="103"/>
      <c r="M215" s="151">
        <f t="shared" si="20"/>
        <v>4</v>
      </c>
      <c r="N215" s="103"/>
      <c r="O215" s="103" t="s">
        <v>945</v>
      </c>
      <c r="P215" s="137">
        <f t="shared" si="16"/>
        <v>2400</v>
      </c>
    </row>
    <row r="216" spans="1:16" s="92" customFormat="1" x14ac:dyDescent="0.3">
      <c r="A216" s="106" t="s">
        <v>444</v>
      </c>
      <c r="B216" s="102">
        <v>44193</v>
      </c>
      <c r="C216" s="25" t="s">
        <v>699</v>
      </c>
      <c r="D216" s="25" t="s">
        <v>1122</v>
      </c>
      <c r="E216" s="162">
        <v>15</v>
      </c>
      <c r="F216" s="134">
        <v>140</v>
      </c>
      <c r="G216" s="50">
        <f t="shared" si="21"/>
        <v>2100</v>
      </c>
      <c r="H216" s="103"/>
      <c r="I216" s="144"/>
      <c r="J216" s="104"/>
      <c r="K216" s="103"/>
      <c r="L216" s="103">
        <v>1</v>
      </c>
      <c r="M216" s="141">
        <f t="shared" si="20"/>
        <v>14</v>
      </c>
      <c r="N216" s="103"/>
      <c r="O216" s="103" t="s">
        <v>945</v>
      </c>
      <c r="P216" s="137">
        <f t="shared" si="16"/>
        <v>1960</v>
      </c>
    </row>
    <row r="217" spans="1:16" s="8" customFormat="1" ht="15.75" x14ac:dyDescent="0.25">
      <c r="A217" s="106" t="s">
        <v>445</v>
      </c>
      <c r="B217" s="102">
        <v>44193</v>
      </c>
      <c r="C217" s="9" t="s">
        <v>706</v>
      </c>
      <c r="D217" s="25" t="s">
        <v>1122</v>
      </c>
      <c r="E217" s="106">
        <v>1</v>
      </c>
      <c r="F217" s="134">
        <v>5250</v>
      </c>
      <c r="G217" s="50">
        <f t="shared" si="21"/>
        <v>5250</v>
      </c>
      <c r="H217" s="103"/>
      <c r="I217" s="144"/>
      <c r="J217" s="104"/>
      <c r="K217" s="103"/>
      <c r="L217" s="103"/>
      <c r="M217" s="141">
        <f t="shared" si="20"/>
        <v>1</v>
      </c>
      <c r="N217" s="103"/>
      <c r="O217" s="103" t="s">
        <v>947</v>
      </c>
      <c r="P217" s="137">
        <f t="shared" ref="P217:P280" si="22">+F217*M217</f>
        <v>5250</v>
      </c>
    </row>
    <row r="218" spans="1:16" s="8" customFormat="1" ht="15.75" x14ac:dyDescent="0.25">
      <c r="A218" s="106" t="s">
        <v>446</v>
      </c>
      <c r="B218" s="102">
        <v>44193</v>
      </c>
      <c r="C218" s="9" t="s">
        <v>700</v>
      </c>
      <c r="D218" s="25" t="s">
        <v>1122</v>
      </c>
      <c r="E218" s="106">
        <f>9+12+12+24</f>
        <v>57</v>
      </c>
      <c r="F218" s="134">
        <v>12.93</v>
      </c>
      <c r="G218" s="50">
        <f t="shared" si="21"/>
        <v>737.01</v>
      </c>
      <c r="H218" s="103"/>
      <c r="I218" s="144"/>
      <c r="J218" s="104"/>
      <c r="K218" s="103"/>
      <c r="L218" s="103"/>
      <c r="M218" s="141">
        <f t="shared" si="20"/>
        <v>57</v>
      </c>
      <c r="N218" s="103"/>
      <c r="O218" s="103" t="s">
        <v>947</v>
      </c>
      <c r="P218" s="137">
        <f t="shared" si="22"/>
        <v>737.01</v>
      </c>
    </row>
    <row r="219" spans="1:16" s="8" customFormat="1" ht="15.75" x14ac:dyDescent="0.25">
      <c r="A219" s="106" t="s">
        <v>447</v>
      </c>
      <c r="B219" s="102">
        <v>44193</v>
      </c>
      <c r="C219" s="9" t="s">
        <v>701</v>
      </c>
      <c r="D219" s="25" t="s">
        <v>1122</v>
      </c>
      <c r="E219" s="106">
        <f>16+12+12</f>
        <v>40</v>
      </c>
      <c r="F219" s="134">
        <v>14.37</v>
      </c>
      <c r="G219" s="50">
        <f t="shared" si="21"/>
        <v>574.79999999999995</v>
      </c>
      <c r="H219" s="103"/>
      <c r="I219" s="144"/>
      <c r="J219" s="104"/>
      <c r="K219" s="103"/>
      <c r="L219" s="103"/>
      <c r="M219" s="141">
        <f t="shared" si="20"/>
        <v>40</v>
      </c>
      <c r="N219" s="103"/>
      <c r="O219" s="103" t="s">
        <v>947</v>
      </c>
      <c r="P219" s="137">
        <f t="shared" si="22"/>
        <v>574.79999999999995</v>
      </c>
    </row>
    <row r="220" spans="1:16" s="8" customFormat="1" ht="15.75" x14ac:dyDescent="0.25">
      <c r="A220" s="106" t="s">
        <v>448</v>
      </c>
      <c r="B220" s="102">
        <v>44193</v>
      </c>
      <c r="C220" s="9" t="s">
        <v>702</v>
      </c>
      <c r="D220" s="25" t="s">
        <v>1122</v>
      </c>
      <c r="E220" s="106">
        <v>6</v>
      </c>
      <c r="F220" s="134">
        <v>35</v>
      </c>
      <c r="G220" s="50">
        <f t="shared" si="21"/>
        <v>210</v>
      </c>
      <c r="H220" s="103"/>
      <c r="I220" s="144"/>
      <c r="J220" s="104"/>
      <c r="K220" s="103"/>
      <c r="L220" s="103"/>
      <c r="M220" s="141">
        <f t="shared" si="20"/>
        <v>6</v>
      </c>
      <c r="N220" s="103"/>
      <c r="O220" s="103" t="s">
        <v>947</v>
      </c>
      <c r="P220" s="137">
        <f t="shared" si="22"/>
        <v>210</v>
      </c>
    </row>
    <row r="221" spans="1:16" s="8" customFormat="1" ht="15.75" x14ac:dyDescent="0.25">
      <c r="A221" s="106" t="s">
        <v>449</v>
      </c>
      <c r="B221" s="102">
        <v>44193</v>
      </c>
      <c r="C221" s="9" t="s">
        <v>703</v>
      </c>
      <c r="D221" s="25" t="s">
        <v>1122</v>
      </c>
      <c r="E221" s="106"/>
      <c r="F221" s="134">
        <v>30</v>
      </c>
      <c r="G221" s="50">
        <f t="shared" si="21"/>
        <v>0</v>
      </c>
      <c r="H221" s="103"/>
      <c r="I221" s="144"/>
      <c r="J221" s="104"/>
      <c r="K221" s="103"/>
      <c r="L221" s="103"/>
      <c r="M221" s="141">
        <f t="shared" si="20"/>
        <v>0</v>
      </c>
      <c r="N221" s="103"/>
      <c r="O221" s="103" t="s">
        <v>947</v>
      </c>
      <c r="P221" s="137">
        <f t="shared" si="22"/>
        <v>0</v>
      </c>
    </row>
    <row r="222" spans="1:16" s="8" customFormat="1" ht="15.75" x14ac:dyDescent="0.25">
      <c r="A222" s="106" t="s">
        <v>450</v>
      </c>
      <c r="B222" s="102">
        <v>44193</v>
      </c>
      <c r="C222" s="9" t="s">
        <v>704</v>
      </c>
      <c r="D222" s="25" t="s">
        <v>1122</v>
      </c>
      <c r="E222" s="106">
        <v>1300</v>
      </c>
      <c r="F222" s="134">
        <v>2.6</v>
      </c>
      <c r="G222" s="50">
        <f t="shared" si="21"/>
        <v>3380</v>
      </c>
      <c r="H222" s="103"/>
      <c r="I222" s="144"/>
      <c r="J222" s="104"/>
      <c r="K222" s="103"/>
      <c r="L222" s="103">
        <v>1150</v>
      </c>
      <c r="M222" s="151">
        <f t="shared" si="20"/>
        <v>150</v>
      </c>
      <c r="N222" s="103"/>
      <c r="O222" s="103" t="s">
        <v>947</v>
      </c>
      <c r="P222" s="137">
        <f t="shared" si="22"/>
        <v>390</v>
      </c>
    </row>
    <row r="223" spans="1:16" s="8" customFormat="1" ht="15.75" x14ac:dyDescent="0.25">
      <c r="A223" s="106" t="s">
        <v>451</v>
      </c>
      <c r="B223" s="102">
        <v>44193</v>
      </c>
      <c r="C223" s="9" t="s">
        <v>705</v>
      </c>
      <c r="D223" s="25" t="s">
        <v>1122</v>
      </c>
      <c r="E223" s="106">
        <v>1</v>
      </c>
      <c r="F223" s="134">
        <v>728.81</v>
      </c>
      <c r="G223" s="50">
        <f t="shared" si="21"/>
        <v>728.81</v>
      </c>
      <c r="H223" s="103"/>
      <c r="I223" s="144"/>
      <c r="J223" s="104"/>
      <c r="K223" s="103"/>
      <c r="L223" s="103"/>
      <c r="M223" s="141">
        <f t="shared" si="20"/>
        <v>1</v>
      </c>
      <c r="N223" s="103"/>
      <c r="O223" s="103" t="s">
        <v>947</v>
      </c>
      <c r="P223" s="137">
        <f t="shared" si="22"/>
        <v>728.81</v>
      </c>
    </row>
    <row r="224" spans="1:16" s="8" customFormat="1" ht="15.75" x14ac:dyDescent="0.25">
      <c r="A224" s="106" t="s">
        <v>452</v>
      </c>
      <c r="B224" s="102">
        <v>44193</v>
      </c>
      <c r="C224" s="9" t="s">
        <v>709</v>
      </c>
      <c r="D224" s="25" t="s">
        <v>1122</v>
      </c>
      <c r="E224" s="166">
        <v>2</v>
      </c>
      <c r="F224" s="134">
        <v>350</v>
      </c>
      <c r="G224" s="50">
        <f t="shared" si="21"/>
        <v>700</v>
      </c>
      <c r="H224" s="103"/>
      <c r="I224" s="144"/>
      <c r="J224" s="104"/>
      <c r="K224" s="103"/>
      <c r="L224" s="103"/>
      <c r="M224" s="141">
        <f t="shared" si="20"/>
        <v>2</v>
      </c>
      <c r="N224" s="103"/>
      <c r="O224" s="103" t="s">
        <v>947</v>
      </c>
      <c r="P224" s="137">
        <f t="shared" si="22"/>
        <v>700</v>
      </c>
    </row>
    <row r="225" spans="1:16" s="8" customFormat="1" ht="15.75" x14ac:dyDescent="0.25">
      <c r="A225" s="106" t="s">
        <v>453</v>
      </c>
      <c r="B225" s="102">
        <v>44193</v>
      </c>
      <c r="C225" s="9" t="s">
        <v>707</v>
      </c>
      <c r="D225" s="25" t="s">
        <v>1122</v>
      </c>
      <c r="E225" s="106">
        <v>5</v>
      </c>
      <c r="F225" s="134">
        <v>595</v>
      </c>
      <c r="G225" s="50">
        <f t="shared" si="21"/>
        <v>2975</v>
      </c>
      <c r="H225" s="103"/>
      <c r="I225" s="144"/>
      <c r="J225" s="104"/>
      <c r="K225" s="103"/>
      <c r="L225" s="103"/>
      <c r="M225" s="141">
        <f t="shared" si="20"/>
        <v>5</v>
      </c>
      <c r="N225" s="103"/>
      <c r="O225" s="103" t="s">
        <v>947</v>
      </c>
      <c r="P225" s="137">
        <f t="shared" si="22"/>
        <v>2975</v>
      </c>
    </row>
    <row r="226" spans="1:16" s="8" customFormat="1" ht="15.75" x14ac:dyDescent="0.25">
      <c r="A226" s="106" t="s">
        <v>454</v>
      </c>
      <c r="B226" s="102">
        <v>44193</v>
      </c>
      <c r="C226" s="9" t="s">
        <v>868</v>
      </c>
      <c r="D226" s="25" t="s">
        <v>1122</v>
      </c>
      <c r="E226" s="106">
        <v>2</v>
      </c>
      <c r="F226" s="134">
        <v>300</v>
      </c>
      <c r="G226" s="50">
        <f t="shared" si="21"/>
        <v>600</v>
      </c>
      <c r="H226" s="103"/>
      <c r="I226" s="144"/>
      <c r="J226" s="104"/>
      <c r="K226" s="103"/>
      <c r="L226" s="103"/>
      <c r="M226" s="141">
        <f t="shared" si="20"/>
        <v>2</v>
      </c>
      <c r="N226" s="103"/>
      <c r="O226" s="103" t="s">
        <v>947</v>
      </c>
      <c r="P226" s="137">
        <f t="shared" si="22"/>
        <v>600</v>
      </c>
    </row>
    <row r="227" spans="1:16" s="8" customFormat="1" ht="15.75" x14ac:dyDescent="0.25">
      <c r="A227" s="106" t="s">
        <v>455</v>
      </c>
      <c r="B227" s="102">
        <v>44193</v>
      </c>
      <c r="C227" s="25" t="s">
        <v>710</v>
      </c>
      <c r="D227" s="25" t="s">
        <v>1122</v>
      </c>
      <c r="E227" s="165">
        <v>0</v>
      </c>
      <c r="F227" s="134">
        <v>3950</v>
      </c>
      <c r="G227" s="50">
        <f t="shared" si="21"/>
        <v>0</v>
      </c>
      <c r="H227" s="103"/>
      <c r="I227" s="144"/>
      <c r="J227" s="104"/>
      <c r="K227" s="103"/>
      <c r="L227" s="103"/>
      <c r="M227" s="141">
        <f t="shared" si="20"/>
        <v>0</v>
      </c>
      <c r="N227" s="103"/>
      <c r="O227" s="103" t="s">
        <v>947</v>
      </c>
      <c r="P227" s="137">
        <f t="shared" si="22"/>
        <v>0</v>
      </c>
    </row>
    <row r="228" spans="1:16" s="8" customFormat="1" ht="15.75" x14ac:dyDescent="0.25">
      <c r="A228" s="106" t="s">
        <v>456</v>
      </c>
      <c r="B228" s="106" t="s">
        <v>108</v>
      </c>
      <c r="C228" s="25" t="s">
        <v>714</v>
      </c>
      <c r="D228" s="25" t="s">
        <v>1122</v>
      </c>
      <c r="E228" s="164">
        <v>6</v>
      </c>
      <c r="F228" s="171">
        <v>11000</v>
      </c>
      <c r="G228" s="50">
        <f t="shared" si="21"/>
        <v>66000</v>
      </c>
      <c r="H228" s="103"/>
      <c r="I228" s="144"/>
      <c r="J228" s="104"/>
      <c r="K228" s="103"/>
      <c r="L228" s="103"/>
      <c r="M228" s="141">
        <f t="shared" si="20"/>
        <v>6</v>
      </c>
      <c r="N228" s="103"/>
      <c r="O228" s="103" t="s">
        <v>947</v>
      </c>
      <c r="P228" s="137">
        <f t="shared" si="22"/>
        <v>66000</v>
      </c>
    </row>
    <row r="229" spans="1:16" s="8" customFormat="1" ht="15.75" x14ac:dyDescent="0.25">
      <c r="A229" s="106" t="s">
        <v>457</v>
      </c>
      <c r="B229" s="102">
        <v>44652</v>
      </c>
      <c r="C229" s="25" t="s">
        <v>856</v>
      </c>
      <c r="D229" s="25" t="s">
        <v>1122</v>
      </c>
      <c r="E229" s="162">
        <v>5</v>
      </c>
      <c r="F229" s="173">
        <v>1700</v>
      </c>
      <c r="G229" s="50">
        <f t="shared" si="21"/>
        <v>8500</v>
      </c>
      <c r="H229" s="103"/>
      <c r="I229" s="144"/>
      <c r="J229" s="104"/>
      <c r="K229" s="103"/>
      <c r="L229" s="103"/>
      <c r="M229" s="141">
        <f t="shared" si="20"/>
        <v>5</v>
      </c>
      <c r="N229" s="103"/>
      <c r="O229" s="103" t="s">
        <v>946</v>
      </c>
      <c r="P229" s="137">
        <f t="shared" si="22"/>
        <v>8500</v>
      </c>
    </row>
    <row r="230" spans="1:16" s="8" customFormat="1" ht="15.75" x14ac:dyDescent="0.25">
      <c r="A230" s="106" t="s">
        <v>458</v>
      </c>
      <c r="B230" s="102">
        <v>44193</v>
      </c>
      <c r="C230" s="25" t="s">
        <v>712</v>
      </c>
      <c r="D230" s="25" t="s">
        <v>1122</v>
      </c>
      <c r="E230" s="165">
        <v>0</v>
      </c>
      <c r="F230" s="134">
        <v>148.31</v>
      </c>
      <c r="G230" s="50">
        <f t="shared" si="21"/>
        <v>0</v>
      </c>
      <c r="H230" s="103"/>
      <c r="I230" s="144"/>
      <c r="J230" s="104"/>
      <c r="K230" s="103"/>
      <c r="L230" s="103"/>
      <c r="M230" s="141">
        <f t="shared" si="20"/>
        <v>0</v>
      </c>
      <c r="N230" s="103"/>
      <c r="O230" s="103" t="s">
        <v>946</v>
      </c>
      <c r="P230" s="137">
        <f t="shared" si="22"/>
        <v>0</v>
      </c>
    </row>
    <row r="231" spans="1:16" s="8" customFormat="1" ht="15.75" x14ac:dyDescent="0.25">
      <c r="A231" s="106" t="s">
        <v>459</v>
      </c>
      <c r="B231" s="102">
        <v>44193</v>
      </c>
      <c r="C231" s="25" t="s">
        <v>713</v>
      </c>
      <c r="D231" s="25" t="s">
        <v>1122</v>
      </c>
      <c r="E231" s="165">
        <v>0</v>
      </c>
      <c r="F231" s="134">
        <v>122.88</v>
      </c>
      <c r="G231" s="50">
        <f t="shared" si="21"/>
        <v>0</v>
      </c>
      <c r="H231" s="103"/>
      <c r="I231" s="144"/>
      <c r="J231" s="104"/>
      <c r="K231" s="103"/>
      <c r="L231" s="103"/>
      <c r="M231" s="141">
        <f t="shared" si="20"/>
        <v>0</v>
      </c>
      <c r="N231" s="103"/>
      <c r="O231" s="103" t="s">
        <v>946</v>
      </c>
      <c r="P231" s="137">
        <f t="shared" si="22"/>
        <v>0</v>
      </c>
    </row>
    <row r="232" spans="1:16" s="8" customFormat="1" ht="15.75" x14ac:dyDescent="0.25">
      <c r="A232" s="106" t="s">
        <v>460</v>
      </c>
      <c r="B232" s="102">
        <v>44193</v>
      </c>
      <c r="C232" s="25" t="s">
        <v>847</v>
      </c>
      <c r="D232" s="25" t="s">
        <v>1122</v>
      </c>
      <c r="E232" s="165">
        <v>0</v>
      </c>
      <c r="F232" s="134">
        <v>0</v>
      </c>
      <c r="G232" s="50">
        <f t="shared" si="21"/>
        <v>0</v>
      </c>
      <c r="H232" s="103"/>
      <c r="I232" s="144"/>
      <c r="J232" s="104"/>
      <c r="K232" s="103"/>
      <c r="L232" s="103"/>
      <c r="M232" s="141">
        <f t="shared" si="20"/>
        <v>0</v>
      </c>
      <c r="N232" s="103"/>
      <c r="O232" s="103" t="s">
        <v>946</v>
      </c>
      <c r="P232" s="137">
        <f t="shared" si="22"/>
        <v>0</v>
      </c>
    </row>
    <row r="233" spans="1:16" s="8" customFormat="1" ht="15.75" x14ac:dyDescent="0.25">
      <c r="A233" s="106" t="s">
        <v>461</v>
      </c>
      <c r="B233" s="167">
        <v>44851</v>
      </c>
      <c r="C233" s="25" t="s">
        <v>711</v>
      </c>
      <c r="D233" s="25" t="s">
        <v>1122</v>
      </c>
      <c r="E233" s="165">
        <v>0</v>
      </c>
      <c r="F233" s="134">
        <v>156.35</v>
      </c>
      <c r="G233" s="50">
        <f t="shared" si="21"/>
        <v>0</v>
      </c>
      <c r="H233" s="124">
        <v>44851</v>
      </c>
      <c r="I233" s="144">
        <v>100</v>
      </c>
      <c r="J233" s="126">
        <v>156.35</v>
      </c>
      <c r="K233" s="127">
        <f>+I233*J233</f>
        <v>15635</v>
      </c>
      <c r="L233" s="125">
        <f>2+1+1</f>
        <v>4</v>
      </c>
      <c r="M233" s="141">
        <f t="shared" si="20"/>
        <v>96</v>
      </c>
      <c r="N233" s="103"/>
      <c r="O233" s="103" t="s">
        <v>946</v>
      </c>
      <c r="P233" s="137">
        <f t="shared" si="22"/>
        <v>15009.599999999999</v>
      </c>
    </row>
    <row r="234" spans="1:16" s="92" customFormat="1" x14ac:dyDescent="0.3">
      <c r="A234" s="106" t="s">
        <v>462</v>
      </c>
      <c r="B234" s="102">
        <v>44193</v>
      </c>
      <c r="C234" s="25" t="s">
        <v>716</v>
      </c>
      <c r="D234" s="25" t="s">
        <v>1122</v>
      </c>
      <c r="E234" s="165">
        <v>0</v>
      </c>
      <c r="F234" s="171">
        <v>82</v>
      </c>
      <c r="G234" s="50">
        <f t="shared" si="21"/>
        <v>0</v>
      </c>
      <c r="H234" s="125"/>
      <c r="I234" s="144"/>
      <c r="J234" s="126"/>
      <c r="K234" s="125"/>
      <c r="L234" s="125">
        <v>2</v>
      </c>
      <c r="M234" s="141">
        <f t="shared" si="20"/>
        <v>-2</v>
      </c>
      <c r="N234" s="103"/>
      <c r="O234" s="103" t="s">
        <v>945</v>
      </c>
      <c r="P234" s="137">
        <f t="shared" si="22"/>
        <v>-164</v>
      </c>
    </row>
    <row r="235" spans="1:16" s="92" customFormat="1" x14ac:dyDescent="0.3">
      <c r="A235" s="106" t="s">
        <v>463</v>
      </c>
      <c r="B235" s="102">
        <v>44193</v>
      </c>
      <c r="C235" s="25" t="s">
        <v>717</v>
      </c>
      <c r="D235" s="25" t="s">
        <v>1122</v>
      </c>
      <c r="E235" s="165">
        <v>0</v>
      </c>
      <c r="F235" s="171">
        <v>14.29</v>
      </c>
      <c r="G235" s="50">
        <f t="shared" si="21"/>
        <v>0</v>
      </c>
      <c r="H235" s="103"/>
      <c r="I235" s="144"/>
      <c r="J235" s="104"/>
      <c r="K235" s="103"/>
      <c r="L235" s="103"/>
      <c r="M235" s="141">
        <f t="shared" si="20"/>
        <v>0</v>
      </c>
      <c r="N235" s="103"/>
      <c r="O235" s="103" t="s">
        <v>945</v>
      </c>
      <c r="P235" s="137">
        <f t="shared" si="22"/>
        <v>0</v>
      </c>
    </row>
    <row r="236" spans="1:16" s="92" customFormat="1" x14ac:dyDescent="0.3">
      <c r="A236" s="106" t="s">
        <v>464</v>
      </c>
      <c r="B236" s="106" t="s">
        <v>770</v>
      </c>
      <c r="C236" s="25" t="s">
        <v>715</v>
      </c>
      <c r="D236" s="25" t="s">
        <v>1122</v>
      </c>
      <c r="E236" s="165">
        <v>6</v>
      </c>
      <c r="F236" s="171">
        <v>82</v>
      </c>
      <c r="G236" s="50">
        <f t="shared" si="21"/>
        <v>492</v>
      </c>
      <c r="H236" s="103"/>
      <c r="I236" s="144"/>
      <c r="J236" s="104"/>
      <c r="K236" s="103"/>
      <c r="L236" s="103"/>
      <c r="M236" s="141">
        <f t="shared" si="20"/>
        <v>6</v>
      </c>
      <c r="N236" s="103"/>
      <c r="O236" s="103" t="s">
        <v>945</v>
      </c>
      <c r="P236" s="137">
        <f t="shared" si="22"/>
        <v>492</v>
      </c>
    </row>
    <row r="237" spans="1:16" s="8" customFormat="1" ht="15.75" x14ac:dyDescent="0.25">
      <c r="A237" s="106" t="s">
        <v>465</v>
      </c>
      <c r="B237" s="106" t="s">
        <v>108</v>
      </c>
      <c r="C237" s="25" t="s">
        <v>718</v>
      </c>
      <c r="D237" s="25" t="s">
        <v>1122</v>
      </c>
      <c r="E237" s="165">
        <v>0</v>
      </c>
      <c r="F237" s="171">
        <v>6375</v>
      </c>
      <c r="G237" s="50">
        <f t="shared" si="21"/>
        <v>0</v>
      </c>
      <c r="H237" s="103"/>
      <c r="I237" s="144"/>
      <c r="J237" s="104"/>
      <c r="K237" s="103"/>
      <c r="L237" s="103">
        <v>1</v>
      </c>
      <c r="M237" s="141">
        <f t="shared" si="20"/>
        <v>-1</v>
      </c>
      <c r="N237" s="103"/>
      <c r="O237" s="103" t="s">
        <v>946</v>
      </c>
      <c r="P237" s="137">
        <f t="shared" si="22"/>
        <v>-6375</v>
      </c>
    </row>
    <row r="238" spans="1:16" s="8" customFormat="1" ht="15.75" x14ac:dyDescent="0.25">
      <c r="A238" s="106" t="s">
        <v>466</v>
      </c>
      <c r="B238" s="102">
        <v>44193</v>
      </c>
      <c r="C238" s="9" t="s">
        <v>781</v>
      </c>
      <c r="D238" s="25" t="s">
        <v>1122</v>
      </c>
      <c r="E238" s="106">
        <v>2</v>
      </c>
      <c r="F238" s="134">
        <v>725</v>
      </c>
      <c r="G238" s="50">
        <f t="shared" si="21"/>
        <v>1450</v>
      </c>
      <c r="H238" s="103"/>
      <c r="I238" s="144"/>
      <c r="J238" s="104"/>
      <c r="K238" s="103"/>
      <c r="L238" s="103"/>
      <c r="M238" s="151">
        <f t="shared" si="20"/>
        <v>2</v>
      </c>
      <c r="N238" s="103"/>
      <c r="O238" s="103" t="s">
        <v>947</v>
      </c>
      <c r="P238" s="137">
        <f t="shared" si="22"/>
        <v>1450</v>
      </c>
    </row>
    <row r="239" spans="1:16" s="8" customFormat="1" ht="15.75" x14ac:dyDescent="0.25">
      <c r="A239" s="106" t="s">
        <v>467</v>
      </c>
      <c r="B239" s="129">
        <v>45042</v>
      </c>
      <c r="C239" s="9" t="s">
        <v>1168</v>
      </c>
      <c r="D239" s="25" t="s">
        <v>1122</v>
      </c>
      <c r="E239" s="161">
        <v>40</v>
      </c>
      <c r="F239" s="134">
        <v>326.62</v>
      </c>
      <c r="G239" s="50">
        <f t="shared" si="21"/>
        <v>13064.8</v>
      </c>
      <c r="H239" s="107">
        <v>45042</v>
      </c>
      <c r="I239" s="144">
        <v>50</v>
      </c>
      <c r="J239" s="104">
        <v>279.66000000000003</v>
      </c>
      <c r="K239" s="104">
        <f>+J239*I239</f>
        <v>13983.000000000002</v>
      </c>
      <c r="L239" s="103">
        <f>17+1+1+5+1+1</f>
        <v>26</v>
      </c>
      <c r="M239" s="151">
        <f t="shared" si="20"/>
        <v>64</v>
      </c>
      <c r="N239" s="103" t="s">
        <v>1037</v>
      </c>
      <c r="O239" s="103" t="s">
        <v>947</v>
      </c>
      <c r="P239" s="137">
        <f t="shared" si="22"/>
        <v>20903.68</v>
      </c>
    </row>
    <row r="240" spans="1:16" s="8" customFormat="1" ht="15.75" x14ac:dyDescent="0.25">
      <c r="A240" s="106" t="s">
        <v>468</v>
      </c>
      <c r="B240" s="102">
        <v>44193</v>
      </c>
      <c r="C240" s="9" t="s">
        <v>722</v>
      </c>
      <c r="D240" s="25" t="s">
        <v>1122</v>
      </c>
      <c r="E240" s="106">
        <v>100</v>
      </c>
      <c r="F240" s="134">
        <v>2.25</v>
      </c>
      <c r="G240" s="50">
        <f t="shared" si="21"/>
        <v>225</v>
      </c>
      <c r="H240" s="103"/>
      <c r="I240" s="144"/>
      <c r="J240" s="104"/>
      <c r="K240" s="104">
        <f t="shared" ref="K240:K251" si="23">+J240*I240</f>
        <v>0</v>
      </c>
      <c r="L240" s="103">
        <v>5</v>
      </c>
      <c r="M240" s="141">
        <f t="shared" ref="M240:M303" si="24">+E240+I240-L240</f>
        <v>95</v>
      </c>
      <c r="N240" s="103"/>
      <c r="O240" s="103" t="s">
        <v>947</v>
      </c>
      <c r="P240" s="137">
        <f t="shared" si="22"/>
        <v>213.75</v>
      </c>
    </row>
    <row r="241" spans="1:16" s="105" customFormat="1" ht="15.75" x14ac:dyDescent="0.25">
      <c r="A241" s="106" t="s">
        <v>469</v>
      </c>
      <c r="B241" s="129">
        <v>44852</v>
      </c>
      <c r="C241" s="9" t="s">
        <v>1039</v>
      </c>
      <c r="D241" s="25" t="s">
        <v>1122</v>
      </c>
      <c r="E241" s="106">
        <v>7</v>
      </c>
      <c r="F241" s="134">
        <v>428.22</v>
      </c>
      <c r="G241" s="50">
        <f t="shared" si="21"/>
        <v>2997.54</v>
      </c>
      <c r="H241" s="107">
        <v>44852</v>
      </c>
      <c r="I241" s="144">
        <f>2*10</f>
        <v>20</v>
      </c>
      <c r="J241" s="104">
        <v>428.22</v>
      </c>
      <c r="K241" s="104">
        <f t="shared" si="23"/>
        <v>8564.4000000000015</v>
      </c>
      <c r="L241" s="103">
        <v>4</v>
      </c>
      <c r="M241" s="151">
        <f t="shared" si="24"/>
        <v>23</v>
      </c>
      <c r="N241" s="103" t="s">
        <v>1037</v>
      </c>
      <c r="O241" s="103" t="s">
        <v>947</v>
      </c>
      <c r="P241" s="137">
        <f t="shared" si="22"/>
        <v>9849.0600000000013</v>
      </c>
    </row>
    <row r="242" spans="1:16" s="8" customFormat="1" ht="15.75" x14ac:dyDescent="0.25">
      <c r="A242" s="106" t="s">
        <v>470</v>
      </c>
      <c r="B242" s="129">
        <v>44852</v>
      </c>
      <c r="C242" s="9" t="s">
        <v>725</v>
      </c>
      <c r="D242" s="25" t="s">
        <v>1122</v>
      </c>
      <c r="E242" s="106">
        <v>61</v>
      </c>
      <c r="F242" s="134">
        <v>21.69</v>
      </c>
      <c r="G242" s="50">
        <f t="shared" si="21"/>
        <v>1323.0900000000001</v>
      </c>
      <c r="H242" s="107">
        <v>44852</v>
      </c>
      <c r="I242" s="144">
        <v>2</v>
      </c>
      <c r="J242" s="104">
        <v>21.69</v>
      </c>
      <c r="K242" s="104">
        <f t="shared" si="23"/>
        <v>43.38</v>
      </c>
      <c r="L242" s="103">
        <v>16</v>
      </c>
      <c r="M242" s="141">
        <f t="shared" si="24"/>
        <v>47</v>
      </c>
      <c r="N242" s="103" t="s">
        <v>1037</v>
      </c>
      <c r="O242" s="103" t="s">
        <v>947</v>
      </c>
      <c r="P242" s="137">
        <f t="shared" si="22"/>
        <v>1019.4300000000001</v>
      </c>
    </row>
    <row r="243" spans="1:16" s="105" customFormat="1" ht="15.75" x14ac:dyDescent="0.25">
      <c r="A243" s="106" t="s">
        <v>466</v>
      </c>
      <c r="B243" s="129">
        <v>44851</v>
      </c>
      <c r="C243" s="9" t="s">
        <v>1228</v>
      </c>
      <c r="D243" s="25" t="s">
        <v>1122</v>
      </c>
      <c r="E243" s="106">
        <v>2</v>
      </c>
      <c r="F243" s="134">
        <v>857.86</v>
      </c>
      <c r="G243" s="50">
        <f t="shared" si="21"/>
        <v>1715.72</v>
      </c>
      <c r="H243" s="107">
        <v>44851</v>
      </c>
      <c r="I243" s="144">
        <v>2</v>
      </c>
      <c r="J243" s="104">
        <v>857.86</v>
      </c>
      <c r="K243" s="103">
        <f>+J243*I243</f>
        <v>1715.72</v>
      </c>
      <c r="L243" s="103">
        <v>2</v>
      </c>
      <c r="M243" s="151">
        <f t="shared" si="24"/>
        <v>2</v>
      </c>
      <c r="N243" s="103" t="s">
        <v>1037</v>
      </c>
      <c r="O243" s="103" t="s">
        <v>947</v>
      </c>
      <c r="P243" s="137">
        <f t="shared" si="22"/>
        <v>1715.72</v>
      </c>
    </row>
    <row r="244" spans="1:16" s="8" customFormat="1" ht="15.75" x14ac:dyDescent="0.25">
      <c r="A244" s="106" t="s">
        <v>472</v>
      </c>
      <c r="B244" s="129">
        <v>45019</v>
      </c>
      <c r="C244" s="128" t="s">
        <v>727</v>
      </c>
      <c r="D244" s="25" t="s">
        <v>1122</v>
      </c>
      <c r="E244" s="160">
        <v>367</v>
      </c>
      <c r="F244" s="134">
        <v>117.02</v>
      </c>
      <c r="G244" s="50">
        <f t="shared" si="21"/>
        <v>42946.34</v>
      </c>
      <c r="H244" s="107">
        <v>45019</v>
      </c>
      <c r="I244" s="144">
        <v>540</v>
      </c>
      <c r="J244" s="104">
        <v>117.02</v>
      </c>
      <c r="K244" s="104">
        <f t="shared" si="23"/>
        <v>63190.799999999996</v>
      </c>
      <c r="L244" s="103">
        <f>12+18+747+18+2</f>
        <v>797</v>
      </c>
      <c r="M244" s="151">
        <f t="shared" si="24"/>
        <v>110</v>
      </c>
      <c r="N244" s="103"/>
      <c r="O244" s="103" t="s">
        <v>947</v>
      </c>
      <c r="P244" s="137">
        <f t="shared" si="22"/>
        <v>12872.199999999999</v>
      </c>
    </row>
    <row r="245" spans="1:16" s="8" customFormat="1" ht="15.75" x14ac:dyDescent="0.25">
      <c r="A245" s="106" t="s">
        <v>473</v>
      </c>
      <c r="B245" s="106" t="s">
        <v>112</v>
      </c>
      <c r="C245" s="25" t="s">
        <v>752</v>
      </c>
      <c r="D245" s="25" t="s">
        <v>1122</v>
      </c>
      <c r="E245" s="162">
        <v>3</v>
      </c>
      <c r="F245" s="134">
        <v>135</v>
      </c>
      <c r="G245" s="50">
        <f t="shared" si="21"/>
        <v>405</v>
      </c>
      <c r="H245" s="103"/>
      <c r="I245" s="144"/>
      <c r="J245" s="104"/>
      <c r="K245" s="104">
        <f t="shared" si="23"/>
        <v>0</v>
      </c>
      <c r="L245" s="103"/>
      <c r="M245" s="141">
        <f t="shared" si="24"/>
        <v>3</v>
      </c>
      <c r="N245" s="103"/>
      <c r="O245" s="103" t="s">
        <v>947</v>
      </c>
      <c r="P245" s="137">
        <f t="shared" si="22"/>
        <v>405</v>
      </c>
    </row>
    <row r="246" spans="1:16" s="105" customFormat="1" ht="15.75" x14ac:dyDescent="0.25">
      <c r="A246" s="106" t="s">
        <v>507</v>
      </c>
      <c r="B246" s="129">
        <v>45042</v>
      </c>
      <c r="C246" s="9" t="s">
        <v>728</v>
      </c>
      <c r="D246" s="25" t="s">
        <v>1122</v>
      </c>
      <c r="E246" s="161">
        <v>15</v>
      </c>
      <c r="F246" s="134">
        <v>206.54</v>
      </c>
      <c r="G246" s="50">
        <f t="shared" si="21"/>
        <v>3098.1</v>
      </c>
      <c r="H246" s="107">
        <v>45042</v>
      </c>
      <c r="I246" s="144">
        <v>10</v>
      </c>
      <c r="J246" s="104">
        <v>206.54</v>
      </c>
      <c r="K246" s="103">
        <f>+J246*I246</f>
        <v>2065.4</v>
      </c>
      <c r="L246" s="103">
        <v>2</v>
      </c>
      <c r="M246" s="151">
        <f t="shared" si="24"/>
        <v>23</v>
      </c>
      <c r="N246" s="103" t="s">
        <v>1037</v>
      </c>
      <c r="O246" s="103" t="s">
        <v>947</v>
      </c>
      <c r="P246" s="137">
        <f t="shared" si="22"/>
        <v>4750.42</v>
      </c>
    </row>
    <row r="247" spans="1:16" s="8" customFormat="1" ht="15.75" x14ac:dyDescent="0.25">
      <c r="A247" s="106" t="s">
        <v>508</v>
      </c>
      <c r="B247" s="102">
        <v>44193</v>
      </c>
      <c r="C247" s="9" t="s">
        <v>729</v>
      </c>
      <c r="D247" s="25" t="s">
        <v>1122</v>
      </c>
      <c r="E247" s="161">
        <v>226</v>
      </c>
      <c r="F247" s="134">
        <v>22.2</v>
      </c>
      <c r="G247" s="50">
        <f t="shared" si="21"/>
        <v>5017.2</v>
      </c>
      <c r="H247" s="103"/>
      <c r="I247" s="144"/>
      <c r="J247" s="104"/>
      <c r="K247" s="104">
        <f t="shared" si="23"/>
        <v>0</v>
      </c>
      <c r="L247" s="103"/>
      <c r="M247" s="141">
        <f t="shared" si="24"/>
        <v>226</v>
      </c>
      <c r="N247" s="103"/>
      <c r="O247" s="103" t="s">
        <v>947</v>
      </c>
      <c r="P247" s="137">
        <f t="shared" si="22"/>
        <v>5017.2</v>
      </c>
    </row>
    <row r="248" spans="1:16" s="8" customFormat="1" ht="15.75" x14ac:dyDescent="0.25">
      <c r="A248" s="106" t="s">
        <v>509</v>
      </c>
      <c r="B248" s="129">
        <v>44610</v>
      </c>
      <c r="C248" s="9" t="s">
        <v>730</v>
      </c>
      <c r="D248" s="25" t="s">
        <v>1122</v>
      </c>
      <c r="E248" s="161">
        <v>2</v>
      </c>
      <c r="F248" s="134">
        <v>284.99</v>
      </c>
      <c r="G248" s="50">
        <f t="shared" si="21"/>
        <v>569.98</v>
      </c>
      <c r="H248" s="107">
        <v>44610</v>
      </c>
      <c r="I248" s="144">
        <v>2</v>
      </c>
      <c r="J248" s="104">
        <v>284.99</v>
      </c>
      <c r="K248" s="104">
        <f t="shared" si="23"/>
        <v>569.98</v>
      </c>
      <c r="L248" s="103"/>
      <c r="M248" s="141">
        <f t="shared" si="24"/>
        <v>4</v>
      </c>
      <c r="N248" s="103" t="s">
        <v>1037</v>
      </c>
      <c r="O248" s="103" t="s">
        <v>947</v>
      </c>
      <c r="P248" s="137">
        <f t="shared" si="22"/>
        <v>1139.96</v>
      </c>
    </row>
    <row r="249" spans="1:16" s="8" customFormat="1" ht="15.75" x14ac:dyDescent="0.25">
      <c r="A249" s="106" t="s">
        <v>869</v>
      </c>
      <c r="B249" s="102">
        <v>44193</v>
      </c>
      <c r="C249" s="25" t="s">
        <v>825</v>
      </c>
      <c r="D249" s="25" t="s">
        <v>1122</v>
      </c>
      <c r="E249" s="162">
        <v>11</v>
      </c>
      <c r="F249" s="134">
        <v>301</v>
      </c>
      <c r="G249" s="50">
        <f t="shared" si="21"/>
        <v>3311</v>
      </c>
      <c r="H249" s="103"/>
      <c r="I249" s="144"/>
      <c r="J249" s="104"/>
      <c r="K249" s="104">
        <f t="shared" si="23"/>
        <v>0</v>
      </c>
      <c r="L249" s="103"/>
      <c r="M249" s="141">
        <f t="shared" si="24"/>
        <v>11</v>
      </c>
      <c r="N249" s="103"/>
      <c r="O249" s="103" t="s">
        <v>947</v>
      </c>
      <c r="P249" s="137">
        <f t="shared" si="22"/>
        <v>3311</v>
      </c>
    </row>
    <row r="250" spans="1:16" s="92" customFormat="1" x14ac:dyDescent="0.3">
      <c r="A250" s="106" t="s">
        <v>512</v>
      </c>
      <c r="B250" s="129">
        <v>45019</v>
      </c>
      <c r="C250" s="25" t="s">
        <v>731</v>
      </c>
      <c r="D250" s="25" t="s">
        <v>1122</v>
      </c>
      <c r="E250" s="161">
        <v>180</v>
      </c>
      <c r="F250" s="171">
        <v>38.19</v>
      </c>
      <c r="G250" s="50">
        <f t="shared" si="21"/>
        <v>6874.2</v>
      </c>
      <c r="H250" s="107">
        <v>45019</v>
      </c>
      <c r="I250" s="144">
        <f>7*48</f>
        <v>336</v>
      </c>
      <c r="J250" s="104">
        <v>38.19</v>
      </c>
      <c r="K250" s="104">
        <f t="shared" si="23"/>
        <v>12831.84</v>
      </c>
      <c r="L250" s="103">
        <f>48+3+3+2+4+6+7+3+3+6+1+6+2</f>
        <v>94</v>
      </c>
      <c r="M250" s="151">
        <f t="shared" si="24"/>
        <v>422</v>
      </c>
      <c r="N250" s="103" t="s">
        <v>1006</v>
      </c>
      <c r="O250" s="103" t="s">
        <v>945</v>
      </c>
      <c r="P250" s="137">
        <f t="shared" si="22"/>
        <v>16116.179999999998</v>
      </c>
    </row>
    <row r="251" spans="1:16" s="105" customFormat="1" ht="15.75" x14ac:dyDescent="0.25">
      <c r="A251" s="106" t="s">
        <v>870</v>
      </c>
      <c r="B251" s="129">
        <v>44852</v>
      </c>
      <c r="C251" s="9" t="s">
        <v>950</v>
      </c>
      <c r="D251" s="25" t="s">
        <v>1122</v>
      </c>
      <c r="E251" s="161">
        <f>52+12</f>
        <v>64</v>
      </c>
      <c r="F251" s="134">
        <v>44.54</v>
      </c>
      <c r="G251" s="50">
        <f t="shared" si="21"/>
        <v>2850.56</v>
      </c>
      <c r="H251" s="107">
        <v>44852</v>
      </c>
      <c r="I251" s="144">
        <v>32</v>
      </c>
      <c r="J251" s="104">
        <v>44.54</v>
      </c>
      <c r="K251" s="104">
        <f t="shared" si="23"/>
        <v>1425.28</v>
      </c>
      <c r="L251" s="103">
        <f>4+4+6</f>
        <v>14</v>
      </c>
      <c r="M251" s="151">
        <f t="shared" si="24"/>
        <v>82</v>
      </c>
      <c r="N251" s="103"/>
      <c r="O251" s="103" t="s">
        <v>945</v>
      </c>
      <c r="P251" s="137">
        <f t="shared" si="22"/>
        <v>3652.2799999999997</v>
      </c>
    </row>
    <row r="252" spans="1:16" s="92" customFormat="1" x14ac:dyDescent="0.3">
      <c r="A252" s="106" t="s">
        <v>513</v>
      </c>
      <c r="B252" s="102">
        <v>44678</v>
      </c>
      <c r="C252" s="25" t="s">
        <v>853</v>
      </c>
      <c r="D252" s="25" t="s">
        <v>1122</v>
      </c>
      <c r="E252" s="169">
        <v>16</v>
      </c>
      <c r="F252" s="134">
        <v>3000</v>
      </c>
      <c r="G252" s="50">
        <f t="shared" si="21"/>
        <v>48000</v>
      </c>
      <c r="H252" s="103"/>
      <c r="I252" s="144"/>
      <c r="J252" s="104"/>
      <c r="K252" s="103"/>
      <c r="L252" s="103"/>
      <c r="M252" s="141">
        <f t="shared" si="24"/>
        <v>16</v>
      </c>
      <c r="N252" s="103"/>
      <c r="O252" s="103" t="s">
        <v>945</v>
      </c>
      <c r="P252" s="137">
        <f t="shared" si="22"/>
        <v>48000</v>
      </c>
    </row>
    <row r="253" spans="1:16" s="92" customFormat="1" x14ac:dyDescent="0.3">
      <c r="A253" s="106" t="s">
        <v>514</v>
      </c>
      <c r="B253" s="102">
        <v>44193</v>
      </c>
      <c r="C253" s="25" t="s">
        <v>734</v>
      </c>
      <c r="D253" s="25" t="s">
        <v>1122</v>
      </c>
      <c r="E253" s="162">
        <v>0</v>
      </c>
      <c r="F253" s="134">
        <v>1500</v>
      </c>
      <c r="G253" s="50">
        <f t="shared" si="21"/>
        <v>0</v>
      </c>
      <c r="H253" s="103"/>
      <c r="I253" s="144"/>
      <c r="J253" s="104"/>
      <c r="K253" s="103"/>
      <c r="L253" s="103"/>
      <c r="M253" s="141">
        <f t="shared" si="24"/>
        <v>0</v>
      </c>
      <c r="N253" s="103"/>
      <c r="O253" s="103" t="s">
        <v>945</v>
      </c>
      <c r="P253" s="137">
        <f t="shared" si="22"/>
        <v>0</v>
      </c>
    </row>
    <row r="254" spans="1:16" s="92" customFormat="1" x14ac:dyDescent="0.3">
      <c r="A254" s="106" t="s">
        <v>871</v>
      </c>
      <c r="B254" s="102">
        <v>44678</v>
      </c>
      <c r="C254" s="25" t="s">
        <v>852</v>
      </c>
      <c r="D254" s="25" t="s">
        <v>1122</v>
      </c>
      <c r="E254" s="170">
        <v>11</v>
      </c>
      <c r="F254" s="134">
        <v>1500</v>
      </c>
      <c r="G254" s="50">
        <f t="shared" si="21"/>
        <v>16500</v>
      </c>
      <c r="H254" s="103"/>
      <c r="I254" s="144"/>
      <c r="J254" s="104"/>
      <c r="K254" s="103"/>
      <c r="L254" s="103"/>
      <c r="M254" s="141">
        <f t="shared" si="24"/>
        <v>11</v>
      </c>
      <c r="N254" s="103"/>
      <c r="O254" s="103" t="s">
        <v>945</v>
      </c>
      <c r="P254" s="137">
        <f t="shared" si="22"/>
        <v>16500</v>
      </c>
    </row>
    <row r="255" spans="1:16" s="92" customFormat="1" x14ac:dyDescent="0.3">
      <c r="A255" s="106" t="s">
        <v>872</v>
      </c>
      <c r="B255" s="102">
        <v>44678</v>
      </c>
      <c r="C255" s="25" t="s">
        <v>735</v>
      </c>
      <c r="D255" s="25" t="s">
        <v>1122</v>
      </c>
      <c r="E255" s="170">
        <v>3</v>
      </c>
      <c r="F255" s="134">
        <v>3800</v>
      </c>
      <c r="G255" s="50">
        <f t="shared" si="21"/>
        <v>11400</v>
      </c>
      <c r="H255" s="103"/>
      <c r="I255" s="144"/>
      <c r="J255" s="104"/>
      <c r="K255" s="103"/>
      <c r="L255" s="103"/>
      <c r="M255" s="141">
        <f t="shared" si="24"/>
        <v>3</v>
      </c>
      <c r="N255" s="103"/>
      <c r="O255" s="103" t="s">
        <v>945</v>
      </c>
      <c r="P255" s="137">
        <f t="shared" si="22"/>
        <v>11400</v>
      </c>
    </row>
    <row r="256" spans="1:16" s="92" customFormat="1" x14ac:dyDescent="0.3">
      <c r="A256" s="106" t="s">
        <v>515</v>
      </c>
      <c r="B256" s="102">
        <v>44678</v>
      </c>
      <c r="C256" s="25" t="s">
        <v>737</v>
      </c>
      <c r="D256" s="25" t="s">
        <v>1122</v>
      </c>
      <c r="E256" s="170">
        <v>2</v>
      </c>
      <c r="F256" s="134">
        <v>1500</v>
      </c>
      <c r="G256" s="50">
        <f t="shared" si="21"/>
        <v>3000</v>
      </c>
      <c r="H256" s="103"/>
      <c r="I256" s="144"/>
      <c r="J256" s="104"/>
      <c r="K256" s="103"/>
      <c r="L256" s="103"/>
      <c r="M256" s="141">
        <f t="shared" si="24"/>
        <v>2</v>
      </c>
      <c r="N256" s="103"/>
      <c r="O256" s="103" t="s">
        <v>945</v>
      </c>
      <c r="P256" s="137">
        <f t="shared" si="22"/>
        <v>3000</v>
      </c>
    </row>
    <row r="257" spans="1:16" s="92" customFormat="1" x14ac:dyDescent="0.3">
      <c r="A257" s="106" t="s">
        <v>516</v>
      </c>
      <c r="B257" s="102">
        <v>44678</v>
      </c>
      <c r="C257" s="25" t="s">
        <v>736</v>
      </c>
      <c r="D257" s="25" t="s">
        <v>1122</v>
      </c>
      <c r="E257" s="170">
        <v>2</v>
      </c>
      <c r="F257" s="134">
        <v>3800</v>
      </c>
      <c r="G257" s="50">
        <f t="shared" si="21"/>
        <v>7600</v>
      </c>
      <c r="H257" s="103"/>
      <c r="I257" s="144"/>
      <c r="J257" s="104"/>
      <c r="K257" s="103"/>
      <c r="L257" s="103"/>
      <c r="M257" s="141">
        <f t="shared" si="24"/>
        <v>2</v>
      </c>
      <c r="N257" s="103"/>
      <c r="O257" s="103" t="s">
        <v>945</v>
      </c>
      <c r="P257" s="137">
        <f t="shared" si="22"/>
        <v>7600</v>
      </c>
    </row>
    <row r="258" spans="1:16" s="92" customFormat="1" x14ac:dyDescent="0.3">
      <c r="A258" s="106" t="s">
        <v>517</v>
      </c>
      <c r="B258" s="102">
        <v>44678</v>
      </c>
      <c r="C258" s="25" t="s">
        <v>738</v>
      </c>
      <c r="D258" s="25" t="s">
        <v>1122</v>
      </c>
      <c r="E258" s="170">
        <v>4</v>
      </c>
      <c r="F258" s="134">
        <v>3800</v>
      </c>
      <c r="G258" s="50">
        <f t="shared" si="21"/>
        <v>15200</v>
      </c>
      <c r="H258" s="103"/>
      <c r="I258" s="144"/>
      <c r="J258" s="104"/>
      <c r="K258" s="103"/>
      <c r="L258" s="103"/>
      <c r="M258" s="141">
        <f t="shared" si="24"/>
        <v>4</v>
      </c>
      <c r="N258" s="103"/>
      <c r="O258" s="103" t="s">
        <v>945</v>
      </c>
      <c r="P258" s="137">
        <f t="shared" si="22"/>
        <v>15200</v>
      </c>
    </row>
    <row r="259" spans="1:16" s="92" customFormat="1" x14ac:dyDescent="0.3">
      <c r="A259" s="106" t="s">
        <v>518</v>
      </c>
      <c r="B259" s="102">
        <v>44678</v>
      </c>
      <c r="C259" s="25" t="s">
        <v>751</v>
      </c>
      <c r="D259" s="25" t="s">
        <v>1122</v>
      </c>
      <c r="E259" s="170">
        <v>16</v>
      </c>
      <c r="F259" s="134">
        <v>3000</v>
      </c>
      <c r="G259" s="50">
        <f t="shared" si="21"/>
        <v>48000</v>
      </c>
      <c r="H259" s="103"/>
      <c r="I259" s="144"/>
      <c r="J259" s="104"/>
      <c r="K259" s="103"/>
      <c r="L259" s="103"/>
      <c r="M259" s="141">
        <f t="shared" si="24"/>
        <v>16</v>
      </c>
      <c r="N259" s="103"/>
      <c r="O259" s="103" t="s">
        <v>945</v>
      </c>
      <c r="P259" s="137">
        <f t="shared" si="22"/>
        <v>48000</v>
      </c>
    </row>
    <row r="260" spans="1:16" s="92" customFormat="1" x14ac:dyDescent="0.3">
      <c r="A260" s="106" t="s">
        <v>519</v>
      </c>
      <c r="B260" s="102">
        <v>44678</v>
      </c>
      <c r="C260" s="25" t="s">
        <v>845</v>
      </c>
      <c r="D260" s="25" t="s">
        <v>1122</v>
      </c>
      <c r="E260" s="162">
        <v>2</v>
      </c>
      <c r="F260" s="134">
        <v>200</v>
      </c>
      <c r="G260" s="50">
        <f t="shared" si="21"/>
        <v>400</v>
      </c>
      <c r="H260" s="103"/>
      <c r="I260" s="144"/>
      <c r="J260" s="104"/>
      <c r="K260" s="103"/>
      <c r="L260" s="103"/>
      <c r="M260" s="141">
        <f t="shared" si="24"/>
        <v>2</v>
      </c>
      <c r="N260" s="103"/>
      <c r="O260" s="103" t="s">
        <v>945</v>
      </c>
      <c r="P260" s="137">
        <f t="shared" si="22"/>
        <v>400</v>
      </c>
    </row>
    <row r="261" spans="1:16" s="8" customFormat="1" ht="15.75" x14ac:dyDescent="0.25">
      <c r="A261" s="106" t="s">
        <v>520</v>
      </c>
      <c r="B261" s="102">
        <v>44193</v>
      </c>
      <c r="C261" s="9" t="s">
        <v>740</v>
      </c>
      <c r="D261" s="25" t="s">
        <v>1122</v>
      </c>
      <c r="E261" s="161">
        <v>3</v>
      </c>
      <c r="F261" s="134">
        <v>75</v>
      </c>
      <c r="G261" s="50">
        <f>E261*F261</f>
        <v>225</v>
      </c>
      <c r="H261" s="103"/>
      <c r="I261" s="144"/>
      <c r="J261" s="104"/>
      <c r="K261" s="103"/>
      <c r="L261" s="103"/>
      <c r="M261" s="141">
        <f t="shared" si="24"/>
        <v>3</v>
      </c>
      <c r="N261" s="103"/>
      <c r="O261" s="103" t="s">
        <v>947</v>
      </c>
      <c r="P261" s="137">
        <f t="shared" si="22"/>
        <v>225</v>
      </c>
    </row>
    <row r="262" spans="1:16" s="8" customFormat="1" ht="15.75" x14ac:dyDescent="0.25">
      <c r="A262" s="106" t="s">
        <v>521</v>
      </c>
      <c r="B262" s="102">
        <v>44193</v>
      </c>
      <c r="C262" s="9" t="s">
        <v>739</v>
      </c>
      <c r="D262" s="25" t="s">
        <v>1122</v>
      </c>
      <c r="E262" s="161">
        <v>300</v>
      </c>
      <c r="F262" s="134">
        <v>29</v>
      </c>
      <c r="G262" s="50">
        <f>E262*F262</f>
        <v>8700</v>
      </c>
      <c r="H262" s="103"/>
      <c r="I262" s="144"/>
      <c r="J262" s="104"/>
      <c r="K262" s="103"/>
      <c r="L262" s="103"/>
      <c r="M262" s="141">
        <f t="shared" si="24"/>
        <v>300</v>
      </c>
      <c r="N262" s="103"/>
      <c r="O262" s="103" t="s">
        <v>947</v>
      </c>
      <c r="P262" s="137">
        <f t="shared" si="22"/>
        <v>8700</v>
      </c>
    </row>
    <row r="263" spans="1:16" s="8" customFormat="1" ht="15.75" x14ac:dyDescent="0.25">
      <c r="A263" s="106" t="s">
        <v>522</v>
      </c>
      <c r="B263" s="102">
        <v>44193</v>
      </c>
      <c r="C263" s="25" t="s">
        <v>826</v>
      </c>
      <c r="D263" s="25" t="s">
        <v>1122</v>
      </c>
      <c r="E263" s="162">
        <v>16</v>
      </c>
      <c r="F263" s="134">
        <v>143</v>
      </c>
      <c r="G263" s="50">
        <f>E263*F263</f>
        <v>2288</v>
      </c>
      <c r="H263" s="103"/>
      <c r="I263" s="144"/>
      <c r="J263" s="104"/>
      <c r="K263" s="103"/>
      <c r="L263" s="103"/>
      <c r="M263" s="141">
        <f t="shared" si="24"/>
        <v>16</v>
      </c>
      <c r="N263" s="103"/>
      <c r="O263" s="103" t="s">
        <v>946</v>
      </c>
      <c r="P263" s="137">
        <f t="shared" si="22"/>
        <v>2288</v>
      </c>
    </row>
    <row r="264" spans="1:16" s="8" customFormat="1" ht="15.75" x14ac:dyDescent="0.25">
      <c r="A264" s="106" t="s">
        <v>523</v>
      </c>
      <c r="B264" s="102">
        <v>44193</v>
      </c>
      <c r="C264" s="9" t="s">
        <v>741</v>
      </c>
      <c r="D264" s="25" t="s">
        <v>1122</v>
      </c>
      <c r="E264" s="169">
        <v>112</v>
      </c>
      <c r="F264" s="134">
        <v>8.5</v>
      </c>
      <c r="G264" s="50">
        <f t="shared" ref="G264:G271" si="25">E264*F264</f>
        <v>952</v>
      </c>
      <c r="H264" s="103"/>
      <c r="I264" s="144"/>
      <c r="J264" s="104"/>
      <c r="K264" s="103"/>
      <c r="L264" s="103"/>
      <c r="M264" s="141">
        <f t="shared" si="24"/>
        <v>112</v>
      </c>
      <c r="N264" s="103"/>
      <c r="O264" s="103" t="s">
        <v>947</v>
      </c>
      <c r="P264" s="137">
        <f t="shared" si="22"/>
        <v>952</v>
      </c>
    </row>
    <row r="265" spans="1:16" s="8" customFormat="1" ht="15.75" x14ac:dyDescent="0.25">
      <c r="A265" s="106" t="s">
        <v>524</v>
      </c>
      <c r="B265" s="102">
        <v>44193</v>
      </c>
      <c r="C265" s="9" t="s">
        <v>742</v>
      </c>
      <c r="D265" s="25" t="s">
        <v>1122</v>
      </c>
      <c r="E265" s="169">
        <v>24</v>
      </c>
      <c r="F265" s="134">
        <v>12</v>
      </c>
      <c r="G265" s="50">
        <f t="shared" si="25"/>
        <v>288</v>
      </c>
      <c r="H265" s="103"/>
      <c r="I265" s="144"/>
      <c r="J265" s="104"/>
      <c r="K265" s="103"/>
      <c r="L265" s="103"/>
      <c r="M265" s="141">
        <f t="shared" si="24"/>
        <v>24</v>
      </c>
      <c r="N265" s="103"/>
      <c r="O265" s="103" t="s">
        <v>947</v>
      </c>
      <c r="P265" s="137">
        <f t="shared" si="22"/>
        <v>288</v>
      </c>
    </row>
    <row r="266" spans="1:16" s="8" customFormat="1" ht="15.75" x14ac:dyDescent="0.25">
      <c r="A266" s="106" t="s">
        <v>525</v>
      </c>
      <c r="B266" s="102">
        <v>44193</v>
      </c>
      <c r="C266" s="9" t="s">
        <v>743</v>
      </c>
      <c r="D266" s="25" t="s">
        <v>1122</v>
      </c>
      <c r="E266" s="161">
        <v>34</v>
      </c>
      <c r="F266" s="134">
        <v>8</v>
      </c>
      <c r="G266" s="50">
        <f t="shared" si="25"/>
        <v>272</v>
      </c>
      <c r="H266" s="103"/>
      <c r="I266" s="144"/>
      <c r="J266" s="104"/>
      <c r="K266" s="103"/>
      <c r="L266" s="103"/>
      <c r="M266" s="141">
        <f t="shared" si="24"/>
        <v>34</v>
      </c>
      <c r="N266" s="103"/>
      <c r="O266" s="103" t="s">
        <v>947</v>
      </c>
      <c r="P266" s="137">
        <f t="shared" si="22"/>
        <v>272</v>
      </c>
    </row>
    <row r="267" spans="1:16" s="105" customFormat="1" ht="15.75" x14ac:dyDescent="0.25">
      <c r="A267" s="106" t="s">
        <v>526</v>
      </c>
      <c r="B267" s="129">
        <v>45042</v>
      </c>
      <c r="C267" s="9" t="s">
        <v>744</v>
      </c>
      <c r="D267" s="25" t="s">
        <v>1122</v>
      </c>
      <c r="E267" s="161">
        <v>22</v>
      </c>
      <c r="F267" s="134">
        <v>91.99</v>
      </c>
      <c r="G267" s="50">
        <f t="shared" si="25"/>
        <v>2023.78</v>
      </c>
      <c r="H267" s="107"/>
      <c r="I267" s="144"/>
      <c r="J267" s="104"/>
      <c r="K267" s="108">
        <f>+I267*J267</f>
        <v>0</v>
      </c>
      <c r="L267" s="103"/>
      <c r="M267" s="151">
        <f t="shared" si="24"/>
        <v>22</v>
      </c>
      <c r="N267" s="103" t="s">
        <v>1037</v>
      </c>
      <c r="O267" s="103" t="s">
        <v>947</v>
      </c>
      <c r="P267" s="137">
        <f t="shared" si="22"/>
        <v>2023.78</v>
      </c>
    </row>
    <row r="268" spans="1:16" s="8" customFormat="1" ht="31.5" x14ac:dyDescent="0.25">
      <c r="A268" s="106" t="s">
        <v>527</v>
      </c>
      <c r="B268" s="129">
        <v>44851</v>
      </c>
      <c r="C268" s="9" t="s">
        <v>745</v>
      </c>
      <c r="D268" s="25" t="s">
        <v>1122</v>
      </c>
      <c r="E268" s="161">
        <v>1</v>
      </c>
      <c r="F268" s="134">
        <v>188.21</v>
      </c>
      <c r="G268" s="50">
        <f t="shared" si="25"/>
        <v>188.21</v>
      </c>
      <c r="H268" s="107">
        <v>44851</v>
      </c>
      <c r="I268" s="144">
        <v>20</v>
      </c>
      <c r="J268" s="104">
        <v>188.21</v>
      </c>
      <c r="K268" s="108">
        <f>+I268*J268</f>
        <v>3764.2000000000003</v>
      </c>
      <c r="L268" s="103">
        <v>1</v>
      </c>
      <c r="M268" s="141">
        <f t="shared" si="24"/>
        <v>20</v>
      </c>
      <c r="N268" s="121" t="s">
        <v>1006</v>
      </c>
      <c r="O268" s="103" t="s">
        <v>946</v>
      </c>
      <c r="P268" s="137">
        <f t="shared" si="22"/>
        <v>3764.2000000000003</v>
      </c>
    </row>
    <row r="269" spans="1:16" s="8" customFormat="1" ht="15.75" x14ac:dyDescent="0.25">
      <c r="A269" s="106" t="s">
        <v>528</v>
      </c>
      <c r="B269" s="129">
        <v>45042</v>
      </c>
      <c r="C269" s="9" t="s">
        <v>747</v>
      </c>
      <c r="D269" s="25" t="s">
        <v>1122</v>
      </c>
      <c r="E269" s="161"/>
      <c r="F269" s="134">
        <v>25.42</v>
      </c>
      <c r="G269" s="50">
        <f t="shared" si="25"/>
        <v>0</v>
      </c>
      <c r="H269" s="107">
        <v>45042</v>
      </c>
      <c r="I269" s="144">
        <v>240</v>
      </c>
      <c r="J269" s="104">
        <v>30.11</v>
      </c>
      <c r="K269" s="104">
        <f>+I269*J269</f>
        <v>7226.4</v>
      </c>
      <c r="L269" s="103">
        <v>22</v>
      </c>
      <c r="M269" s="151">
        <f t="shared" si="24"/>
        <v>218</v>
      </c>
      <c r="N269" s="103"/>
      <c r="O269" s="103" t="s">
        <v>947</v>
      </c>
      <c r="P269" s="137">
        <f t="shared" si="22"/>
        <v>5541.56</v>
      </c>
    </row>
    <row r="270" spans="1:16" s="8" customFormat="1" ht="15.75" x14ac:dyDescent="0.25">
      <c r="A270" s="106" t="s">
        <v>529</v>
      </c>
      <c r="B270" s="129">
        <v>44852</v>
      </c>
      <c r="C270" s="9" t="s">
        <v>748</v>
      </c>
      <c r="D270" s="25" t="s">
        <v>1122</v>
      </c>
      <c r="E270" s="161"/>
      <c r="F270" s="134">
        <v>23.82</v>
      </c>
      <c r="G270" s="50">
        <f t="shared" si="25"/>
        <v>0</v>
      </c>
      <c r="H270" s="107">
        <v>44852</v>
      </c>
      <c r="I270" s="144">
        <f>15*12</f>
        <v>180</v>
      </c>
      <c r="J270" s="104">
        <v>40.69</v>
      </c>
      <c r="K270" s="108">
        <f>+I270*J270</f>
        <v>7324.2</v>
      </c>
      <c r="L270" s="103">
        <f>72+12+6</f>
        <v>90</v>
      </c>
      <c r="M270" s="151">
        <f t="shared" si="24"/>
        <v>90</v>
      </c>
      <c r="N270" s="103" t="s">
        <v>1037</v>
      </c>
      <c r="O270" s="103" t="s">
        <v>947</v>
      </c>
      <c r="P270" s="137">
        <f t="shared" si="22"/>
        <v>2143.8000000000002</v>
      </c>
    </row>
    <row r="271" spans="1:16" s="8" customFormat="1" ht="15.75" x14ac:dyDescent="0.25">
      <c r="A271" s="106" t="s">
        <v>873</v>
      </c>
      <c r="B271" s="102">
        <v>44193</v>
      </c>
      <c r="C271" s="25" t="s">
        <v>785</v>
      </c>
      <c r="D271" s="25" t="s">
        <v>1122</v>
      </c>
      <c r="E271" s="162">
        <v>4</v>
      </c>
      <c r="F271" s="134">
        <v>45</v>
      </c>
      <c r="G271" s="50">
        <f t="shared" si="25"/>
        <v>180</v>
      </c>
      <c r="H271" s="103"/>
      <c r="I271" s="144"/>
      <c r="J271" s="104"/>
      <c r="K271" s="103"/>
      <c r="L271" s="103">
        <v>4</v>
      </c>
      <c r="M271" s="151">
        <f t="shared" si="24"/>
        <v>0</v>
      </c>
      <c r="N271" s="103"/>
      <c r="O271" s="103" t="s">
        <v>947</v>
      </c>
      <c r="P271" s="137">
        <f t="shared" si="22"/>
        <v>0</v>
      </c>
    </row>
    <row r="272" spans="1:16" s="8" customFormat="1" ht="15.75" x14ac:dyDescent="0.25">
      <c r="A272" s="106" t="s">
        <v>874</v>
      </c>
      <c r="B272" s="106" t="s">
        <v>105</v>
      </c>
      <c r="C272" s="9" t="s">
        <v>746</v>
      </c>
      <c r="D272" s="25" t="s">
        <v>1122</v>
      </c>
      <c r="E272" s="161">
        <v>7</v>
      </c>
      <c r="F272" s="171">
        <v>48</v>
      </c>
      <c r="G272" s="50">
        <f>E272*F272</f>
        <v>336</v>
      </c>
      <c r="H272" s="103"/>
      <c r="I272" s="144"/>
      <c r="J272" s="104"/>
      <c r="K272" s="103"/>
      <c r="L272" s="103">
        <v>7</v>
      </c>
      <c r="M272" s="151">
        <f t="shared" si="24"/>
        <v>0</v>
      </c>
      <c r="N272" s="103"/>
      <c r="O272" s="103" t="s">
        <v>947</v>
      </c>
      <c r="P272" s="137">
        <f t="shared" si="22"/>
        <v>0</v>
      </c>
    </row>
    <row r="273" spans="1:16" s="8" customFormat="1" ht="15.75" x14ac:dyDescent="0.25">
      <c r="A273" s="106" t="s">
        <v>875</v>
      </c>
      <c r="B273" s="102"/>
      <c r="C273" s="25" t="s">
        <v>815</v>
      </c>
      <c r="D273" s="25" t="s">
        <v>1122</v>
      </c>
      <c r="E273" s="162">
        <v>6</v>
      </c>
      <c r="F273" s="134"/>
      <c r="G273" s="50"/>
      <c r="H273" s="103"/>
      <c r="I273" s="144"/>
      <c r="J273" s="104"/>
      <c r="K273" s="103"/>
      <c r="L273" s="103"/>
      <c r="M273" s="141">
        <f t="shared" si="24"/>
        <v>6</v>
      </c>
      <c r="N273" s="103"/>
      <c r="O273" s="103" t="s">
        <v>946</v>
      </c>
      <c r="P273" s="137">
        <f t="shared" si="22"/>
        <v>0</v>
      </c>
    </row>
    <row r="274" spans="1:16" s="92" customFormat="1" x14ac:dyDescent="0.3">
      <c r="A274" s="106" t="s">
        <v>876</v>
      </c>
      <c r="B274" s="102">
        <v>44193</v>
      </c>
      <c r="C274" s="25" t="s">
        <v>750</v>
      </c>
      <c r="D274" s="25" t="s">
        <v>1122</v>
      </c>
      <c r="E274" s="162">
        <v>20</v>
      </c>
      <c r="F274" s="134">
        <v>1449.14</v>
      </c>
      <c r="G274" s="50">
        <f t="shared" ref="G274:G286" si="26">E274*F274</f>
        <v>28982.800000000003</v>
      </c>
      <c r="H274" s="103"/>
      <c r="I274" s="144"/>
      <c r="J274" s="104"/>
      <c r="K274" s="103"/>
      <c r="L274" s="103"/>
      <c r="M274" s="141">
        <f t="shared" si="24"/>
        <v>20</v>
      </c>
      <c r="N274" s="103"/>
      <c r="O274" s="103" t="s">
        <v>945</v>
      </c>
      <c r="P274" s="137">
        <f t="shared" si="22"/>
        <v>28982.800000000003</v>
      </c>
    </row>
    <row r="275" spans="1:16" s="92" customFormat="1" x14ac:dyDescent="0.3">
      <c r="A275" s="106" t="s">
        <v>877</v>
      </c>
      <c r="B275" s="129">
        <v>45019</v>
      </c>
      <c r="C275" s="25" t="s">
        <v>771</v>
      </c>
      <c r="D275" s="25" t="s">
        <v>1122</v>
      </c>
      <c r="E275" s="162">
        <v>3</v>
      </c>
      <c r="F275" s="134">
        <v>3481</v>
      </c>
      <c r="G275" s="50">
        <f t="shared" si="26"/>
        <v>10443</v>
      </c>
      <c r="H275" s="107">
        <v>45019</v>
      </c>
      <c r="I275" s="144">
        <v>30</v>
      </c>
      <c r="J275" s="104">
        <v>300.89999999999998</v>
      </c>
      <c r="K275" s="103">
        <f>+J275/10</f>
        <v>30.089999999999996</v>
      </c>
      <c r="L275" s="103">
        <v>5</v>
      </c>
      <c r="M275" s="151">
        <f t="shared" si="24"/>
        <v>28</v>
      </c>
      <c r="N275" s="103" t="s">
        <v>943</v>
      </c>
      <c r="O275" s="103" t="s">
        <v>945</v>
      </c>
      <c r="P275" s="137">
        <f t="shared" si="22"/>
        <v>97468</v>
      </c>
    </row>
    <row r="276" spans="1:16" s="8" customFormat="1" ht="15.75" x14ac:dyDescent="0.25">
      <c r="A276" s="106" t="s">
        <v>878</v>
      </c>
      <c r="B276" s="102">
        <v>44193</v>
      </c>
      <c r="C276" s="25" t="s">
        <v>754</v>
      </c>
      <c r="D276" s="25" t="s">
        <v>1122</v>
      </c>
      <c r="E276" s="162">
        <v>7</v>
      </c>
      <c r="F276" s="134">
        <v>38</v>
      </c>
      <c r="G276" s="50">
        <f t="shared" si="26"/>
        <v>266</v>
      </c>
      <c r="H276" s="103"/>
      <c r="I276" s="144"/>
      <c r="J276" s="104"/>
      <c r="K276" s="103"/>
      <c r="L276" s="103"/>
      <c r="M276" s="141">
        <f t="shared" si="24"/>
        <v>7</v>
      </c>
      <c r="N276" s="103"/>
      <c r="O276" s="103" t="s">
        <v>946</v>
      </c>
      <c r="P276" s="137">
        <f t="shared" si="22"/>
        <v>266</v>
      </c>
    </row>
    <row r="277" spans="1:16" s="8" customFormat="1" ht="15.75" x14ac:dyDescent="0.25">
      <c r="A277" s="106" t="s">
        <v>879</v>
      </c>
      <c r="B277" s="106" t="s">
        <v>105</v>
      </c>
      <c r="C277" s="25" t="s">
        <v>753</v>
      </c>
      <c r="D277" s="25" t="s">
        <v>1122</v>
      </c>
      <c r="E277" s="162">
        <v>12</v>
      </c>
      <c r="F277" s="134">
        <v>38</v>
      </c>
      <c r="G277" s="50">
        <f t="shared" si="26"/>
        <v>456</v>
      </c>
      <c r="H277" s="103"/>
      <c r="I277" s="144"/>
      <c r="J277" s="104"/>
      <c r="K277" s="103"/>
      <c r="L277" s="103"/>
      <c r="M277" s="141">
        <f t="shared" si="24"/>
        <v>12</v>
      </c>
      <c r="N277" s="103"/>
      <c r="O277" s="103" t="s">
        <v>946</v>
      </c>
      <c r="P277" s="137">
        <f t="shared" si="22"/>
        <v>456</v>
      </c>
    </row>
    <row r="278" spans="1:16" s="8" customFormat="1" ht="15.75" x14ac:dyDescent="0.25">
      <c r="A278" s="106" t="s">
        <v>880</v>
      </c>
      <c r="B278" s="102">
        <v>44193</v>
      </c>
      <c r="C278" s="25" t="s">
        <v>757</v>
      </c>
      <c r="D278" s="25" t="s">
        <v>1122</v>
      </c>
      <c r="E278" s="162">
        <v>1</v>
      </c>
      <c r="F278" s="134">
        <v>38</v>
      </c>
      <c r="G278" s="50">
        <f t="shared" si="26"/>
        <v>38</v>
      </c>
      <c r="H278" s="103"/>
      <c r="I278" s="144"/>
      <c r="J278" s="104"/>
      <c r="K278" s="103"/>
      <c r="L278" s="103"/>
      <c r="M278" s="141">
        <f t="shared" si="24"/>
        <v>1</v>
      </c>
      <c r="N278" s="103"/>
      <c r="O278" s="103" t="s">
        <v>946</v>
      </c>
      <c r="P278" s="137">
        <f t="shared" si="22"/>
        <v>38</v>
      </c>
    </row>
    <row r="279" spans="1:16" s="8" customFormat="1" ht="15.75" x14ac:dyDescent="0.25">
      <c r="A279" s="106" t="s">
        <v>881</v>
      </c>
      <c r="B279" s="102">
        <v>44193</v>
      </c>
      <c r="C279" s="25" t="s">
        <v>760</v>
      </c>
      <c r="D279" s="25" t="s">
        <v>1122</v>
      </c>
      <c r="E279" s="162">
        <v>1</v>
      </c>
      <c r="F279" s="134">
        <v>41</v>
      </c>
      <c r="G279" s="50">
        <f t="shared" si="26"/>
        <v>41</v>
      </c>
      <c r="H279" s="103"/>
      <c r="I279" s="144"/>
      <c r="J279" s="104"/>
      <c r="K279" s="103"/>
      <c r="L279" s="103"/>
      <c r="M279" s="141">
        <f t="shared" si="24"/>
        <v>1</v>
      </c>
      <c r="N279" s="103"/>
      <c r="O279" s="103" t="s">
        <v>946</v>
      </c>
      <c r="P279" s="137">
        <f t="shared" si="22"/>
        <v>41</v>
      </c>
    </row>
    <row r="280" spans="1:16" s="8" customFormat="1" ht="15.75" x14ac:dyDescent="0.25">
      <c r="A280" s="106" t="s">
        <v>882</v>
      </c>
      <c r="B280" s="102">
        <v>44193</v>
      </c>
      <c r="C280" s="25" t="s">
        <v>758</v>
      </c>
      <c r="D280" s="25" t="s">
        <v>1122</v>
      </c>
      <c r="E280" s="162">
        <v>1</v>
      </c>
      <c r="F280" s="134">
        <v>38</v>
      </c>
      <c r="G280" s="50">
        <f t="shared" si="26"/>
        <v>38</v>
      </c>
      <c r="H280" s="103"/>
      <c r="I280" s="144"/>
      <c r="J280" s="104"/>
      <c r="K280" s="103"/>
      <c r="L280" s="103"/>
      <c r="M280" s="141">
        <f t="shared" si="24"/>
        <v>1</v>
      </c>
      <c r="N280" s="103"/>
      <c r="O280" s="103" t="s">
        <v>946</v>
      </c>
      <c r="P280" s="137">
        <f t="shared" si="22"/>
        <v>38</v>
      </c>
    </row>
    <row r="281" spans="1:16" s="8" customFormat="1" ht="15.75" x14ac:dyDescent="0.25">
      <c r="A281" s="106" t="s">
        <v>883</v>
      </c>
      <c r="B281" s="102">
        <v>44193</v>
      </c>
      <c r="C281" s="25" t="s">
        <v>759</v>
      </c>
      <c r="D281" s="25" t="s">
        <v>1122</v>
      </c>
      <c r="E281" s="162">
        <v>1</v>
      </c>
      <c r="F281" s="134">
        <v>38</v>
      </c>
      <c r="G281" s="50">
        <f t="shared" si="26"/>
        <v>38</v>
      </c>
      <c r="H281" s="103"/>
      <c r="I281" s="144"/>
      <c r="J281" s="104"/>
      <c r="K281" s="103"/>
      <c r="L281" s="103"/>
      <c r="M281" s="141">
        <f t="shared" si="24"/>
        <v>1</v>
      </c>
      <c r="N281" s="103"/>
      <c r="O281" s="103" t="s">
        <v>946</v>
      </c>
      <c r="P281" s="137">
        <f t="shared" ref="P281:P344" si="27">+F281*M281</f>
        <v>38</v>
      </c>
    </row>
    <row r="282" spans="1:16" s="8" customFormat="1" ht="15.75" x14ac:dyDescent="0.25">
      <c r="A282" s="106" t="s">
        <v>884</v>
      </c>
      <c r="B282" s="106" t="s">
        <v>105</v>
      </c>
      <c r="C282" s="25" t="s">
        <v>755</v>
      </c>
      <c r="D282" s="25" t="s">
        <v>1122</v>
      </c>
      <c r="E282" s="162">
        <v>1</v>
      </c>
      <c r="F282" s="134">
        <v>38</v>
      </c>
      <c r="G282" s="50">
        <f t="shared" si="26"/>
        <v>38</v>
      </c>
      <c r="H282" s="103"/>
      <c r="I282" s="144"/>
      <c r="J282" s="104"/>
      <c r="K282" s="103"/>
      <c r="L282" s="103"/>
      <c r="M282" s="141">
        <f t="shared" si="24"/>
        <v>1</v>
      </c>
      <c r="N282" s="103"/>
      <c r="O282" s="103" t="s">
        <v>946</v>
      </c>
      <c r="P282" s="137">
        <f t="shared" si="27"/>
        <v>38</v>
      </c>
    </row>
    <row r="283" spans="1:16" s="8" customFormat="1" ht="15.75" x14ac:dyDescent="0.25">
      <c r="A283" s="106" t="s">
        <v>885</v>
      </c>
      <c r="B283" s="102">
        <v>44193</v>
      </c>
      <c r="C283" s="25" t="s">
        <v>756</v>
      </c>
      <c r="D283" s="25" t="s">
        <v>1122</v>
      </c>
      <c r="E283" s="162">
        <v>1</v>
      </c>
      <c r="F283" s="134">
        <v>38</v>
      </c>
      <c r="G283" s="50">
        <f t="shared" si="26"/>
        <v>38</v>
      </c>
      <c r="H283" s="103"/>
      <c r="I283" s="144"/>
      <c r="J283" s="104"/>
      <c r="K283" s="103"/>
      <c r="L283" s="103"/>
      <c r="M283" s="141">
        <f t="shared" si="24"/>
        <v>1</v>
      </c>
      <c r="N283" s="103"/>
      <c r="O283" s="103" t="s">
        <v>946</v>
      </c>
      <c r="P283" s="137">
        <f t="shared" si="27"/>
        <v>38</v>
      </c>
    </row>
    <row r="284" spans="1:16" s="8" customFormat="1" ht="15.75" x14ac:dyDescent="0.25">
      <c r="A284" s="106" t="s">
        <v>886</v>
      </c>
      <c r="B284" s="102">
        <v>44193</v>
      </c>
      <c r="C284" s="25" t="s">
        <v>762</v>
      </c>
      <c r="D284" s="25" t="s">
        <v>1122</v>
      </c>
      <c r="E284" s="162">
        <v>7</v>
      </c>
      <c r="F284" s="134">
        <v>537</v>
      </c>
      <c r="G284" s="50">
        <f t="shared" si="26"/>
        <v>3759</v>
      </c>
      <c r="H284" s="103"/>
      <c r="I284" s="144"/>
      <c r="J284" s="104"/>
      <c r="K284" s="103"/>
      <c r="L284" s="103"/>
      <c r="M284" s="141">
        <f t="shared" si="24"/>
        <v>7</v>
      </c>
      <c r="N284" s="103"/>
      <c r="O284" s="103" t="s">
        <v>946</v>
      </c>
      <c r="P284" s="137">
        <f t="shared" si="27"/>
        <v>3759</v>
      </c>
    </row>
    <row r="285" spans="1:16" s="8" customFormat="1" ht="15.75" x14ac:dyDescent="0.25">
      <c r="A285" s="106" t="s">
        <v>887</v>
      </c>
      <c r="B285" s="102">
        <v>44193</v>
      </c>
      <c r="C285" s="25" t="s">
        <v>761</v>
      </c>
      <c r="D285" s="25" t="s">
        <v>1122</v>
      </c>
      <c r="E285" s="162">
        <v>3</v>
      </c>
      <c r="F285" s="134">
        <v>537</v>
      </c>
      <c r="G285" s="50">
        <f t="shared" si="26"/>
        <v>1611</v>
      </c>
      <c r="H285" s="103"/>
      <c r="I285" s="144"/>
      <c r="J285" s="104"/>
      <c r="K285" s="103"/>
      <c r="L285" s="103"/>
      <c r="M285" s="141">
        <f t="shared" si="24"/>
        <v>3</v>
      </c>
      <c r="N285" s="103"/>
      <c r="O285" s="103" t="s">
        <v>946</v>
      </c>
      <c r="P285" s="137">
        <f t="shared" si="27"/>
        <v>1611</v>
      </c>
    </row>
    <row r="286" spans="1:16" s="8" customFormat="1" ht="15.75" x14ac:dyDescent="0.25">
      <c r="A286" s="106" t="s">
        <v>888</v>
      </c>
      <c r="B286" s="102">
        <v>44193</v>
      </c>
      <c r="C286" s="9" t="s">
        <v>763</v>
      </c>
      <c r="D286" s="25" t="s">
        <v>1122</v>
      </c>
      <c r="E286" s="161">
        <v>13</v>
      </c>
      <c r="F286" s="134">
        <v>13.87</v>
      </c>
      <c r="G286" s="50">
        <f t="shared" si="26"/>
        <v>180.31</v>
      </c>
      <c r="H286" s="103"/>
      <c r="I286" s="144"/>
      <c r="J286" s="104"/>
      <c r="K286" s="103"/>
      <c r="L286" s="103"/>
      <c r="M286" s="141">
        <f t="shared" si="24"/>
        <v>13</v>
      </c>
      <c r="N286" s="103"/>
      <c r="O286" s="103" t="s">
        <v>947</v>
      </c>
      <c r="P286" s="137">
        <f t="shared" si="27"/>
        <v>180.31</v>
      </c>
    </row>
    <row r="287" spans="1:16" s="8" customFormat="1" ht="15.75" x14ac:dyDescent="0.25">
      <c r="A287" s="106" t="s">
        <v>889</v>
      </c>
      <c r="B287" s="102"/>
      <c r="C287" s="25" t="s">
        <v>814</v>
      </c>
      <c r="D287" s="25" t="s">
        <v>1122</v>
      </c>
      <c r="E287" s="162">
        <v>5</v>
      </c>
      <c r="F287" s="134"/>
      <c r="G287" s="50"/>
      <c r="H287" s="103"/>
      <c r="I287" s="144"/>
      <c r="J287" s="104"/>
      <c r="K287" s="103"/>
      <c r="L287" s="103"/>
      <c r="M287" s="141">
        <f t="shared" si="24"/>
        <v>5</v>
      </c>
      <c r="N287" s="103"/>
      <c r="O287" s="103" t="s">
        <v>946</v>
      </c>
      <c r="P287" s="137">
        <f t="shared" si="27"/>
        <v>0</v>
      </c>
    </row>
    <row r="288" spans="1:16" s="8" customFormat="1" ht="15.75" x14ac:dyDescent="0.25">
      <c r="A288" s="106" t="s">
        <v>890</v>
      </c>
      <c r="B288" s="102"/>
      <c r="C288" s="25" t="s">
        <v>805</v>
      </c>
      <c r="D288" s="25" t="s">
        <v>1122</v>
      </c>
      <c r="E288" s="162">
        <v>9</v>
      </c>
      <c r="F288" s="134"/>
      <c r="G288" s="50"/>
      <c r="H288" s="103"/>
      <c r="I288" s="144"/>
      <c r="J288" s="104"/>
      <c r="K288" s="103"/>
      <c r="L288" s="103"/>
      <c r="M288" s="141">
        <f t="shared" si="24"/>
        <v>9</v>
      </c>
      <c r="N288" s="103"/>
      <c r="O288" s="103" t="s">
        <v>946</v>
      </c>
      <c r="P288" s="137">
        <f t="shared" si="27"/>
        <v>0</v>
      </c>
    </row>
    <row r="289" spans="1:16" s="105" customFormat="1" ht="15.75" x14ac:dyDescent="0.25">
      <c r="A289" s="106" t="s">
        <v>891</v>
      </c>
      <c r="B289" s="129">
        <v>44852</v>
      </c>
      <c r="C289" s="25" t="s">
        <v>784</v>
      </c>
      <c r="D289" s="25" t="s">
        <v>1122</v>
      </c>
      <c r="E289" s="162">
        <f>17+14</f>
        <v>31</v>
      </c>
      <c r="F289" s="173">
        <v>25.52</v>
      </c>
      <c r="G289" s="108">
        <f>+E289*F289</f>
        <v>791.12</v>
      </c>
      <c r="H289" s="107">
        <v>44852</v>
      </c>
      <c r="I289" s="144">
        <v>15</v>
      </c>
      <c r="J289" s="104">
        <v>25.52</v>
      </c>
      <c r="K289" s="108">
        <f>+I289*J289</f>
        <v>382.8</v>
      </c>
      <c r="L289" s="103">
        <v>2</v>
      </c>
      <c r="M289" s="151">
        <f t="shared" si="24"/>
        <v>44</v>
      </c>
      <c r="N289" s="103" t="s">
        <v>1037</v>
      </c>
      <c r="O289" s="103" t="s">
        <v>947</v>
      </c>
      <c r="P289" s="137">
        <f t="shared" si="27"/>
        <v>1122.8799999999999</v>
      </c>
    </row>
    <row r="290" spans="1:16" s="105" customFormat="1" ht="15.75" x14ac:dyDescent="0.25">
      <c r="A290" s="106" t="s">
        <v>892</v>
      </c>
      <c r="B290" s="102">
        <v>44729</v>
      </c>
      <c r="C290" s="25" t="s">
        <v>860</v>
      </c>
      <c r="D290" s="25" t="s">
        <v>1122</v>
      </c>
      <c r="E290" s="162">
        <v>12</v>
      </c>
      <c r="F290" s="134">
        <v>1637.5</v>
      </c>
      <c r="G290" s="50">
        <f>+E290*F290</f>
        <v>19650</v>
      </c>
      <c r="H290" s="103"/>
      <c r="I290" s="144"/>
      <c r="J290" s="104"/>
      <c r="K290" s="103"/>
      <c r="L290" s="103"/>
      <c r="M290" s="141">
        <f t="shared" si="24"/>
        <v>12</v>
      </c>
      <c r="N290" s="103"/>
      <c r="O290" s="103" t="s">
        <v>946</v>
      </c>
      <c r="P290" s="137">
        <f t="shared" si="27"/>
        <v>19650</v>
      </c>
    </row>
    <row r="291" spans="1:16" s="92" customFormat="1" x14ac:dyDescent="0.3">
      <c r="A291" s="106" t="s">
        <v>893</v>
      </c>
      <c r="B291" s="102">
        <v>44652</v>
      </c>
      <c r="C291" s="25" t="s">
        <v>859</v>
      </c>
      <c r="D291" s="25" t="s">
        <v>1122</v>
      </c>
      <c r="E291" s="162">
        <f>11+6+12+11</f>
        <v>40</v>
      </c>
      <c r="F291" s="134">
        <v>159</v>
      </c>
      <c r="G291" s="50">
        <f>+E291*F291</f>
        <v>6360</v>
      </c>
      <c r="H291" s="103"/>
      <c r="I291" s="144"/>
      <c r="J291" s="104"/>
      <c r="K291" s="103"/>
      <c r="L291" s="103">
        <f>12+2</f>
        <v>14</v>
      </c>
      <c r="M291" s="151">
        <f t="shared" si="24"/>
        <v>26</v>
      </c>
      <c r="N291" s="103"/>
      <c r="O291" s="103" t="s">
        <v>945</v>
      </c>
      <c r="P291" s="137">
        <f t="shared" si="27"/>
        <v>4134</v>
      </c>
    </row>
    <row r="292" spans="1:16" s="92" customFormat="1" x14ac:dyDescent="0.3">
      <c r="A292" s="106" t="s">
        <v>894</v>
      </c>
      <c r="B292" s="102">
        <v>44652</v>
      </c>
      <c r="C292" s="25" t="s">
        <v>858</v>
      </c>
      <c r="D292" s="25" t="s">
        <v>1122</v>
      </c>
      <c r="E292" s="162">
        <v>11</v>
      </c>
      <c r="F292" s="134"/>
      <c r="G292" s="50">
        <f>+E292*F292</f>
        <v>0</v>
      </c>
      <c r="H292" s="103"/>
      <c r="I292" s="144"/>
      <c r="J292" s="104"/>
      <c r="K292" s="103"/>
      <c r="L292" s="103">
        <v>11</v>
      </c>
      <c r="M292" s="141">
        <f t="shared" si="24"/>
        <v>0</v>
      </c>
      <c r="N292" s="103"/>
      <c r="O292" s="103" t="s">
        <v>945</v>
      </c>
      <c r="P292" s="137">
        <f t="shared" si="27"/>
        <v>0</v>
      </c>
    </row>
    <row r="293" spans="1:16" s="92" customFormat="1" x14ac:dyDescent="0.3">
      <c r="A293" s="106" t="s">
        <v>895</v>
      </c>
      <c r="B293" s="102">
        <v>44652</v>
      </c>
      <c r="C293" s="25" t="s">
        <v>920</v>
      </c>
      <c r="D293" s="25" t="s">
        <v>1122</v>
      </c>
      <c r="E293" s="162">
        <f>9+11+7</f>
        <v>27</v>
      </c>
      <c r="F293" s="134">
        <v>145</v>
      </c>
      <c r="G293" s="50">
        <f>+E293*F293</f>
        <v>3915</v>
      </c>
      <c r="H293" s="103"/>
      <c r="I293" s="144"/>
      <c r="J293" s="104"/>
      <c r="K293" s="103"/>
      <c r="L293" s="103">
        <v>21</v>
      </c>
      <c r="M293" s="151">
        <f t="shared" si="24"/>
        <v>6</v>
      </c>
      <c r="N293" s="103"/>
      <c r="O293" s="103" t="s">
        <v>945</v>
      </c>
      <c r="P293" s="137">
        <f t="shared" si="27"/>
        <v>870</v>
      </c>
    </row>
    <row r="294" spans="1:16" s="8" customFormat="1" ht="15.75" x14ac:dyDescent="0.25">
      <c r="A294" s="106" t="s">
        <v>896</v>
      </c>
      <c r="B294" s="102"/>
      <c r="C294" s="25" t="s">
        <v>795</v>
      </c>
      <c r="D294" s="25" t="s">
        <v>1122</v>
      </c>
      <c r="E294" s="162">
        <v>29</v>
      </c>
      <c r="F294" s="134">
        <v>29.35</v>
      </c>
      <c r="G294" s="50">
        <f t="shared" ref="G294:G310" si="28">+E294*F294</f>
        <v>851.15000000000009</v>
      </c>
      <c r="H294" s="103"/>
      <c r="I294" s="144"/>
      <c r="J294" s="104"/>
      <c r="K294" s="103"/>
      <c r="L294" s="103"/>
      <c r="M294" s="141">
        <f t="shared" si="24"/>
        <v>29</v>
      </c>
      <c r="N294" s="103"/>
      <c r="O294" s="103" t="s">
        <v>946</v>
      </c>
      <c r="P294" s="137">
        <f t="shared" si="27"/>
        <v>851.15000000000009</v>
      </c>
    </row>
    <row r="295" spans="1:16" s="8" customFormat="1" ht="15.75" x14ac:dyDescent="0.25">
      <c r="A295" s="106" t="s">
        <v>897</v>
      </c>
      <c r="B295" s="102"/>
      <c r="C295" s="25" t="s">
        <v>843</v>
      </c>
      <c r="D295" s="25" t="s">
        <v>1122</v>
      </c>
      <c r="E295" s="162">
        <v>8</v>
      </c>
      <c r="F295" s="134"/>
      <c r="G295" s="50">
        <f t="shared" si="28"/>
        <v>0</v>
      </c>
      <c r="H295" s="103"/>
      <c r="I295" s="144"/>
      <c r="J295" s="104"/>
      <c r="K295" s="103"/>
      <c r="L295" s="103"/>
      <c r="M295" s="141">
        <f t="shared" si="24"/>
        <v>8</v>
      </c>
      <c r="N295" s="103"/>
      <c r="O295" s="103" t="s">
        <v>946</v>
      </c>
      <c r="P295" s="137">
        <f t="shared" si="27"/>
        <v>0</v>
      </c>
    </row>
    <row r="296" spans="1:16" s="8" customFormat="1" ht="15.75" x14ac:dyDescent="0.25">
      <c r="A296" s="106" t="s">
        <v>898</v>
      </c>
      <c r="B296" s="102"/>
      <c r="C296" s="25" t="s">
        <v>793</v>
      </c>
      <c r="D296" s="25" t="s">
        <v>1122</v>
      </c>
      <c r="E296" s="162">
        <f>3+1</f>
        <v>4</v>
      </c>
      <c r="F296" s="134"/>
      <c r="G296" s="50">
        <f t="shared" si="28"/>
        <v>0</v>
      </c>
      <c r="H296" s="103"/>
      <c r="I296" s="144"/>
      <c r="J296" s="104"/>
      <c r="K296" s="103"/>
      <c r="L296" s="103">
        <v>1</v>
      </c>
      <c r="M296" s="141">
        <f t="shared" si="24"/>
        <v>3</v>
      </c>
      <c r="N296" s="103"/>
      <c r="O296" s="103" t="s">
        <v>946</v>
      </c>
      <c r="P296" s="137">
        <f t="shared" si="27"/>
        <v>0</v>
      </c>
    </row>
    <row r="297" spans="1:16" s="8" customFormat="1" ht="15.75" x14ac:dyDescent="0.25">
      <c r="A297" s="106" t="s">
        <v>899</v>
      </c>
      <c r="B297" s="102"/>
      <c r="C297" s="25" t="s">
        <v>842</v>
      </c>
      <c r="D297" s="25" t="s">
        <v>1122</v>
      </c>
      <c r="E297" s="162">
        <v>2</v>
      </c>
      <c r="F297" s="134"/>
      <c r="G297" s="50">
        <f t="shared" si="28"/>
        <v>0</v>
      </c>
      <c r="H297" s="103"/>
      <c r="I297" s="144"/>
      <c r="J297" s="104"/>
      <c r="K297" s="103"/>
      <c r="L297" s="103"/>
      <c r="M297" s="141">
        <f t="shared" si="24"/>
        <v>2</v>
      </c>
      <c r="N297" s="103"/>
      <c r="O297" s="103" t="s">
        <v>946</v>
      </c>
      <c r="P297" s="137">
        <f t="shared" si="27"/>
        <v>0</v>
      </c>
    </row>
    <row r="298" spans="1:16" s="8" customFormat="1" ht="15.75" x14ac:dyDescent="0.25">
      <c r="A298" s="106" t="s">
        <v>900</v>
      </c>
      <c r="B298" s="102">
        <v>44193</v>
      </c>
      <c r="C298" s="25" t="s">
        <v>841</v>
      </c>
      <c r="D298" s="25" t="s">
        <v>1122</v>
      </c>
      <c r="E298" s="162">
        <v>1</v>
      </c>
      <c r="F298" s="134">
        <v>18.86</v>
      </c>
      <c r="G298" s="50">
        <f t="shared" si="28"/>
        <v>18.86</v>
      </c>
      <c r="H298" s="103"/>
      <c r="I298" s="144"/>
      <c r="J298" s="104"/>
      <c r="K298" s="103"/>
      <c r="L298" s="103"/>
      <c r="M298" s="141">
        <f t="shared" si="24"/>
        <v>1</v>
      </c>
      <c r="N298" s="103"/>
      <c r="O298" s="103" t="s">
        <v>946</v>
      </c>
      <c r="P298" s="137">
        <f t="shared" si="27"/>
        <v>18.86</v>
      </c>
    </row>
    <row r="299" spans="1:16" s="8" customFormat="1" ht="15.75" x14ac:dyDescent="0.25">
      <c r="A299" s="106" t="s">
        <v>901</v>
      </c>
      <c r="B299" s="102">
        <v>44193</v>
      </c>
      <c r="C299" s="25" t="s">
        <v>848</v>
      </c>
      <c r="D299" s="25" t="s">
        <v>1122</v>
      </c>
      <c r="E299" s="162">
        <v>1</v>
      </c>
      <c r="F299" s="134"/>
      <c r="G299" s="50">
        <f t="shared" si="28"/>
        <v>0</v>
      </c>
      <c r="H299" s="103"/>
      <c r="I299" s="144"/>
      <c r="J299" s="104"/>
      <c r="K299" s="103"/>
      <c r="L299" s="103"/>
      <c r="M299" s="141">
        <f t="shared" si="24"/>
        <v>1</v>
      </c>
      <c r="N299" s="103"/>
      <c r="O299" s="103" t="s">
        <v>946</v>
      </c>
      <c r="P299" s="137">
        <f t="shared" si="27"/>
        <v>0</v>
      </c>
    </row>
    <row r="300" spans="1:16" s="8" customFormat="1" ht="15.75" x14ac:dyDescent="0.25">
      <c r="A300" s="106" t="s">
        <v>902</v>
      </c>
      <c r="B300" s="102">
        <v>44193</v>
      </c>
      <c r="C300" s="25" t="s">
        <v>839</v>
      </c>
      <c r="D300" s="25" t="s">
        <v>1122</v>
      </c>
      <c r="E300" s="162">
        <v>7</v>
      </c>
      <c r="F300" s="134"/>
      <c r="G300" s="50">
        <f t="shared" si="28"/>
        <v>0</v>
      </c>
      <c r="H300" s="103"/>
      <c r="I300" s="144"/>
      <c r="J300" s="104"/>
      <c r="K300" s="103"/>
      <c r="L300" s="103"/>
      <c r="M300" s="141">
        <f t="shared" si="24"/>
        <v>7</v>
      </c>
      <c r="N300" s="103"/>
      <c r="O300" s="103" t="s">
        <v>946</v>
      </c>
      <c r="P300" s="137">
        <f t="shared" si="27"/>
        <v>0</v>
      </c>
    </row>
    <row r="301" spans="1:16" s="8" customFormat="1" ht="15.75" x14ac:dyDescent="0.25">
      <c r="A301" s="106" t="s">
        <v>903</v>
      </c>
      <c r="B301" s="102">
        <v>44193</v>
      </c>
      <c r="C301" s="25" t="s">
        <v>867</v>
      </c>
      <c r="D301" s="25" t="s">
        <v>1122</v>
      </c>
      <c r="E301" s="162">
        <v>6</v>
      </c>
      <c r="F301" s="134">
        <v>176</v>
      </c>
      <c r="G301" s="50">
        <f t="shared" si="28"/>
        <v>1056</v>
      </c>
      <c r="H301" s="103"/>
      <c r="I301" s="144"/>
      <c r="J301" s="104"/>
      <c r="K301" s="103"/>
      <c r="L301" s="103">
        <v>2</v>
      </c>
      <c r="M301" s="141">
        <f t="shared" si="24"/>
        <v>4</v>
      </c>
      <c r="N301" s="103"/>
      <c r="O301" s="103" t="s">
        <v>947</v>
      </c>
      <c r="P301" s="137">
        <f t="shared" si="27"/>
        <v>704</v>
      </c>
    </row>
    <row r="302" spans="1:16" s="8" customFormat="1" ht="15.75" x14ac:dyDescent="0.25">
      <c r="A302" s="106" t="s">
        <v>904</v>
      </c>
      <c r="B302" s="102">
        <v>44193</v>
      </c>
      <c r="C302" s="25" t="s">
        <v>798</v>
      </c>
      <c r="D302" s="25" t="s">
        <v>1122</v>
      </c>
      <c r="E302" s="162">
        <v>3</v>
      </c>
      <c r="F302" s="134">
        <v>234</v>
      </c>
      <c r="G302" s="50">
        <f t="shared" si="28"/>
        <v>702</v>
      </c>
      <c r="H302" s="103"/>
      <c r="I302" s="144"/>
      <c r="J302" s="104"/>
      <c r="K302" s="103"/>
      <c r="L302" s="103"/>
      <c r="M302" s="141">
        <f t="shared" si="24"/>
        <v>3</v>
      </c>
      <c r="N302" s="103"/>
      <c r="O302" s="103" t="s">
        <v>946</v>
      </c>
      <c r="P302" s="137">
        <f t="shared" si="27"/>
        <v>702</v>
      </c>
    </row>
    <row r="303" spans="1:16" s="92" customFormat="1" x14ac:dyDescent="0.3">
      <c r="A303" s="106" t="s">
        <v>905</v>
      </c>
      <c r="B303" s="129">
        <v>44755</v>
      </c>
      <c r="C303" s="25" t="s">
        <v>764</v>
      </c>
      <c r="D303" s="25" t="s">
        <v>1122</v>
      </c>
      <c r="E303" s="162">
        <v>0</v>
      </c>
      <c r="F303" s="134">
        <v>50.84</v>
      </c>
      <c r="G303" s="50">
        <f t="shared" si="28"/>
        <v>0</v>
      </c>
      <c r="H303" s="107"/>
      <c r="I303" s="144">
        <v>56</v>
      </c>
      <c r="J303" s="104">
        <v>50.84</v>
      </c>
      <c r="K303" s="108">
        <f>+I303*J303</f>
        <v>2847.04</v>
      </c>
      <c r="L303" s="38"/>
      <c r="M303" s="151">
        <f t="shared" si="24"/>
        <v>56</v>
      </c>
      <c r="N303" s="103"/>
      <c r="O303" s="103" t="s">
        <v>945</v>
      </c>
      <c r="P303" s="137">
        <f t="shared" si="27"/>
        <v>2847.04</v>
      </c>
    </row>
    <row r="304" spans="1:16" s="8" customFormat="1" ht="15.75" x14ac:dyDescent="0.25">
      <c r="A304" s="106" t="s">
        <v>906</v>
      </c>
      <c r="B304" s="102"/>
      <c r="C304" s="25" t="s">
        <v>799</v>
      </c>
      <c r="D304" s="25" t="s">
        <v>1122</v>
      </c>
      <c r="E304" s="162">
        <v>120</v>
      </c>
      <c r="F304" s="134"/>
      <c r="G304" s="50">
        <f t="shared" si="28"/>
        <v>0</v>
      </c>
      <c r="H304" s="103"/>
      <c r="I304" s="144"/>
      <c r="J304" s="104"/>
      <c r="K304" s="103"/>
      <c r="L304" s="103"/>
      <c r="M304" s="141">
        <f t="shared" ref="M304:M367" si="29">+E304+I304-L304</f>
        <v>120</v>
      </c>
      <c r="N304" s="103"/>
      <c r="O304" s="103" t="s">
        <v>946</v>
      </c>
      <c r="P304" s="137">
        <f t="shared" si="27"/>
        <v>0</v>
      </c>
    </row>
    <row r="305" spans="1:16" s="8" customFormat="1" ht="15.75" x14ac:dyDescent="0.25">
      <c r="A305" s="106" t="s">
        <v>907</v>
      </c>
      <c r="B305" s="102"/>
      <c r="C305" s="25" t="s">
        <v>824</v>
      </c>
      <c r="D305" s="25" t="s">
        <v>1122</v>
      </c>
      <c r="E305" s="162">
        <v>15</v>
      </c>
      <c r="F305" s="134"/>
      <c r="G305" s="50">
        <f t="shared" si="28"/>
        <v>0</v>
      </c>
      <c r="H305" s="107"/>
      <c r="I305" s="144"/>
      <c r="J305" s="104"/>
      <c r="K305" s="108"/>
      <c r="L305" s="108">
        <v>2</v>
      </c>
      <c r="M305" s="141">
        <f t="shared" si="29"/>
        <v>13</v>
      </c>
      <c r="N305" s="103"/>
      <c r="O305" s="103" t="s">
        <v>946</v>
      </c>
      <c r="P305" s="137">
        <f t="shared" si="27"/>
        <v>0</v>
      </c>
    </row>
    <row r="306" spans="1:16" s="8" customFormat="1" ht="15.75" x14ac:dyDescent="0.25">
      <c r="A306" s="106" t="s">
        <v>908</v>
      </c>
      <c r="B306" s="102"/>
      <c r="C306" s="25" t="s">
        <v>837</v>
      </c>
      <c r="D306" s="25" t="s">
        <v>1122</v>
      </c>
      <c r="E306" s="162">
        <v>9</v>
      </c>
      <c r="F306" s="134"/>
      <c r="G306" s="50">
        <f t="shared" si="28"/>
        <v>0</v>
      </c>
      <c r="H306" s="103"/>
      <c r="I306" s="144"/>
      <c r="J306" s="104"/>
      <c r="K306" s="103"/>
      <c r="L306" s="103"/>
      <c r="M306" s="141">
        <f t="shared" si="29"/>
        <v>9</v>
      </c>
      <c r="N306" s="103"/>
      <c r="O306" s="103" t="s">
        <v>946</v>
      </c>
      <c r="P306" s="137">
        <f t="shared" si="27"/>
        <v>0</v>
      </c>
    </row>
    <row r="307" spans="1:16" s="8" customFormat="1" ht="15.75" x14ac:dyDescent="0.25">
      <c r="A307" s="106" t="s">
        <v>909</v>
      </c>
      <c r="B307" s="102"/>
      <c r="C307" s="25" t="s">
        <v>792</v>
      </c>
      <c r="D307" s="25" t="s">
        <v>1122</v>
      </c>
      <c r="E307" s="162">
        <v>19</v>
      </c>
      <c r="F307" s="134"/>
      <c r="G307" s="50">
        <f t="shared" si="28"/>
        <v>0</v>
      </c>
      <c r="H307" s="103"/>
      <c r="I307" s="144"/>
      <c r="J307" s="104"/>
      <c r="K307" s="103"/>
      <c r="L307" s="103">
        <v>1</v>
      </c>
      <c r="M307" s="141">
        <f t="shared" si="29"/>
        <v>18</v>
      </c>
      <c r="N307" s="103"/>
      <c r="O307" s="103" t="s">
        <v>946</v>
      </c>
      <c r="P307" s="137">
        <f t="shared" si="27"/>
        <v>0</v>
      </c>
    </row>
    <row r="308" spans="1:16" s="8" customFormat="1" ht="15.75" x14ac:dyDescent="0.25">
      <c r="A308" s="106" t="s">
        <v>910</v>
      </c>
      <c r="B308" s="102"/>
      <c r="C308" s="25" t="s">
        <v>329</v>
      </c>
      <c r="D308" s="25" t="s">
        <v>1122</v>
      </c>
      <c r="E308" s="162">
        <v>21</v>
      </c>
      <c r="F308" s="134"/>
      <c r="G308" s="50">
        <f t="shared" si="28"/>
        <v>0</v>
      </c>
      <c r="H308" s="103"/>
      <c r="I308" s="144"/>
      <c r="J308" s="104"/>
      <c r="K308" s="103"/>
      <c r="L308" s="103"/>
      <c r="M308" s="141">
        <f t="shared" si="29"/>
        <v>21</v>
      </c>
      <c r="N308" s="103"/>
      <c r="O308" s="103" t="s">
        <v>946</v>
      </c>
      <c r="P308" s="137">
        <f t="shared" si="27"/>
        <v>0</v>
      </c>
    </row>
    <row r="309" spans="1:16" s="8" customFormat="1" ht="15.75" x14ac:dyDescent="0.25">
      <c r="A309" s="106" t="s">
        <v>911</v>
      </c>
      <c r="B309" s="102"/>
      <c r="C309" s="25" t="s">
        <v>330</v>
      </c>
      <c r="D309" s="25" t="s">
        <v>1122</v>
      </c>
      <c r="E309" s="162">
        <f>2+18</f>
        <v>20</v>
      </c>
      <c r="F309" s="134"/>
      <c r="G309" s="50">
        <f t="shared" si="28"/>
        <v>0</v>
      </c>
      <c r="H309" s="103"/>
      <c r="I309" s="144"/>
      <c r="J309" s="104"/>
      <c r="K309" s="103"/>
      <c r="L309" s="103"/>
      <c r="M309" s="141">
        <f t="shared" si="29"/>
        <v>20</v>
      </c>
      <c r="N309" s="103"/>
      <c r="O309" s="103" t="s">
        <v>946</v>
      </c>
      <c r="P309" s="137">
        <f t="shared" si="27"/>
        <v>0</v>
      </c>
    </row>
    <row r="310" spans="1:16" s="8" customFormat="1" ht="15.75" x14ac:dyDescent="0.25">
      <c r="A310" s="106" t="s">
        <v>912</v>
      </c>
      <c r="B310" s="102">
        <v>44193</v>
      </c>
      <c r="C310" s="25" t="s">
        <v>836</v>
      </c>
      <c r="D310" s="25" t="s">
        <v>1122</v>
      </c>
      <c r="E310" s="162">
        <v>19</v>
      </c>
      <c r="F310" s="134">
        <v>30</v>
      </c>
      <c r="G310" s="50">
        <f t="shared" si="28"/>
        <v>570</v>
      </c>
      <c r="H310" s="103"/>
      <c r="I310" s="144"/>
      <c r="J310" s="104"/>
      <c r="K310" s="103"/>
      <c r="L310" s="103"/>
      <c r="M310" s="141">
        <f t="shared" si="29"/>
        <v>19</v>
      </c>
      <c r="N310" s="103"/>
      <c r="O310" s="103" t="s">
        <v>946</v>
      </c>
      <c r="P310" s="137">
        <f t="shared" si="27"/>
        <v>570</v>
      </c>
    </row>
    <row r="311" spans="1:16" s="8" customFormat="1" ht="15.75" x14ac:dyDescent="0.25">
      <c r="A311" s="106" t="s">
        <v>530</v>
      </c>
      <c r="B311" s="102">
        <v>45020</v>
      </c>
      <c r="C311" s="25" t="s">
        <v>810</v>
      </c>
      <c r="D311" s="25" t="s">
        <v>1122</v>
      </c>
      <c r="E311" s="162">
        <v>20</v>
      </c>
      <c r="F311" s="134">
        <v>413</v>
      </c>
      <c r="G311" s="50">
        <f>+E311*F311</f>
        <v>8260</v>
      </c>
      <c r="H311" s="103"/>
      <c r="I311" s="144"/>
      <c r="J311" s="104"/>
      <c r="K311" s="103"/>
      <c r="L311" s="103"/>
      <c r="M311" s="141">
        <f t="shared" si="29"/>
        <v>20</v>
      </c>
      <c r="N311" s="103"/>
      <c r="O311" s="103" t="s">
        <v>946</v>
      </c>
      <c r="P311" s="137">
        <f t="shared" si="27"/>
        <v>8260</v>
      </c>
    </row>
    <row r="312" spans="1:16" s="8" customFormat="1" ht="15.75" x14ac:dyDescent="0.25">
      <c r="A312" s="106" t="s">
        <v>916</v>
      </c>
      <c r="B312" s="102"/>
      <c r="C312" s="25" t="s">
        <v>836</v>
      </c>
      <c r="D312" s="25" t="s">
        <v>1122</v>
      </c>
      <c r="E312" s="162">
        <v>19</v>
      </c>
      <c r="F312" s="134"/>
      <c r="G312" s="50"/>
      <c r="H312" s="103"/>
      <c r="I312" s="144"/>
      <c r="J312" s="104"/>
      <c r="K312" s="103"/>
      <c r="L312" s="103"/>
      <c r="M312" s="141">
        <f t="shared" si="29"/>
        <v>19</v>
      </c>
      <c r="N312" s="103"/>
      <c r="O312" s="103" t="s">
        <v>946</v>
      </c>
      <c r="P312" s="137">
        <f t="shared" si="27"/>
        <v>0</v>
      </c>
    </row>
    <row r="313" spans="1:16" s="92" customFormat="1" x14ac:dyDescent="0.3">
      <c r="A313" s="106" t="s">
        <v>917</v>
      </c>
      <c r="B313" s="102"/>
      <c r="C313" s="25" t="s">
        <v>918</v>
      </c>
      <c r="D313" s="25" t="s">
        <v>1122</v>
      </c>
      <c r="E313" s="162">
        <v>5</v>
      </c>
      <c r="F313" s="134"/>
      <c r="G313" s="50"/>
      <c r="H313" s="103"/>
      <c r="I313" s="144"/>
      <c r="J313" s="104"/>
      <c r="K313" s="103"/>
      <c r="L313" s="103"/>
      <c r="M313" s="141">
        <f t="shared" si="29"/>
        <v>5</v>
      </c>
      <c r="N313" s="103"/>
      <c r="O313" s="103" t="s">
        <v>945</v>
      </c>
      <c r="P313" s="137">
        <f t="shared" si="27"/>
        <v>0</v>
      </c>
    </row>
    <row r="314" spans="1:16" s="92" customFormat="1" x14ac:dyDescent="0.3">
      <c r="A314" s="106" t="s">
        <v>921</v>
      </c>
      <c r="B314" s="102"/>
      <c r="C314" s="25" t="s">
        <v>919</v>
      </c>
      <c r="D314" s="25" t="s">
        <v>1122</v>
      </c>
      <c r="E314" s="162">
        <f>12+10+11</f>
        <v>33</v>
      </c>
      <c r="F314" s="134">
        <v>150</v>
      </c>
      <c r="G314" s="50"/>
      <c r="H314" s="103"/>
      <c r="I314" s="144"/>
      <c r="J314" s="104"/>
      <c r="K314" s="103"/>
      <c r="L314" s="103">
        <v>1</v>
      </c>
      <c r="M314" s="151">
        <f t="shared" si="29"/>
        <v>32</v>
      </c>
      <c r="N314" s="103"/>
      <c r="O314" s="103" t="s">
        <v>945</v>
      </c>
      <c r="P314" s="137">
        <f t="shared" si="27"/>
        <v>4800</v>
      </c>
    </row>
    <row r="315" spans="1:16" s="92" customFormat="1" x14ac:dyDescent="0.3">
      <c r="A315" s="106" t="s">
        <v>922</v>
      </c>
      <c r="B315" s="102"/>
      <c r="C315" s="25" t="s">
        <v>926</v>
      </c>
      <c r="D315" s="25" t="s">
        <v>1122</v>
      </c>
      <c r="E315" s="162">
        <v>1</v>
      </c>
      <c r="F315" s="134"/>
      <c r="G315" s="50"/>
      <c r="H315" s="103"/>
      <c r="I315" s="144"/>
      <c r="J315" s="104"/>
      <c r="K315" s="103"/>
      <c r="L315" s="103"/>
      <c r="M315" s="141">
        <f t="shared" si="29"/>
        <v>1</v>
      </c>
      <c r="N315" s="103"/>
      <c r="O315" s="103" t="s">
        <v>945</v>
      </c>
      <c r="P315" s="137">
        <f t="shared" si="27"/>
        <v>0</v>
      </c>
    </row>
    <row r="316" spans="1:16" s="92" customFormat="1" x14ac:dyDescent="0.3">
      <c r="A316" s="106" t="s">
        <v>923</v>
      </c>
      <c r="B316" s="129">
        <v>45019</v>
      </c>
      <c r="C316" s="25" t="s">
        <v>930</v>
      </c>
      <c r="D316" s="25" t="s">
        <v>1122</v>
      </c>
      <c r="E316" s="162"/>
      <c r="F316" s="134">
        <v>128.91999999999999</v>
      </c>
      <c r="G316" s="50"/>
      <c r="H316" s="107">
        <v>45019</v>
      </c>
      <c r="I316" s="144">
        <v>50</v>
      </c>
      <c r="J316" s="104">
        <v>128.91999999999999</v>
      </c>
      <c r="K316" s="103">
        <f>+J316*I316</f>
        <v>6445.9999999999991</v>
      </c>
      <c r="L316" s="103">
        <f>10+2+1</f>
        <v>13</v>
      </c>
      <c r="M316" s="151">
        <f t="shared" si="29"/>
        <v>37</v>
      </c>
      <c r="N316" s="103"/>
      <c r="O316" s="103" t="s">
        <v>945</v>
      </c>
      <c r="P316" s="137">
        <f t="shared" si="27"/>
        <v>4770.04</v>
      </c>
    </row>
    <row r="317" spans="1:16" s="8" customFormat="1" ht="15.75" x14ac:dyDescent="0.25">
      <c r="A317" s="106" t="s">
        <v>932</v>
      </c>
      <c r="B317" s="102"/>
      <c r="C317" s="25" t="s">
        <v>931</v>
      </c>
      <c r="D317" s="25" t="s">
        <v>1122</v>
      </c>
      <c r="E317" s="162"/>
      <c r="F317" s="134"/>
      <c r="G317" s="50"/>
      <c r="H317" s="103"/>
      <c r="I317" s="144"/>
      <c r="J317" s="104"/>
      <c r="K317" s="103"/>
      <c r="L317" s="103">
        <f>1+1</f>
        <v>2</v>
      </c>
      <c r="M317" s="141">
        <f t="shared" si="29"/>
        <v>-2</v>
      </c>
      <c r="N317" s="103"/>
      <c r="O317" s="103" t="s">
        <v>947</v>
      </c>
      <c r="P317" s="137">
        <f t="shared" si="27"/>
        <v>0</v>
      </c>
    </row>
    <row r="318" spans="1:16" s="8" customFormat="1" ht="15.75" x14ac:dyDescent="0.25">
      <c r="A318" s="106" t="s">
        <v>933</v>
      </c>
      <c r="B318" s="102"/>
      <c r="C318" s="68" t="s">
        <v>934</v>
      </c>
      <c r="D318" s="25" t="s">
        <v>1122</v>
      </c>
      <c r="E318" s="162"/>
      <c r="F318" s="134"/>
      <c r="G318" s="50"/>
      <c r="H318" s="103"/>
      <c r="I318" s="144"/>
      <c r="J318" s="104"/>
      <c r="K318" s="103"/>
      <c r="L318" s="103">
        <f>1+1+15+1</f>
        <v>18</v>
      </c>
      <c r="M318" s="141">
        <f t="shared" si="29"/>
        <v>-18</v>
      </c>
      <c r="N318" s="103"/>
      <c r="O318" s="103" t="s">
        <v>946</v>
      </c>
      <c r="P318" s="137">
        <f t="shared" si="27"/>
        <v>0</v>
      </c>
    </row>
    <row r="319" spans="1:16" s="8" customFormat="1" ht="15.75" x14ac:dyDescent="0.25">
      <c r="A319" s="106" t="s">
        <v>936</v>
      </c>
      <c r="B319" s="102">
        <v>44193</v>
      </c>
      <c r="C319" s="25" t="s">
        <v>613</v>
      </c>
      <c r="D319" s="25" t="s">
        <v>1122</v>
      </c>
      <c r="E319" s="162">
        <v>25</v>
      </c>
      <c r="F319" s="134">
        <v>5.78</v>
      </c>
      <c r="G319" s="50">
        <f>+E319*F319</f>
        <v>144.5</v>
      </c>
      <c r="H319" s="103"/>
      <c r="I319" s="144"/>
      <c r="J319" s="104"/>
      <c r="K319" s="103"/>
      <c r="L319" s="103">
        <v>1</v>
      </c>
      <c r="M319" s="141">
        <f t="shared" si="29"/>
        <v>24</v>
      </c>
      <c r="N319" s="103"/>
      <c r="O319" s="103" t="s">
        <v>946</v>
      </c>
      <c r="P319" s="137">
        <f t="shared" si="27"/>
        <v>138.72</v>
      </c>
    </row>
    <row r="320" spans="1:16" s="8" customFormat="1" ht="15.75" x14ac:dyDescent="0.25">
      <c r="A320" s="106" t="s">
        <v>937</v>
      </c>
      <c r="B320" s="102"/>
      <c r="C320" s="25" t="s">
        <v>935</v>
      </c>
      <c r="D320" s="25" t="s">
        <v>1122</v>
      </c>
      <c r="E320" s="162"/>
      <c r="F320" s="134"/>
      <c r="G320" s="50"/>
      <c r="H320" s="103"/>
      <c r="I320" s="144"/>
      <c r="J320" s="104"/>
      <c r="K320" s="103"/>
      <c r="L320" s="103">
        <v>2</v>
      </c>
      <c r="M320" s="141">
        <f t="shared" si="29"/>
        <v>-2</v>
      </c>
      <c r="N320" s="103"/>
      <c r="O320" s="103" t="s">
        <v>946</v>
      </c>
      <c r="P320" s="137">
        <f t="shared" si="27"/>
        <v>0</v>
      </c>
    </row>
    <row r="321" spans="1:16" s="8" customFormat="1" ht="15.75" x14ac:dyDescent="0.25">
      <c r="A321" s="106" t="s">
        <v>938</v>
      </c>
      <c r="B321" s="102"/>
      <c r="C321" s="25" t="s">
        <v>939</v>
      </c>
      <c r="D321" s="25" t="s">
        <v>1122</v>
      </c>
      <c r="E321" s="162"/>
      <c r="F321" s="134"/>
      <c r="G321" s="50"/>
      <c r="H321" s="103"/>
      <c r="I321" s="144"/>
      <c r="J321" s="104"/>
      <c r="K321" s="103"/>
      <c r="L321" s="103">
        <v>1</v>
      </c>
      <c r="M321" s="141">
        <f t="shared" si="29"/>
        <v>-1</v>
      </c>
      <c r="N321" s="103"/>
      <c r="O321" s="103" t="s">
        <v>946</v>
      </c>
      <c r="P321" s="137">
        <f t="shared" si="27"/>
        <v>0</v>
      </c>
    </row>
    <row r="322" spans="1:16" s="8" customFormat="1" ht="15.75" x14ac:dyDescent="0.25">
      <c r="A322" s="106" t="s">
        <v>941</v>
      </c>
      <c r="B322" s="102"/>
      <c r="C322" s="25" t="s">
        <v>940</v>
      </c>
      <c r="D322" s="25" t="s">
        <v>1122</v>
      </c>
      <c r="E322" s="162"/>
      <c r="F322" s="134"/>
      <c r="G322" s="50"/>
      <c r="H322" s="103"/>
      <c r="I322" s="144"/>
      <c r="J322" s="104"/>
      <c r="K322" s="103"/>
      <c r="L322" s="103">
        <v>1</v>
      </c>
      <c r="M322" s="141">
        <f t="shared" si="29"/>
        <v>-1</v>
      </c>
      <c r="N322" s="103"/>
      <c r="O322" s="103" t="s">
        <v>946</v>
      </c>
      <c r="P322" s="137">
        <f t="shared" si="27"/>
        <v>0</v>
      </c>
    </row>
    <row r="323" spans="1:16" s="8" customFormat="1" ht="15.75" x14ac:dyDescent="0.25">
      <c r="A323" s="106" t="s">
        <v>948</v>
      </c>
      <c r="B323" s="129">
        <v>45019</v>
      </c>
      <c r="C323" s="25" t="s">
        <v>1240</v>
      </c>
      <c r="D323" s="25" t="s">
        <v>1122</v>
      </c>
      <c r="E323" s="162">
        <v>967</v>
      </c>
      <c r="F323" s="134">
        <v>58.51</v>
      </c>
      <c r="G323" s="50"/>
      <c r="H323" s="107">
        <v>45019</v>
      </c>
      <c r="I323" s="144">
        <f>30*12</f>
        <v>360</v>
      </c>
      <c r="J323" s="104">
        <v>58.51</v>
      </c>
      <c r="K323" s="104">
        <f>+J323*I323</f>
        <v>21063.599999999999</v>
      </c>
      <c r="L323" s="103">
        <f>967+12+2+36+24+24</f>
        <v>1065</v>
      </c>
      <c r="M323" s="151">
        <f t="shared" si="29"/>
        <v>262</v>
      </c>
      <c r="N323" s="103"/>
      <c r="O323" s="103" t="s">
        <v>946</v>
      </c>
      <c r="P323" s="137">
        <f t="shared" si="27"/>
        <v>15329.619999999999</v>
      </c>
    </row>
    <row r="324" spans="1:16" s="8" customFormat="1" ht="15.75" x14ac:dyDescent="0.25">
      <c r="A324" s="106" t="s">
        <v>953</v>
      </c>
      <c r="B324" s="102"/>
      <c r="C324" s="25" t="s">
        <v>949</v>
      </c>
      <c r="D324" s="25" t="s">
        <v>1122</v>
      </c>
      <c r="E324" s="162"/>
      <c r="F324" s="134"/>
      <c r="G324" s="50"/>
      <c r="H324" s="103"/>
      <c r="I324" s="144"/>
      <c r="J324" s="104"/>
      <c r="K324" s="104">
        <f t="shared" ref="K324:K325" si="30">+J324*I324</f>
        <v>0</v>
      </c>
      <c r="L324" s="103">
        <v>1</v>
      </c>
      <c r="M324" s="141">
        <f t="shared" si="29"/>
        <v>-1</v>
      </c>
      <c r="N324" s="103"/>
      <c r="O324" s="103" t="s">
        <v>946</v>
      </c>
      <c r="P324" s="137">
        <f t="shared" si="27"/>
        <v>0</v>
      </c>
    </row>
    <row r="325" spans="1:16" s="92" customFormat="1" x14ac:dyDescent="0.3">
      <c r="A325" s="106" t="s">
        <v>954</v>
      </c>
      <c r="B325" s="102"/>
      <c r="C325" s="25" t="s">
        <v>952</v>
      </c>
      <c r="D325" s="25" t="s">
        <v>1122</v>
      </c>
      <c r="E325" s="162"/>
      <c r="F325" s="134"/>
      <c r="G325" s="50"/>
      <c r="H325" s="103"/>
      <c r="I325" s="144">
        <v>130</v>
      </c>
      <c r="J325" s="104"/>
      <c r="K325" s="104">
        <f t="shared" si="30"/>
        <v>0</v>
      </c>
      <c r="L325" s="103">
        <v>6</v>
      </c>
      <c r="M325" s="151">
        <f t="shared" si="29"/>
        <v>124</v>
      </c>
      <c r="N325" s="103"/>
      <c r="O325" s="103" t="s">
        <v>945</v>
      </c>
      <c r="P325" s="137">
        <f t="shared" si="27"/>
        <v>0</v>
      </c>
    </row>
    <row r="326" spans="1:16" s="92" customFormat="1" x14ac:dyDescent="0.3">
      <c r="A326" s="106" t="s">
        <v>957</v>
      </c>
      <c r="B326" s="102">
        <v>45019</v>
      </c>
      <c r="C326" s="25" t="s">
        <v>958</v>
      </c>
      <c r="D326" s="25" t="s">
        <v>1122</v>
      </c>
      <c r="E326" s="162"/>
      <c r="F326" s="134">
        <v>41.3</v>
      </c>
      <c r="G326" s="50"/>
      <c r="H326" s="107">
        <v>45019</v>
      </c>
      <c r="I326" s="144">
        <f>120+102</f>
        <v>222</v>
      </c>
      <c r="J326" s="104">
        <v>41.3</v>
      </c>
      <c r="K326" s="104">
        <f>+J326*I326</f>
        <v>9168.5999999999985</v>
      </c>
      <c r="L326" s="103">
        <f>1+1+2+2+1+1+4</f>
        <v>12</v>
      </c>
      <c r="M326" s="151">
        <f t="shared" si="29"/>
        <v>210</v>
      </c>
      <c r="N326" s="103"/>
      <c r="O326" s="103" t="s">
        <v>945</v>
      </c>
      <c r="P326" s="137">
        <f t="shared" si="27"/>
        <v>8673</v>
      </c>
    </row>
    <row r="327" spans="1:16" s="105" customFormat="1" ht="15.75" x14ac:dyDescent="0.25">
      <c r="A327" s="106" t="s">
        <v>972</v>
      </c>
      <c r="B327" s="129">
        <v>44852</v>
      </c>
      <c r="C327" s="25" t="s">
        <v>1223</v>
      </c>
      <c r="D327" s="25" t="s">
        <v>1122</v>
      </c>
      <c r="E327" s="162"/>
      <c r="F327" s="134">
        <v>36</v>
      </c>
      <c r="G327" s="50"/>
      <c r="H327" s="107">
        <v>44852</v>
      </c>
      <c r="I327" s="144">
        <v>20</v>
      </c>
      <c r="J327" s="104">
        <v>19.329999999999998</v>
      </c>
      <c r="K327" s="108">
        <f>+I327*J327</f>
        <v>386.59999999999997</v>
      </c>
      <c r="L327" s="103">
        <f>1+1+2+2+5</f>
        <v>11</v>
      </c>
      <c r="M327" s="151">
        <f t="shared" si="29"/>
        <v>9</v>
      </c>
      <c r="N327" s="103" t="s">
        <v>1037</v>
      </c>
      <c r="O327" s="103" t="s">
        <v>947</v>
      </c>
      <c r="P327" s="137">
        <f t="shared" si="27"/>
        <v>324</v>
      </c>
    </row>
    <row r="328" spans="1:16" s="105" customFormat="1" ht="15.75" x14ac:dyDescent="0.25">
      <c r="A328" s="106" t="s">
        <v>973</v>
      </c>
      <c r="B328" s="129">
        <v>44852</v>
      </c>
      <c r="C328" s="25" t="s">
        <v>1036</v>
      </c>
      <c r="D328" s="25" t="s">
        <v>1122</v>
      </c>
      <c r="E328" s="162">
        <v>6</v>
      </c>
      <c r="F328" s="134">
        <v>145.80000000000001</v>
      </c>
      <c r="G328" s="50"/>
      <c r="H328" s="107">
        <v>44852</v>
      </c>
      <c r="I328" s="144">
        <v>10</v>
      </c>
      <c r="J328" s="104">
        <v>145.80000000000001</v>
      </c>
      <c r="K328" s="108">
        <f>+I328*J328</f>
        <v>1458</v>
      </c>
      <c r="L328" s="103">
        <v>7</v>
      </c>
      <c r="M328" s="151">
        <f t="shared" si="29"/>
        <v>9</v>
      </c>
      <c r="N328" s="103" t="s">
        <v>1037</v>
      </c>
      <c r="O328" s="103" t="s">
        <v>947</v>
      </c>
      <c r="P328" s="137">
        <f t="shared" si="27"/>
        <v>1312.2</v>
      </c>
    </row>
    <row r="329" spans="1:16" s="105" customFormat="1" ht="15.75" x14ac:dyDescent="0.25">
      <c r="A329" s="106" t="s">
        <v>974</v>
      </c>
      <c r="B329" s="129">
        <v>45042</v>
      </c>
      <c r="C329" s="25" t="s">
        <v>1040</v>
      </c>
      <c r="D329" s="25" t="s">
        <v>1122</v>
      </c>
      <c r="E329" s="162"/>
      <c r="F329" s="134">
        <v>97.59</v>
      </c>
      <c r="G329" s="50"/>
      <c r="H329" s="107">
        <v>45042</v>
      </c>
      <c r="I329" s="144">
        <v>10</v>
      </c>
      <c r="J329" s="104">
        <v>116.29</v>
      </c>
      <c r="K329" s="108">
        <f>+I329*J329</f>
        <v>1162.9000000000001</v>
      </c>
      <c r="L329" s="103">
        <f>3+2</f>
        <v>5</v>
      </c>
      <c r="M329" s="151">
        <f t="shared" si="29"/>
        <v>5</v>
      </c>
      <c r="N329" s="103" t="s">
        <v>1037</v>
      </c>
      <c r="O329" s="103" t="s">
        <v>947</v>
      </c>
      <c r="P329" s="137">
        <f t="shared" si="27"/>
        <v>487.95000000000005</v>
      </c>
    </row>
    <row r="330" spans="1:16" s="92" customFormat="1" x14ac:dyDescent="0.3">
      <c r="A330" s="106" t="s">
        <v>975</v>
      </c>
      <c r="B330" s="102"/>
      <c r="C330" s="25" t="s">
        <v>960</v>
      </c>
      <c r="D330" s="25" t="s">
        <v>1122</v>
      </c>
      <c r="E330" s="162"/>
      <c r="F330" s="134"/>
      <c r="G330" s="50"/>
      <c r="H330" s="103"/>
      <c r="I330" s="144"/>
      <c r="J330" s="104"/>
      <c r="K330" s="103"/>
      <c r="L330" s="103">
        <v>2</v>
      </c>
      <c r="M330" s="141">
        <f t="shared" si="29"/>
        <v>-2</v>
      </c>
      <c r="N330" s="103"/>
      <c r="O330" s="103" t="s">
        <v>946</v>
      </c>
      <c r="P330" s="137">
        <f t="shared" si="27"/>
        <v>0</v>
      </c>
    </row>
    <row r="331" spans="1:16" s="92" customFormat="1" ht="32.25" x14ac:dyDescent="0.3">
      <c r="A331" s="106" t="s">
        <v>976</v>
      </c>
      <c r="B331" s="129">
        <v>44851</v>
      </c>
      <c r="C331" s="25" t="s">
        <v>961</v>
      </c>
      <c r="D331" s="25" t="s">
        <v>1122</v>
      </c>
      <c r="E331" s="162"/>
      <c r="F331" s="134">
        <v>672.78</v>
      </c>
      <c r="G331" s="50"/>
      <c r="H331" s="107">
        <v>44851</v>
      </c>
      <c r="I331" s="144">
        <v>25</v>
      </c>
      <c r="J331" s="104">
        <v>672.78</v>
      </c>
      <c r="K331" s="108">
        <f>+I331*J331</f>
        <v>16819.5</v>
      </c>
      <c r="L331" s="103">
        <v>3</v>
      </c>
      <c r="M331" s="151">
        <f t="shared" si="29"/>
        <v>22</v>
      </c>
      <c r="N331" s="121" t="s">
        <v>1006</v>
      </c>
      <c r="O331" s="103" t="s">
        <v>946</v>
      </c>
      <c r="P331" s="137">
        <f>+F331*M331</f>
        <v>14801.16</v>
      </c>
    </row>
    <row r="332" spans="1:16" s="92" customFormat="1" x14ac:dyDescent="0.3">
      <c r="A332" s="106" t="s">
        <v>977</v>
      </c>
      <c r="B332" s="129">
        <v>44852</v>
      </c>
      <c r="C332" s="25" t="s">
        <v>962</v>
      </c>
      <c r="D332" s="25" t="s">
        <v>1122</v>
      </c>
      <c r="E332" s="162"/>
      <c r="F332" s="134">
        <v>1713.36</v>
      </c>
      <c r="G332" s="50"/>
      <c r="H332" s="107">
        <v>44852</v>
      </c>
      <c r="I332" s="144">
        <v>12</v>
      </c>
      <c r="J332" s="104">
        <f>1452+261.36</f>
        <v>1713.3600000000001</v>
      </c>
      <c r="K332" s="108">
        <f>+I332*J332</f>
        <v>20560.32</v>
      </c>
      <c r="L332" s="103">
        <v>1</v>
      </c>
      <c r="M332" s="141">
        <f t="shared" si="29"/>
        <v>11</v>
      </c>
      <c r="N332" s="103"/>
      <c r="O332" s="103" t="s">
        <v>946</v>
      </c>
      <c r="P332" s="137">
        <f t="shared" si="27"/>
        <v>18846.96</v>
      </c>
    </row>
    <row r="333" spans="1:16" s="92" customFormat="1" x14ac:dyDescent="0.3">
      <c r="A333" s="106" t="s">
        <v>978</v>
      </c>
      <c r="B333" s="129">
        <v>44852</v>
      </c>
      <c r="C333" s="25" t="s">
        <v>963</v>
      </c>
      <c r="D333" s="25" t="s">
        <v>1122</v>
      </c>
      <c r="E333" s="162"/>
      <c r="F333" s="134">
        <v>4967.8</v>
      </c>
      <c r="G333" s="50"/>
      <c r="H333" s="107">
        <v>44852</v>
      </c>
      <c r="I333" s="144">
        <v>15</v>
      </c>
      <c r="J333" s="104">
        <f>4210+757.8</f>
        <v>4967.8</v>
      </c>
      <c r="K333" s="108">
        <f>+I333*J333</f>
        <v>74517</v>
      </c>
      <c r="L333" s="103">
        <v>1</v>
      </c>
      <c r="M333" s="141">
        <f t="shared" si="29"/>
        <v>14</v>
      </c>
      <c r="N333" s="103"/>
      <c r="O333" s="103" t="s">
        <v>946</v>
      </c>
      <c r="P333" s="137">
        <f t="shared" si="27"/>
        <v>69549.2</v>
      </c>
    </row>
    <row r="334" spans="1:16" s="92" customFormat="1" x14ac:dyDescent="0.3">
      <c r="A334" s="106" t="s">
        <v>979</v>
      </c>
      <c r="B334" s="129">
        <v>44852</v>
      </c>
      <c r="C334" s="25" t="s">
        <v>964</v>
      </c>
      <c r="D334" s="25" t="s">
        <v>1122</v>
      </c>
      <c r="E334" s="162"/>
      <c r="F334" s="134">
        <v>3776</v>
      </c>
      <c r="G334" s="50"/>
      <c r="H334" s="107">
        <v>44852</v>
      </c>
      <c r="I334" s="144">
        <v>16</v>
      </c>
      <c r="J334" s="104">
        <f>3200+576</f>
        <v>3776</v>
      </c>
      <c r="K334" s="108">
        <f>+I334*J334</f>
        <v>60416</v>
      </c>
      <c r="L334" s="103"/>
      <c r="M334" s="141">
        <f t="shared" si="29"/>
        <v>16</v>
      </c>
      <c r="N334" s="103"/>
      <c r="O334" s="103" t="s">
        <v>946</v>
      </c>
      <c r="P334" s="137">
        <f t="shared" si="27"/>
        <v>60416</v>
      </c>
    </row>
    <row r="335" spans="1:16" s="92" customFormat="1" x14ac:dyDescent="0.3">
      <c r="A335" s="106" t="s">
        <v>980</v>
      </c>
      <c r="B335" s="129">
        <v>44852</v>
      </c>
      <c r="C335" s="25" t="s">
        <v>965</v>
      </c>
      <c r="D335" s="25" t="s">
        <v>1122</v>
      </c>
      <c r="E335" s="162"/>
      <c r="F335" s="134">
        <v>2254.98</v>
      </c>
      <c r="G335" s="50"/>
      <c r="H335" s="107">
        <v>44852</v>
      </c>
      <c r="I335" s="144">
        <v>5</v>
      </c>
      <c r="J335" s="104">
        <f>1911+343.98</f>
        <v>2254.98</v>
      </c>
      <c r="K335" s="108">
        <f t="shared" ref="K335:K345" si="31">+I335*J335</f>
        <v>11274.9</v>
      </c>
      <c r="L335" s="103"/>
      <c r="M335" s="141">
        <f t="shared" si="29"/>
        <v>5</v>
      </c>
      <c r="N335" s="103"/>
      <c r="O335" s="103" t="s">
        <v>946</v>
      </c>
      <c r="P335" s="137">
        <f t="shared" si="27"/>
        <v>11274.9</v>
      </c>
    </row>
    <row r="336" spans="1:16" s="92" customFormat="1" x14ac:dyDescent="0.3">
      <c r="A336" s="106" t="s">
        <v>981</v>
      </c>
      <c r="B336" s="129">
        <v>44852</v>
      </c>
      <c r="C336" s="25" t="s">
        <v>966</v>
      </c>
      <c r="D336" s="25" t="s">
        <v>1122</v>
      </c>
      <c r="E336" s="162"/>
      <c r="F336" s="134">
        <v>3776</v>
      </c>
      <c r="G336" s="50"/>
      <c r="H336" s="107">
        <v>44852</v>
      </c>
      <c r="I336" s="144">
        <v>20</v>
      </c>
      <c r="J336" s="104">
        <f>3200+576</f>
        <v>3776</v>
      </c>
      <c r="K336" s="108">
        <f t="shared" si="31"/>
        <v>75520</v>
      </c>
      <c r="L336" s="103">
        <f>1+1</f>
        <v>2</v>
      </c>
      <c r="M336" s="141">
        <f t="shared" si="29"/>
        <v>18</v>
      </c>
      <c r="N336" s="103"/>
      <c r="O336" s="103" t="s">
        <v>946</v>
      </c>
      <c r="P336" s="137">
        <f t="shared" si="27"/>
        <v>67968</v>
      </c>
    </row>
    <row r="337" spans="1:16" s="92" customFormat="1" x14ac:dyDescent="0.3">
      <c r="A337" s="106" t="s">
        <v>982</v>
      </c>
      <c r="B337" s="129">
        <v>44852</v>
      </c>
      <c r="C337" s="25" t="s">
        <v>967</v>
      </c>
      <c r="D337" s="25" t="s">
        <v>1122</v>
      </c>
      <c r="E337" s="162"/>
      <c r="F337" s="134">
        <v>5664</v>
      </c>
      <c r="G337" s="50"/>
      <c r="H337" s="107">
        <v>44852</v>
      </c>
      <c r="I337" s="144">
        <v>10</v>
      </c>
      <c r="J337" s="104">
        <f>4800+864</f>
        <v>5664</v>
      </c>
      <c r="K337" s="108">
        <f t="shared" si="31"/>
        <v>56640</v>
      </c>
      <c r="L337" s="103"/>
      <c r="M337" s="141">
        <f t="shared" si="29"/>
        <v>10</v>
      </c>
      <c r="N337" s="103"/>
      <c r="O337" s="103" t="s">
        <v>946</v>
      </c>
      <c r="P337" s="137">
        <f t="shared" si="27"/>
        <v>56640</v>
      </c>
    </row>
    <row r="338" spans="1:16" s="92" customFormat="1" x14ac:dyDescent="0.3">
      <c r="A338" s="106" t="s">
        <v>983</v>
      </c>
      <c r="B338" s="129">
        <v>44852</v>
      </c>
      <c r="C338" s="25" t="s">
        <v>968</v>
      </c>
      <c r="D338" s="25" t="s">
        <v>1122</v>
      </c>
      <c r="E338" s="162"/>
      <c r="F338" s="134">
        <f>2050+369</f>
        <v>2419</v>
      </c>
      <c r="G338" s="50"/>
      <c r="H338" s="107">
        <v>44852</v>
      </c>
      <c r="I338" s="144">
        <v>35</v>
      </c>
      <c r="J338" s="104">
        <f>2050+369</f>
        <v>2419</v>
      </c>
      <c r="K338" s="108">
        <f t="shared" si="31"/>
        <v>84665</v>
      </c>
      <c r="L338" s="103">
        <v>2</v>
      </c>
      <c r="M338" s="141">
        <f t="shared" si="29"/>
        <v>33</v>
      </c>
      <c r="N338" s="103"/>
      <c r="O338" s="103" t="s">
        <v>946</v>
      </c>
      <c r="P338" s="137">
        <f t="shared" si="27"/>
        <v>79827</v>
      </c>
    </row>
    <row r="339" spans="1:16" s="92" customFormat="1" x14ac:dyDescent="0.3">
      <c r="A339" s="106" t="s">
        <v>984</v>
      </c>
      <c r="B339" s="129">
        <v>44852</v>
      </c>
      <c r="C339" s="25" t="s">
        <v>969</v>
      </c>
      <c r="D339" s="25" t="s">
        <v>1122</v>
      </c>
      <c r="E339" s="162"/>
      <c r="F339" s="134">
        <f>3737+672.66</f>
        <v>4409.66</v>
      </c>
      <c r="G339" s="50"/>
      <c r="H339" s="107">
        <v>44852</v>
      </c>
      <c r="I339" s="144">
        <v>5</v>
      </c>
      <c r="J339" s="104">
        <f>3737+672.66</f>
        <v>4409.66</v>
      </c>
      <c r="K339" s="108">
        <f t="shared" si="31"/>
        <v>22048.3</v>
      </c>
      <c r="L339" s="103"/>
      <c r="M339" s="141">
        <f t="shared" si="29"/>
        <v>5</v>
      </c>
      <c r="N339" s="103"/>
      <c r="O339" s="103" t="s">
        <v>946</v>
      </c>
      <c r="P339" s="137">
        <f t="shared" si="27"/>
        <v>22048.3</v>
      </c>
    </row>
    <row r="340" spans="1:16" s="92" customFormat="1" x14ac:dyDescent="0.3">
      <c r="A340" s="106" t="s">
        <v>985</v>
      </c>
      <c r="B340" s="129">
        <v>44862</v>
      </c>
      <c r="C340" s="25" t="s">
        <v>994</v>
      </c>
      <c r="D340" s="25" t="s">
        <v>1122</v>
      </c>
      <c r="E340" s="162"/>
      <c r="F340" s="134">
        <f>8750+1575</f>
        <v>10325</v>
      </c>
      <c r="G340" s="50"/>
      <c r="H340" s="107">
        <v>44862</v>
      </c>
      <c r="I340" s="144">
        <v>40</v>
      </c>
      <c r="J340" s="104">
        <f>8750+1575</f>
        <v>10325</v>
      </c>
      <c r="K340" s="108">
        <f t="shared" si="31"/>
        <v>413000</v>
      </c>
      <c r="L340" s="103">
        <v>18</v>
      </c>
      <c r="M340" s="141">
        <f t="shared" si="29"/>
        <v>22</v>
      </c>
      <c r="N340" s="103"/>
      <c r="O340" s="103" t="s">
        <v>946</v>
      </c>
      <c r="P340" s="137">
        <f t="shared" si="27"/>
        <v>227150</v>
      </c>
    </row>
    <row r="341" spans="1:16" s="92" customFormat="1" x14ac:dyDescent="0.3">
      <c r="A341" s="106" t="s">
        <v>986</v>
      </c>
      <c r="B341" s="129">
        <v>44862</v>
      </c>
      <c r="C341" s="25" t="s">
        <v>995</v>
      </c>
      <c r="D341" s="25" t="s">
        <v>1122</v>
      </c>
      <c r="E341" s="162"/>
      <c r="F341" s="134">
        <f>1311+235.98</f>
        <v>1546.98</v>
      </c>
      <c r="G341" s="50"/>
      <c r="H341" s="107">
        <v>44862</v>
      </c>
      <c r="I341" s="144">
        <v>4</v>
      </c>
      <c r="J341" s="104">
        <f>1311+235.98</f>
        <v>1546.98</v>
      </c>
      <c r="K341" s="108">
        <f t="shared" si="31"/>
        <v>6187.92</v>
      </c>
      <c r="L341" s="103"/>
      <c r="M341" s="141">
        <f t="shared" si="29"/>
        <v>4</v>
      </c>
      <c r="N341" s="103"/>
      <c r="O341" s="103" t="s">
        <v>946</v>
      </c>
      <c r="P341" s="137">
        <f t="shared" si="27"/>
        <v>6187.92</v>
      </c>
    </row>
    <row r="342" spans="1:16" s="92" customFormat="1" x14ac:dyDescent="0.3">
      <c r="A342" s="106" t="s">
        <v>987</v>
      </c>
      <c r="B342" s="164"/>
      <c r="C342" s="25" t="s">
        <v>295</v>
      </c>
      <c r="D342" s="25" t="s">
        <v>1122</v>
      </c>
      <c r="E342" s="162"/>
      <c r="F342" s="134"/>
      <c r="G342" s="50"/>
      <c r="H342" s="103"/>
      <c r="I342" s="144"/>
      <c r="J342" s="104"/>
      <c r="K342" s="108">
        <f t="shared" si="31"/>
        <v>0</v>
      </c>
      <c r="L342" s="103">
        <v>1</v>
      </c>
      <c r="M342" s="141">
        <f t="shared" si="29"/>
        <v>-1</v>
      </c>
      <c r="N342" s="103"/>
      <c r="O342" s="103" t="s">
        <v>946</v>
      </c>
      <c r="P342" s="137">
        <f t="shared" si="27"/>
        <v>0</v>
      </c>
    </row>
    <row r="343" spans="1:16" s="92" customFormat="1" x14ac:dyDescent="0.3">
      <c r="A343" s="106" t="s">
        <v>988</v>
      </c>
      <c r="B343" s="129">
        <v>45020</v>
      </c>
      <c r="C343" s="25" t="s">
        <v>970</v>
      </c>
      <c r="D343" s="25" t="s">
        <v>1122</v>
      </c>
      <c r="E343" s="162"/>
      <c r="F343" s="134">
        <v>4012</v>
      </c>
      <c r="G343" s="50"/>
      <c r="H343" s="107">
        <v>45020</v>
      </c>
      <c r="I343" s="144">
        <v>2</v>
      </c>
      <c r="J343" s="104">
        <v>4012</v>
      </c>
      <c r="K343" s="108">
        <f t="shared" si="31"/>
        <v>8024</v>
      </c>
      <c r="L343" s="103">
        <v>5</v>
      </c>
      <c r="M343" s="141">
        <f t="shared" si="29"/>
        <v>-3</v>
      </c>
      <c r="N343" s="103"/>
      <c r="O343" s="103" t="s">
        <v>946</v>
      </c>
      <c r="P343" s="137">
        <f t="shared" si="27"/>
        <v>-12036</v>
      </c>
    </row>
    <row r="344" spans="1:16" s="92" customFormat="1" x14ac:dyDescent="0.3">
      <c r="A344" s="106" t="s">
        <v>989</v>
      </c>
      <c r="B344" s="129">
        <v>44903</v>
      </c>
      <c r="C344" s="25" t="s">
        <v>971</v>
      </c>
      <c r="D344" s="25" t="s">
        <v>1122</v>
      </c>
      <c r="E344" s="162"/>
      <c r="F344" s="134">
        <v>118.15</v>
      </c>
      <c r="G344" s="50"/>
      <c r="H344" s="107">
        <v>44903</v>
      </c>
      <c r="I344" s="144">
        <f>2*12</f>
        <v>24</v>
      </c>
      <c r="J344" s="104">
        <v>118.15</v>
      </c>
      <c r="K344" s="108">
        <f t="shared" si="31"/>
        <v>2835.6000000000004</v>
      </c>
      <c r="L344" s="103">
        <f>3+3</f>
        <v>6</v>
      </c>
      <c r="M344" s="141">
        <f t="shared" si="29"/>
        <v>18</v>
      </c>
      <c r="N344" s="103"/>
      <c r="O344" s="103" t="s">
        <v>946</v>
      </c>
      <c r="P344" s="137">
        <f t="shared" si="27"/>
        <v>2126.7000000000003</v>
      </c>
    </row>
    <row r="345" spans="1:16" s="92" customFormat="1" ht="32.25" x14ac:dyDescent="0.3">
      <c r="A345" s="106" t="s">
        <v>990</v>
      </c>
      <c r="B345" s="129">
        <v>44851</v>
      </c>
      <c r="C345" s="123" t="s">
        <v>996</v>
      </c>
      <c r="D345" s="25" t="s">
        <v>1122</v>
      </c>
      <c r="E345" s="162"/>
      <c r="F345" s="134">
        <v>240.72</v>
      </c>
      <c r="G345" s="50"/>
      <c r="H345" s="107">
        <v>44851</v>
      </c>
      <c r="I345" s="144">
        <v>30</v>
      </c>
      <c r="J345" s="104">
        <v>240.72</v>
      </c>
      <c r="K345" s="108">
        <f t="shared" si="31"/>
        <v>7221.6</v>
      </c>
      <c r="L345" s="103"/>
      <c r="M345" s="141">
        <f t="shared" si="29"/>
        <v>30</v>
      </c>
      <c r="N345" s="121" t="s">
        <v>1006</v>
      </c>
      <c r="O345" s="103" t="s">
        <v>946</v>
      </c>
      <c r="P345" s="137">
        <f t="shared" ref="P345:P408" si="32">+F345*M345</f>
        <v>7221.6</v>
      </c>
    </row>
    <row r="346" spans="1:16" s="92" customFormat="1" ht="32.25" x14ac:dyDescent="0.3">
      <c r="A346" s="106" t="s">
        <v>991</v>
      </c>
      <c r="B346" s="129">
        <v>44851</v>
      </c>
      <c r="C346" s="25" t="s">
        <v>997</v>
      </c>
      <c r="D346" s="25" t="s">
        <v>1122</v>
      </c>
      <c r="E346" s="162"/>
      <c r="F346" s="134">
        <v>40.119999999999997</v>
      </c>
      <c r="G346" s="50"/>
      <c r="H346" s="107">
        <v>44851</v>
      </c>
      <c r="I346" s="144">
        <v>10</v>
      </c>
      <c r="J346" s="104">
        <v>40.119999999999997</v>
      </c>
      <c r="K346" s="108">
        <f>+I346*J346</f>
        <v>401.2</v>
      </c>
      <c r="L346" s="103"/>
      <c r="M346" s="141">
        <f t="shared" si="29"/>
        <v>10</v>
      </c>
      <c r="N346" s="121" t="s">
        <v>1006</v>
      </c>
      <c r="O346" s="103" t="s">
        <v>946</v>
      </c>
      <c r="P346" s="137">
        <f t="shared" si="32"/>
        <v>401.2</v>
      </c>
    </row>
    <row r="347" spans="1:16" s="92" customFormat="1" ht="32.25" x14ac:dyDescent="0.3">
      <c r="A347" s="106" t="s">
        <v>992</v>
      </c>
      <c r="B347" s="129">
        <v>44851</v>
      </c>
      <c r="C347" s="25" t="s">
        <v>998</v>
      </c>
      <c r="D347" s="25" t="s">
        <v>1122</v>
      </c>
      <c r="E347" s="162"/>
      <c r="F347" s="134">
        <v>141.6</v>
      </c>
      <c r="G347" s="50"/>
      <c r="H347" s="107">
        <v>44851</v>
      </c>
      <c r="I347" s="144">
        <v>25</v>
      </c>
      <c r="J347" s="104">
        <v>141.6</v>
      </c>
      <c r="K347" s="108">
        <f t="shared" ref="K347:K365" si="33">+I347*J347</f>
        <v>3540</v>
      </c>
      <c r="L347" s="103"/>
      <c r="M347" s="141">
        <f t="shared" si="29"/>
        <v>25</v>
      </c>
      <c r="N347" s="121" t="s">
        <v>1006</v>
      </c>
      <c r="O347" s="103" t="s">
        <v>946</v>
      </c>
      <c r="P347" s="137">
        <f t="shared" si="32"/>
        <v>3540</v>
      </c>
    </row>
    <row r="348" spans="1:16" s="92" customFormat="1" ht="32.25" x14ac:dyDescent="0.3">
      <c r="A348" s="106" t="s">
        <v>993</v>
      </c>
      <c r="B348" s="129">
        <v>44851</v>
      </c>
      <c r="C348" s="25" t="s">
        <v>999</v>
      </c>
      <c r="D348" s="25" t="s">
        <v>1122</v>
      </c>
      <c r="E348" s="162"/>
      <c r="F348" s="134">
        <v>1443.73</v>
      </c>
      <c r="G348" s="50"/>
      <c r="H348" s="107">
        <v>44851</v>
      </c>
      <c r="I348" s="144">
        <v>4</v>
      </c>
      <c r="J348" s="104">
        <v>1443.73</v>
      </c>
      <c r="K348" s="104">
        <f t="shared" si="33"/>
        <v>5774.92</v>
      </c>
      <c r="L348" s="103"/>
      <c r="M348" s="141">
        <f t="shared" si="29"/>
        <v>4</v>
      </c>
      <c r="N348" s="121" t="s">
        <v>1006</v>
      </c>
      <c r="O348" s="103" t="s">
        <v>946</v>
      </c>
      <c r="P348" s="137">
        <f t="shared" si="32"/>
        <v>5774.92</v>
      </c>
    </row>
    <row r="349" spans="1:16" s="92" customFormat="1" ht="32.25" x14ac:dyDescent="0.3">
      <c r="A349" s="106" t="s">
        <v>1015</v>
      </c>
      <c r="B349" s="129">
        <v>44851</v>
      </c>
      <c r="C349" s="25" t="s">
        <v>1000</v>
      </c>
      <c r="D349" s="25" t="s">
        <v>1122</v>
      </c>
      <c r="E349" s="162"/>
      <c r="F349" s="134">
        <v>1177.05</v>
      </c>
      <c r="G349" s="50"/>
      <c r="H349" s="107">
        <v>44851</v>
      </c>
      <c r="I349" s="144">
        <v>10</v>
      </c>
      <c r="J349" s="104">
        <v>1177.05</v>
      </c>
      <c r="K349" s="104">
        <f t="shared" si="33"/>
        <v>11770.5</v>
      </c>
      <c r="L349" s="103">
        <v>1</v>
      </c>
      <c r="M349" s="151">
        <f t="shared" si="29"/>
        <v>9</v>
      </c>
      <c r="N349" s="121" t="s">
        <v>1006</v>
      </c>
      <c r="O349" s="103" t="s">
        <v>946</v>
      </c>
      <c r="P349" s="137">
        <f t="shared" si="32"/>
        <v>10593.449999999999</v>
      </c>
    </row>
    <row r="350" spans="1:16" s="92" customFormat="1" ht="32.25" x14ac:dyDescent="0.3">
      <c r="A350" s="106" t="s">
        <v>1016</v>
      </c>
      <c r="B350" s="129">
        <v>44851</v>
      </c>
      <c r="C350" s="25" t="s">
        <v>1001</v>
      </c>
      <c r="D350" s="25" t="s">
        <v>1122</v>
      </c>
      <c r="E350" s="162"/>
      <c r="F350" s="134">
        <v>1330.45</v>
      </c>
      <c r="G350" s="50"/>
      <c r="H350" s="107">
        <v>44851</v>
      </c>
      <c r="I350" s="144">
        <v>4</v>
      </c>
      <c r="J350" s="104">
        <v>1330.45</v>
      </c>
      <c r="K350" s="104">
        <f t="shared" si="33"/>
        <v>5321.8</v>
      </c>
      <c r="L350" s="103"/>
      <c r="M350" s="141">
        <f t="shared" si="29"/>
        <v>4</v>
      </c>
      <c r="N350" s="121" t="s">
        <v>1006</v>
      </c>
      <c r="O350" s="103" t="s">
        <v>946</v>
      </c>
      <c r="P350" s="137">
        <f t="shared" si="32"/>
        <v>5321.8</v>
      </c>
    </row>
    <row r="351" spans="1:16" s="92" customFormat="1" ht="32.25" x14ac:dyDescent="0.3">
      <c r="A351" s="106" t="s">
        <v>1017</v>
      </c>
      <c r="B351" s="129">
        <v>44851</v>
      </c>
      <c r="C351" s="25" t="s">
        <v>1002</v>
      </c>
      <c r="D351" s="25" t="s">
        <v>1122</v>
      </c>
      <c r="E351" s="162"/>
      <c r="F351" s="134">
        <v>676.14</v>
      </c>
      <c r="G351" s="50"/>
      <c r="H351" s="107">
        <v>44851</v>
      </c>
      <c r="I351" s="144">
        <v>4</v>
      </c>
      <c r="J351" s="104">
        <v>676.14</v>
      </c>
      <c r="K351" s="104">
        <f t="shared" si="33"/>
        <v>2704.56</v>
      </c>
      <c r="L351" s="103"/>
      <c r="M351" s="141">
        <f t="shared" si="29"/>
        <v>4</v>
      </c>
      <c r="N351" s="121" t="s">
        <v>1006</v>
      </c>
      <c r="O351" s="103" t="s">
        <v>946</v>
      </c>
      <c r="P351" s="137">
        <f t="shared" si="32"/>
        <v>2704.56</v>
      </c>
    </row>
    <row r="352" spans="1:16" s="92" customFormat="1" ht="32.25" x14ac:dyDescent="0.3">
      <c r="A352" s="106" t="s">
        <v>1018</v>
      </c>
      <c r="B352" s="129">
        <v>44851</v>
      </c>
      <c r="C352" s="25" t="s">
        <v>1003</v>
      </c>
      <c r="D352" s="25" t="s">
        <v>1122</v>
      </c>
      <c r="E352" s="162"/>
      <c r="F352" s="134">
        <v>693.84</v>
      </c>
      <c r="G352" s="50"/>
      <c r="H352" s="107">
        <v>44851</v>
      </c>
      <c r="I352" s="144">
        <v>4</v>
      </c>
      <c r="J352" s="104">
        <v>693.84</v>
      </c>
      <c r="K352" s="104">
        <f t="shared" si="33"/>
        <v>2775.36</v>
      </c>
      <c r="L352" s="103"/>
      <c r="M352" s="141">
        <f t="shared" si="29"/>
        <v>4</v>
      </c>
      <c r="N352" s="121" t="s">
        <v>1006</v>
      </c>
      <c r="O352" s="103" t="s">
        <v>946</v>
      </c>
      <c r="P352" s="137">
        <f t="shared" si="32"/>
        <v>2775.36</v>
      </c>
    </row>
    <row r="353" spans="1:16" customFormat="1" ht="31.5" x14ac:dyDescent="0.25">
      <c r="A353" s="106" t="s">
        <v>1019</v>
      </c>
      <c r="B353" s="129">
        <v>44851</v>
      </c>
      <c r="C353" s="25" t="s">
        <v>1004</v>
      </c>
      <c r="D353" s="25" t="s">
        <v>1122</v>
      </c>
      <c r="E353" s="162"/>
      <c r="F353" s="134">
        <v>1632.53</v>
      </c>
      <c r="G353" s="50"/>
      <c r="H353" s="107">
        <v>44851</v>
      </c>
      <c r="I353" s="144">
        <v>4</v>
      </c>
      <c r="J353" s="104">
        <v>1632.53</v>
      </c>
      <c r="K353" s="104">
        <f t="shared" si="33"/>
        <v>6530.12</v>
      </c>
      <c r="L353" s="117"/>
      <c r="M353" s="141">
        <f t="shared" si="29"/>
        <v>4</v>
      </c>
      <c r="N353" s="121" t="s">
        <v>1006</v>
      </c>
      <c r="O353" s="117" t="s">
        <v>946</v>
      </c>
      <c r="P353" s="137">
        <f t="shared" si="32"/>
        <v>6530.12</v>
      </c>
    </row>
    <row r="354" spans="1:16" s="2" customFormat="1" ht="31.5" x14ac:dyDescent="0.25">
      <c r="A354" s="106" t="s">
        <v>1020</v>
      </c>
      <c r="B354" s="129">
        <v>44851</v>
      </c>
      <c r="C354" s="25" t="s">
        <v>1005</v>
      </c>
      <c r="D354" s="25" t="s">
        <v>1122</v>
      </c>
      <c r="E354" s="162"/>
      <c r="F354" s="134">
        <v>3268.6</v>
      </c>
      <c r="G354" s="50"/>
      <c r="H354" s="107">
        <v>44851</v>
      </c>
      <c r="I354" s="144">
        <v>1</v>
      </c>
      <c r="J354" s="104">
        <v>3268.6</v>
      </c>
      <c r="K354" s="104">
        <f t="shared" si="33"/>
        <v>3268.6</v>
      </c>
      <c r="L354" s="117"/>
      <c r="M354" s="141">
        <f t="shared" si="29"/>
        <v>1</v>
      </c>
      <c r="N354" s="121" t="s">
        <v>1006</v>
      </c>
      <c r="O354" s="117" t="s">
        <v>946</v>
      </c>
      <c r="P354" s="137">
        <f t="shared" si="32"/>
        <v>3268.6</v>
      </c>
    </row>
    <row r="355" spans="1:16" ht="32.25" x14ac:dyDescent="0.3">
      <c r="A355" s="106" t="s">
        <v>1021</v>
      </c>
      <c r="B355" s="129">
        <v>44851</v>
      </c>
      <c r="C355" s="25" t="s">
        <v>1007</v>
      </c>
      <c r="D355" s="25" t="s">
        <v>1122</v>
      </c>
      <c r="E355" s="162"/>
      <c r="F355" s="134">
        <v>3908.16</v>
      </c>
      <c r="G355" s="50"/>
      <c r="H355" s="107">
        <v>44851</v>
      </c>
      <c r="I355" s="144">
        <v>15</v>
      </c>
      <c r="J355" s="104">
        <v>3908.16</v>
      </c>
      <c r="K355" s="104">
        <f t="shared" si="33"/>
        <v>58622.399999999994</v>
      </c>
      <c r="L355" s="117"/>
      <c r="M355" s="141">
        <f t="shared" si="29"/>
        <v>15</v>
      </c>
      <c r="N355" s="121" t="s">
        <v>1006</v>
      </c>
      <c r="O355" s="117" t="s">
        <v>946</v>
      </c>
      <c r="P355" s="137">
        <f t="shared" si="32"/>
        <v>58622.399999999994</v>
      </c>
    </row>
    <row r="356" spans="1:16" ht="23.25" customHeight="1" x14ac:dyDescent="0.3">
      <c r="A356" s="106" t="s">
        <v>1022</v>
      </c>
      <c r="B356" s="129">
        <v>44851</v>
      </c>
      <c r="C356" s="25" t="s">
        <v>1008</v>
      </c>
      <c r="D356" s="25" t="s">
        <v>1122</v>
      </c>
      <c r="E356" s="162"/>
      <c r="F356" s="134">
        <v>1711</v>
      </c>
      <c r="G356" s="50"/>
      <c r="H356" s="107">
        <v>44851</v>
      </c>
      <c r="I356" s="144">
        <v>20</v>
      </c>
      <c r="J356" s="104">
        <v>1711</v>
      </c>
      <c r="K356" s="104">
        <f t="shared" si="33"/>
        <v>34220</v>
      </c>
      <c r="L356" s="117">
        <v>1</v>
      </c>
      <c r="M356" s="141">
        <f t="shared" si="29"/>
        <v>19</v>
      </c>
      <c r="N356" s="121" t="s">
        <v>1006</v>
      </c>
      <c r="O356" s="117" t="s">
        <v>946</v>
      </c>
      <c r="P356" s="137">
        <f t="shared" si="32"/>
        <v>32509</v>
      </c>
    </row>
    <row r="357" spans="1:16" ht="32.25" x14ac:dyDescent="0.3">
      <c r="A357" s="106" t="s">
        <v>1023</v>
      </c>
      <c r="B357" s="129">
        <v>44851</v>
      </c>
      <c r="C357" s="25" t="s">
        <v>1009</v>
      </c>
      <c r="D357" s="25" t="s">
        <v>1122</v>
      </c>
      <c r="E357" s="162"/>
      <c r="F357" s="134">
        <v>1165.8399999999999</v>
      </c>
      <c r="G357" s="50"/>
      <c r="H357" s="107">
        <v>44851</v>
      </c>
      <c r="I357" s="144">
        <v>5</v>
      </c>
      <c r="J357" s="104">
        <v>1165.8399999999999</v>
      </c>
      <c r="K357" s="104">
        <f t="shared" si="33"/>
        <v>5829.2</v>
      </c>
      <c r="L357" s="117"/>
      <c r="M357" s="141">
        <f t="shared" si="29"/>
        <v>5</v>
      </c>
      <c r="N357" s="121" t="s">
        <v>1006</v>
      </c>
      <c r="O357" s="117" t="s">
        <v>946</v>
      </c>
      <c r="P357" s="137">
        <f t="shared" si="32"/>
        <v>5829.2</v>
      </c>
    </row>
    <row r="358" spans="1:16" ht="23.25" customHeight="1" x14ac:dyDescent="0.3">
      <c r="A358" s="106" t="s">
        <v>1024</v>
      </c>
      <c r="B358" s="129">
        <v>44851</v>
      </c>
      <c r="C358" s="25" t="s">
        <v>1010</v>
      </c>
      <c r="D358" s="25" t="s">
        <v>1122</v>
      </c>
      <c r="E358" s="162"/>
      <c r="F358" s="134">
        <v>4399.04</v>
      </c>
      <c r="G358" s="50"/>
      <c r="H358" s="107">
        <v>44851</v>
      </c>
      <c r="I358" s="144">
        <v>5</v>
      </c>
      <c r="J358" s="104">
        <v>4399.04</v>
      </c>
      <c r="K358" s="104">
        <f t="shared" si="33"/>
        <v>21995.200000000001</v>
      </c>
      <c r="L358" s="117"/>
      <c r="M358" s="141">
        <f t="shared" si="29"/>
        <v>5</v>
      </c>
      <c r="N358" s="121" t="s">
        <v>1006</v>
      </c>
      <c r="O358" s="117" t="s">
        <v>946</v>
      </c>
      <c r="P358" s="137">
        <f t="shared" si="32"/>
        <v>21995.200000000001</v>
      </c>
    </row>
    <row r="359" spans="1:16" ht="32.25" x14ac:dyDescent="0.3">
      <c r="A359" s="106" t="s">
        <v>1025</v>
      </c>
      <c r="B359" s="129">
        <v>44851</v>
      </c>
      <c r="C359" s="25" t="s">
        <v>1011</v>
      </c>
      <c r="D359" s="25" t="s">
        <v>1122</v>
      </c>
      <c r="E359" s="162"/>
      <c r="F359" s="134">
        <v>4399.04</v>
      </c>
      <c r="G359" s="50"/>
      <c r="H359" s="107">
        <v>44851</v>
      </c>
      <c r="I359" s="144">
        <v>5</v>
      </c>
      <c r="J359" s="118">
        <v>4399.04</v>
      </c>
      <c r="K359" s="118">
        <f t="shared" si="33"/>
        <v>21995.200000000001</v>
      </c>
      <c r="L359" s="117"/>
      <c r="M359" s="141">
        <f t="shared" si="29"/>
        <v>5</v>
      </c>
      <c r="N359" s="121" t="s">
        <v>1006</v>
      </c>
      <c r="O359" s="117" t="s">
        <v>946</v>
      </c>
      <c r="P359" s="137">
        <f t="shared" si="32"/>
        <v>21995.200000000001</v>
      </c>
    </row>
    <row r="360" spans="1:16" ht="32.25" x14ac:dyDescent="0.3">
      <c r="A360" s="106" t="s">
        <v>1026</v>
      </c>
      <c r="B360" s="129">
        <v>44851</v>
      </c>
      <c r="C360" s="25" t="s">
        <v>1012</v>
      </c>
      <c r="D360" s="25" t="s">
        <v>1122</v>
      </c>
      <c r="E360" s="162"/>
      <c r="F360" s="134">
        <v>4399.04</v>
      </c>
      <c r="G360" s="50"/>
      <c r="H360" s="107">
        <v>44851</v>
      </c>
      <c r="I360" s="144">
        <v>5</v>
      </c>
      <c r="J360" s="118">
        <v>4399.04</v>
      </c>
      <c r="K360" s="118">
        <f t="shared" si="33"/>
        <v>21995.200000000001</v>
      </c>
      <c r="L360" s="117"/>
      <c r="M360" s="141">
        <f t="shared" si="29"/>
        <v>5</v>
      </c>
      <c r="N360" s="121" t="s">
        <v>1006</v>
      </c>
      <c r="O360" s="117" t="s">
        <v>946</v>
      </c>
      <c r="P360" s="137">
        <f t="shared" si="32"/>
        <v>21995.200000000001</v>
      </c>
    </row>
    <row r="361" spans="1:16" ht="32.25" x14ac:dyDescent="0.3">
      <c r="A361" s="106" t="s">
        <v>1027</v>
      </c>
      <c r="B361" s="129">
        <v>44851</v>
      </c>
      <c r="C361" s="25" t="s">
        <v>1013</v>
      </c>
      <c r="D361" s="25" t="s">
        <v>1122</v>
      </c>
      <c r="E361" s="162"/>
      <c r="F361" s="134">
        <v>1869.12</v>
      </c>
      <c r="G361" s="50"/>
      <c r="H361" s="107">
        <v>44851</v>
      </c>
      <c r="I361" s="144">
        <v>12</v>
      </c>
      <c r="J361" s="118">
        <v>1869.12</v>
      </c>
      <c r="K361" s="118">
        <f t="shared" si="33"/>
        <v>22429.439999999999</v>
      </c>
      <c r="L361" s="117"/>
      <c r="M361" s="141">
        <f t="shared" si="29"/>
        <v>12</v>
      </c>
      <c r="N361" s="121" t="s">
        <v>1006</v>
      </c>
      <c r="O361" s="117" t="s">
        <v>946</v>
      </c>
      <c r="P361" s="137">
        <f t="shared" si="32"/>
        <v>22429.439999999999</v>
      </c>
    </row>
    <row r="362" spans="1:16" ht="32.25" x14ac:dyDescent="0.3">
      <c r="A362" s="106" t="s">
        <v>1028</v>
      </c>
      <c r="B362" s="129">
        <v>44851</v>
      </c>
      <c r="C362" s="25" t="s">
        <v>1014</v>
      </c>
      <c r="D362" s="25" t="s">
        <v>1122</v>
      </c>
      <c r="E362" s="162"/>
      <c r="F362" s="134">
        <v>41.3</v>
      </c>
      <c r="G362" s="50"/>
      <c r="H362" s="107">
        <v>44851</v>
      </c>
      <c r="I362" s="144">
        <v>30</v>
      </c>
      <c r="J362" s="118">
        <v>41.3</v>
      </c>
      <c r="K362" s="118">
        <f t="shared" si="33"/>
        <v>1239</v>
      </c>
      <c r="L362" s="117"/>
      <c r="M362" s="141">
        <f t="shared" si="29"/>
        <v>30</v>
      </c>
      <c r="N362" s="121" t="s">
        <v>1006</v>
      </c>
      <c r="O362" s="117" t="s">
        <v>946</v>
      </c>
      <c r="P362" s="137">
        <f t="shared" si="32"/>
        <v>1239</v>
      </c>
    </row>
    <row r="363" spans="1:16" s="105" customFormat="1" ht="15.75" x14ac:dyDescent="0.25">
      <c r="A363" s="106" t="s">
        <v>1029</v>
      </c>
      <c r="B363" s="129">
        <v>44852</v>
      </c>
      <c r="C363" s="25" t="s">
        <v>1038</v>
      </c>
      <c r="D363" s="25" t="s">
        <v>1122</v>
      </c>
      <c r="E363" s="162"/>
      <c r="F363" s="134">
        <v>18.77</v>
      </c>
      <c r="G363" s="50"/>
      <c r="H363" s="107">
        <v>44852</v>
      </c>
      <c r="I363" s="144">
        <v>10</v>
      </c>
      <c r="J363" s="104">
        <v>18.77</v>
      </c>
      <c r="K363" s="104">
        <f t="shared" si="33"/>
        <v>187.7</v>
      </c>
      <c r="L363" s="103"/>
      <c r="M363" s="141">
        <f t="shared" si="29"/>
        <v>10</v>
      </c>
      <c r="N363" s="121" t="s">
        <v>1037</v>
      </c>
      <c r="O363" s="103" t="s">
        <v>947</v>
      </c>
      <c r="P363" s="137">
        <f t="shared" si="32"/>
        <v>187.7</v>
      </c>
    </row>
    <row r="364" spans="1:16" s="105" customFormat="1" ht="15.75" x14ac:dyDescent="0.25">
      <c r="A364" s="106" t="s">
        <v>1030</v>
      </c>
      <c r="B364" s="129">
        <v>44852</v>
      </c>
      <c r="C364" s="25" t="s">
        <v>1041</v>
      </c>
      <c r="D364" s="25" t="s">
        <v>1122</v>
      </c>
      <c r="E364" s="162">
        <v>56</v>
      </c>
      <c r="F364" s="134">
        <v>44.55</v>
      </c>
      <c r="G364" s="50"/>
      <c r="H364" s="107">
        <v>44852</v>
      </c>
      <c r="I364" s="144">
        <v>40</v>
      </c>
      <c r="J364" s="104">
        <v>44.55</v>
      </c>
      <c r="K364" s="104">
        <f t="shared" si="33"/>
        <v>1782</v>
      </c>
      <c r="L364" s="103">
        <v>4</v>
      </c>
      <c r="M364" s="151">
        <f>+E364+I364-L364</f>
        <v>92</v>
      </c>
      <c r="N364" s="121" t="s">
        <v>1037</v>
      </c>
      <c r="O364" s="103" t="s">
        <v>947</v>
      </c>
      <c r="P364" s="137">
        <f t="shared" si="32"/>
        <v>4098.5999999999995</v>
      </c>
    </row>
    <row r="365" spans="1:16" s="105" customFormat="1" ht="15.75" x14ac:dyDescent="0.25">
      <c r="A365" s="106" t="s">
        <v>1031</v>
      </c>
      <c r="B365" s="129">
        <v>44851</v>
      </c>
      <c r="C365" s="25" t="s">
        <v>1042</v>
      </c>
      <c r="D365" s="25" t="s">
        <v>1122</v>
      </c>
      <c r="E365" s="162">
        <v>1</v>
      </c>
      <c r="F365" s="134">
        <v>650</v>
      </c>
      <c r="G365" s="50"/>
      <c r="H365" s="107">
        <v>44851</v>
      </c>
      <c r="I365" s="144">
        <v>2</v>
      </c>
      <c r="J365" s="104">
        <v>650</v>
      </c>
      <c r="K365" s="104">
        <f t="shared" si="33"/>
        <v>1300</v>
      </c>
      <c r="L365" s="103"/>
      <c r="M365" s="151">
        <f t="shared" si="29"/>
        <v>3</v>
      </c>
      <c r="N365" s="121" t="s">
        <v>1037</v>
      </c>
      <c r="O365" s="103" t="s">
        <v>947</v>
      </c>
      <c r="P365" s="137">
        <f t="shared" si="32"/>
        <v>1950</v>
      </c>
    </row>
    <row r="366" spans="1:16" s="105" customFormat="1" ht="15.75" x14ac:dyDescent="0.25">
      <c r="A366" s="106" t="s">
        <v>1032</v>
      </c>
      <c r="B366" s="129">
        <v>44852</v>
      </c>
      <c r="C366" s="25" t="s">
        <v>1043</v>
      </c>
      <c r="D366" s="25" t="s">
        <v>1122</v>
      </c>
      <c r="E366" s="162"/>
      <c r="F366" s="134">
        <v>27</v>
      </c>
      <c r="G366" s="50"/>
      <c r="H366" s="107">
        <v>44852</v>
      </c>
      <c r="I366" s="144">
        <f>10*12</f>
        <v>120</v>
      </c>
      <c r="J366" s="104">
        <v>27</v>
      </c>
      <c r="K366" s="104">
        <f>+J366*I366</f>
        <v>3240</v>
      </c>
      <c r="L366" s="103">
        <v>72</v>
      </c>
      <c r="M366" s="151">
        <f t="shared" si="29"/>
        <v>48</v>
      </c>
      <c r="N366" s="121" t="s">
        <v>1037</v>
      </c>
      <c r="O366" s="103" t="s">
        <v>947</v>
      </c>
      <c r="P366" s="137">
        <f t="shared" si="32"/>
        <v>1296</v>
      </c>
    </row>
    <row r="367" spans="1:16" s="105" customFormat="1" ht="15.75" x14ac:dyDescent="0.25">
      <c r="A367" s="106" t="s">
        <v>1033</v>
      </c>
      <c r="B367" s="129">
        <v>44852</v>
      </c>
      <c r="C367" s="25" t="s">
        <v>1044</v>
      </c>
      <c r="D367" s="25" t="s">
        <v>1122</v>
      </c>
      <c r="E367" s="162"/>
      <c r="F367" s="134">
        <v>45.89</v>
      </c>
      <c r="G367" s="50"/>
      <c r="H367" s="107">
        <v>44852</v>
      </c>
      <c r="I367" s="144">
        <v>120</v>
      </c>
      <c r="J367" s="104">
        <v>45.89</v>
      </c>
      <c r="K367" s="104">
        <f>+J367*I367</f>
        <v>5506.8</v>
      </c>
      <c r="L367" s="103">
        <v>72</v>
      </c>
      <c r="M367" s="151">
        <f t="shared" si="29"/>
        <v>48</v>
      </c>
      <c r="N367" s="121" t="s">
        <v>1037</v>
      </c>
      <c r="O367" s="103" t="s">
        <v>947</v>
      </c>
      <c r="P367" s="137">
        <f t="shared" si="32"/>
        <v>2202.7200000000003</v>
      </c>
    </row>
    <row r="368" spans="1:16" s="105" customFormat="1" ht="15.75" x14ac:dyDescent="0.25">
      <c r="A368" s="106" t="s">
        <v>1034</v>
      </c>
      <c r="B368" s="129">
        <v>44852</v>
      </c>
      <c r="C368" s="25" t="s">
        <v>1045</v>
      </c>
      <c r="D368" s="25" t="s">
        <v>1122</v>
      </c>
      <c r="E368" s="162"/>
      <c r="F368" s="134">
        <v>51.33</v>
      </c>
      <c r="G368" s="50"/>
      <c r="H368" s="107">
        <v>44852</v>
      </c>
      <c r="I368" s="144">
        <v>120</v>
      </c>
      <c r="J368" s="104">
        <v>51.33</v>
      </c>
      <c r="K368" s="104">
        <f t="shared" ref="K368:K383" si="34">+J368*I368</f>
        <v>6159.5999999999995</v>
      </c>
      <c r="L368" s="103"/>
      <c r="M368" s="141">
        <f t="shared" ref="M368:M426" si="35">+E368+I368-L368</f>
        <v>120</v>
      </c>
      <c r="N368" s="121" t="s">
        <v>1037</v>
      </c>
      <c r="O368" s="103" t="s">
        <v>947</v>
      </c>
      <c r="P368" s="137">
        <f t="shared" si="32"/>
        <v>6159.5999999999995</v>
      </c>
    </row>
    <row r="369" spans="1:16" s="105" customFormat="1" ht="15.75" x14ac:dyDescent="0.25">
      <c r="A369" s="106" t="s">
        <v>1057</v>
      </c>
      <c r="B369" s="129">
        <v>44852</v>
      </c>
      <c r="C369" s="25" t="s">
        <v>1046</v>
      </c>
      <c r="D369" s="25" t="s">
        <v>1122</v>
      </c>
      <c r="E369" s="162"/>
      <c r="F369" s="134">
        <v>127.65</v>
      </c>
      <c r="G369" s="50"/>
      <c r="H369" s="107">
        <v>44852</v>
      </c>
      <c r="I369" s="144">
        <v>120</v>
      </c>
      <c r="J369" s="104">
        <v>127.65</v>
      </c>
      <c r="K369" s="104">
        <f t="shared" si="34"/>
        <v>15318</v>
      </c>
      <c r="L369" s="103"/>
      <c r="M369" s="141">
        <f t="shared" si="35"/>
        <v>120</v>
      </c>
      <c r="N369" s="121" t="s">
        <v>1037</v>
      </c>
      <c r="O369" s="103" t="s">
        <v>947</v>
      </c>
      <c r="P369" s="137">
        <f t="shared" si="32"/>
        <v>15318</v>
      </c>
    </row>
    <row r="370" spans="1:16" s="105" customFormat="1" ht="15.75" x14ac:dyDescent="0.25">
      <c r="A370" s="106" t="s">
        <v>1058</v>
      </c>
      <c r="B370" s="129">
        <v>44852</v>
      </c>
      <c r="C370" s="25" t="s">
        <v>1047</v>
      </c>
      <c r="D370" s="25" t="s">
        <v>1122</v>
      </c>
      <c r="E370" s="162"/>
      <c r="F370" s="134">
        <v>5442.16</v>
      </c>
      <c r="G370" s="50"/>
      <c r="H370" s="107">
        <v>44852</v>
      </c>
      <c r="I370" s="144">
        <v>5</v>
      </c>
      <c r="J370" s="104">
        <v>5442.16</v>
      </c>
      <c r="K370" s="104">
        <f t="shared" si="34"/>
        <v>27210.799999999999</v>
      </c>
      <c r="L370" s="103">
        <v>1</v>
      </c>
      <c r="M370" s="151">
        <f t="shared" si="35"/>
        <v>4</v>
      </c>
      <c r="N370" s="121" t="s">
        <v>1037</v>
      </c>
      <c r="O370" s="103" t="s">
        <v>947</v>
      </c>
      <c r="P370" s="137">
        <f t="shared" si="32"/>
        <v>21768.639999999999</v>
      </c>
    </row>
    <row r="371" spans="1:16" s="105" customFormat="1" ht="15.75" x14ac:dyDescent="0.25">
      <c r="A371" s="106" t="s">
        <v>1059</v>
      </c>
      <c r="B371" s="129">
        <v>44852</v>
      </c>
      <c r="C371" s="25" t="s">
        <v>1048</v>
      </c>
      <c r="D371" s="25" t="s">
        <v>1122</v>
      </c>
      <c r="E371" s="162"/>
      <c r="F371" s="134">
        <v>5330</v>
      </c>
      <c r="G371" s="50"/>
      <c r="H371" s="107">
        <v>44852</v>
      </c>
      <c r="I371" s="144">
        <v>1</v>
      </c>
      <c r="J371" s="104">
        <v>5330</v>
      </c>
      <c r="K371" s="104">
        <f t="shared" si="34"/>
        <v>5330</v>
      </c>
      <c r="L371" s="103">
        <v>1</v>
      </c>
      <c r="M371" s="141">
        <f t="shared" si="35"/>
        <v>0</v>
      </c>
      <c r="N371" s="121" t="s">
        <v>1037</v>
      </c>
      <c r="O371" s="103" t="s">
        <v>947</v>
      </c>
      <c r="P371" s="137">
        <f t="shared" si="32"/>
        <v>0</v>
      </c>
    </row>
    <row r="372" spans="1:16" s="105" customFormat="1" ht="15.75" x14ac:dyDescent="0.25">
      <c r="A372" s="106" t="s">
        <v>1060</v>
      </c>
      <c r="B372" s="129">
        <v>44852</v>
      </c>
      <c r="C372" s="25" t="s">
        <v>1049</v>
      </c>
      <c r="D372" s="25" t="s">
        <v>1122</v>
      </c>
      <c r="E372" s="162"/>
      <c r="F372" s="134">
        <v>678.24</v>
      </c>
      <c r="G372" s="50"/>
      <c r="H372" s="107">
        <v>44852</v>
      </c>
      <c r="I372" s="144">
        <v>5</v>
      </c>
      <c r="J372" s="104">
        <v>678.24</v>
      </c>
      <c r="K372" s="104">
        <f t="shared" si="34"/>
        <v>3391.2</v>
      </c>
      <c r="L372" s="103">
        <v>1</v>
      </c>
      <c r="M372" s="151">
        <f t="shared" si="35"/>
        <v>4</v>
      </c>
      <c r="N372" s="121" t="s">
        <v>1037</v>
      </c>
      <c r="O372" s="103" t="s">
        <v>947</v>
      </c>
      <c r="P372" s="137">
        <f t="shared" si="32"/>
        <v>2712.96</v>
      </c>
    </row>
    <row r="373" spans="1:16" s="105" customFormat="1" ht="15.75" x14ac:dyDescent="0.25">
      <c r="A373" s="106" t="s">
        <v>1061</v>
      </c>
      <c r="B373" s="129">
        <v>44852</v>
      </c>
      <c r="C373" s="25" t="s">
        <v>1050</v>
      </c>
      <c r="D373" s="25" t="s">
        <v>1122</v>
      </c>
      <c r="E373" s="162"/>
      <c r="F373" s="134">
        <v>678.24</v>
      </c>
      <c r="G373" s="50"/>
      <c r="H373" s="107">
        <v>44852</v>
      </c>
      <c r="I373" s="144">
        <v>5</v>
      </c>
      <c r="J373" s="104">
        <v>678.24</v>
      </c>
      <c r="K373" s="104">
        <f t="shared" si="34"/>
        <v>3391.2</v>
      </c>
      <c r="L373" s="103">
        <v>1</v>
      </c>
      <c r="M373" s="151">
        <f t="shared" si="35"/>
        <v>4</v>
      </c>
      <c r="N373" s="121" t="s">
        <v>1037</v>
      </c>
      <c r="O373" s="103" t="s">
        <v>947</v>
      </c>
      <c r="P373" s="137">
        <f t="shared" si="32"/>
        <v>2712.96</v>
      </c>
    </row>
    <row r="374" spans="1:16" s="105" customFormat="1" ht="15.75" x14ac:dyDescent="0.25">
      <c r="A374" s="106" t="s">
        <v>1062</v>
      </c>
      <c r="B374" s="129">
        <v>44852</v>
      </c>
      <c r="C374" s="25" t="s">
        <v>1051</v>
      </c>
      <c r="D374" s="25" t="s">
        <v>1122</v>
      </c>
      <c r="E374" s="162"/>
      <c r="F374" s="134">
        <v>511</v>
      </c>
      <c r="G374" s="50"/>
      <c r="H374" s="107">
        <v>44852</v>
      </c>
      <c r="I374" s="144">
        <v>3</v>
      </c>
      <c r="J374" s="104">
        <v>511</v>
      </c>
      <c r="K374" s="104">
        <f t="shared" si="34"/>
        <v>1533</v>
      </c>
      <c r="L374" s="103">
        <v>2</v>
      </c>
      <c r="M374" s="151">
        <f t="shared" si="35"/>
        <v>1</v>
      </c>
      <c r="N374" s="121" t="s">
        <v>1037</v>
      </c>
      <c r="O374" s="103" t="s">
        <v>947</v>
      </c>
      <c r="P374" s="137">
        <f t="shared" si="32"/>
        <v>511</v>
      </c>
    </row>
    <row r="375" spans="1:16" s="105" customFormat="1" ht="15.75" x14ac:dyDescent="0.25">
      <c r="A375" s="106" t="s">
        <v>1063</v>
      </c>
      <c r="B375" s="129">
        <v>44852</v>
      </c>
      <c r="C375" s="25" t="s">
        <v>1052</v>
      </c>
      <c r="D375" s="25" t="s">
        <v>1122</v>
      </c>
      <c r="E375" s="162"/>
      <c r="F375" s="134">
        <v>511</v>
      </c>
      <c r="G375" s="50"/>
      <c r="H375" s="107">
        <v>44852</v>
      </c>
      <c r="I375" s="144">
        <v>3</v>
      </c>
      <c r="J375" s="104">
        <v>511</v>
      </c>
      <c r="K375" s="104">
        <f t="shared" si="34"/>
        <v>1533</v>
      </c>
      <c r="L375" s="103"/>
      <c r="M375" s="141">
        <f t="shared" si="35"/>
        <v>3</v>
      </c>
      <c r="N375" s="121" t="s">
        <v>1037</v>
      </c>
      <c r="O375" s="103" t="s">
        <v>947</v>
      </c>
      <c r="P375" s="137">
        <f t="shared" si="32"/>
        <v>1533</v>
      </c>
    </row>
    <row r="376" spans="1:16" s="105" customFormat="1" ht="15.75" x14ac:dyDescent="0.25">
      <c r="A376" s="106" t="s">
        <v>1064</v>
      </c>
      <c r="B376" s="129">
        <v>44852</v>
      </c>
      <c r="C376" s="25" t="s">
        <v>1053</v>
      </c>
      <c r="D376" s="25" t="s">
        <v>1122</v>
      </c>
      <c r="E376" s="162"/>
      <c r="F376" s="134">
        <v>511</v>
      </c>
      <c r="G376" s="50"/>
      <c r="H376" s="107">
        <v>44852</v>
      </c>
      <c r="I376" s="144">
        <v>3</v>
      </c>
      <c r="J376" s="104">
        <v>511</v>
      </c>
      <c r="K376" s="104">
        <f t="shared" si="34"/>
        <v>1533</v>
      </c>
      <c r="L376" s="103">
        <v>2</v>
      </c>
      <c r="M376" s="151">
        <f t="shared" si="35"/>
        <v>1</v>
      </c>
      <c r="N376" s="121" t="s">
        <v>1037</v>
      </c>
      <c r="O376" s="103" t="s">
        <v>947</v>
      </c>
      <c r="P376" s="137">
        <f t="shared" si="32"/>
        <v>511</v>
      </c>
    </row>
    <row r="377" spans="1:16" s="105" customFormat="1" ht="15.75" x14ac:dyDescent="0.25">
      <c r="A377" s="106" t="s">
        <v>1065</v>
      </c>
      <c r="B377" s="129">
        <v>44852</v>
      </c>
      <c r="C377" s="25" t="s">
        <v>1054</v>
      </c>
      <c r="D377" s="25" t="s">
        <v>1122</v>
      </c>
      <c r="E377" s="162"/>
      <c r="F377" s="134">
        <v>511</v>
      </c>
      <c r="G377" s="50"/>
      <c r="H377" s="107">
        <v>44852</v>
      </c>
      <c r="I377" s="144">
        <v>3</v>
      </c>
      <c r="J377" s="104">
        <v>511</v>
      </c>
      <c r="K377" s="104">
        <f t="shared" si="34"/>
        <v>1533</v>
      </c>
      <c r="L377" s="103">
        <v>1</v>
      </c>
      <c r="M377" s="151">
        <f t="shared" si="35"/>
        <v>2</v>
      </c>
      <c r="N377" s="121" t="s">
        <v>1037</v>
      </c>
      <c r="O377" s="103" t="s">
        <v>947</v>
      </c>
      <c r="P377" s="137">
        <f t="shared" si="32"/>
        <v>1022</v>
      </c>
    </row>
    <row r="378" spans="1:16" s="105" customFormat="1" ht="15.75" x14ac:dyDescent="0.25">
      <c r="A378" s="106" t="s">
        <v>1066</v>
      </c>
      <c r="B378" s="129">
        <v>44852</v>
      </c>
      <c r="C378" s="25" t="s">
        <v>1055</v>
      </c>
      <c r="D378" s="25" t="s">
        <v>1122</v>
      </c>
      <c r="E378" s="162">
        <v>32</v>
      </c>
      <c r="F378" s="134">
        <v>3.32</v>
      </c>
      <c r="G378" s="50"/>
      <c r="H378" s="107">
        <v>44852</v>
      </c>
      <c r="I378" s="144">
        <v>20</v>
      </c>
      <c r="J378" s="104">
        <v>3.32</v>
      </c>
      <c r="K378" s="104">
        <f t="shared" si="34"/>
        <v>66.399999999999991</v>
      </c>
      <c r="L378" s="103"/>
      <c r="M378" s="151">
        <f t="shared" si="35"/>
        <v>52</v>
      </c>
      <c r="N378" s="121" t="s">
        <v>1037</v>
      </c>
      <c r="O378" s="103" t="s">
        <v>947</v>
      </c>
      <c r="P378" s="137">
        <f t="shared" si="32"/>
        <v>172.64</v>
      </c>
    </row>
    <row r="379" spans="1:16" s="105" customFormat="1" ht="15.75" x14ac:dyDescent="0.25">
      <c r="A379" s="106" t="s">
        <v>1067</v>
      </c>
      <c r="B379" s="129">
        <v>44852</v>
      </c>
      <c r="C379" s="25" t="s">
        <v>1056</v>
      </c>
      <c r="D379" s="25" t="s">
        <v>1122</v>
      </c>
      <c r="E379" s="162"/>
      <c r="F379" s="134">
        <v>64.900000000000006</v>
      </c>
      <c r="G379" s="50"/>
      <c r="H379" s="107">
        <v>44852</v>
      </c>
      <c r="I379" s="144">
        <v>5</v>
      </c>
      <c r="J379" s="104">
        <v>64.900000000000006</v>
      </c>
      <c r="K379" s="104">
        <f t="shared" si="34"/>
        <v>324.5</v>
      </c>
      <c r="L379" s="103"/>
      <c r="M379" s="141">
        <f t="shared" si="35"/>
        <v>5</v>
      </c>
      <c r="N379" s="121" t="s">
        <v>1037</v>
      </c>
      <c r="O379" s="103" t="s">
        <v>947</v>
      </c>
      <c r="P379" s="137">
        <f t="shared" si="32"/>
        <v>324.5</v>
      </c>
    </row>
    <row r="380" spans="1:16" s="105" customFormat="1" ht="15.75" x14ac:dyDescent="0.25">
      <c r="A380" s="106" t="s">
        <v>1067</v>
      </c>
      <c r="B380" s="129">
        <v>44852</v>
      </c>
      <c r="C380" s="25" t="s">
        <v>1056</v>
      </c>
      <c r="D380" s="25" t="s">
        <v>1122</v>
      </c>
      <c r="E380" s="162"/>
      <c r="F380" s="134">
        <v>64.900000000000006</v>
      </c>
      <c r="G380" s="50"/>
      <c r="H380" s="107">
        <v>44852</v>
      </c>
      <c r="I380" s="144">
        <v>5</v>
      </c>
      <c r="J380" s="104">
        <v>64.900000000000006</v>
      </c>
      <c r="K380" s="104">
        <f t="shared" si="34"/>
        <v>324.5</v>
      </c>
      <c r="L380" s="103"/>
      <c r="M380" s="141">
        <f t="shared" si="35"/>
        <v>5</v>
      </c>
      <c r="N380" s="121" t="s">
        <v>1037</v>
      </c>
      <c r="O380" s="103" t="s">
        <v>947</v>
      </c>
      <c r="P380" s="137">
        <f t="shared" si="32"/>
        <v>324.5</v>
      </c>
    </row>
    <row r="381" spans="1:16" s="105" customFormat="1" ht="15.75" x14ac:dyDescent="0.25">
      <c r="A381" s="106" t="s">
        <v>1068</v>
      </c>
      <c r="B381" s="129">
        <v>44865</v>
      </c>
      <c r="C381" s="25" t="s">
        <v>1077</v>
      </c>
      <c r="D381" s="25" t="s">
        <v>1122</v>
      </c>
      <c r="E381" s="162"/>
      <c r="F381" s="134">
        <v>8720.2000000000007</v>
      </c>
      <c r="G381" s="50"/>
      <c r="H381" s="107">
        <v>44865</v>
      </c>
      <c r="I381" s="144">
        <v>6</v>
      </c>
      <c r="J381" s="104">
        <v>8720.2000000000007</v>
      </c>
      <c r="K381" s="104">
        <f t="shared" si="34"/>
        <v>52321.200000000004</v>
      </c>
      <c r="L381" s="103">
        <v>1</v>
      </c>
      <c r="M381" s="151">
        <f t="shared" si="35"/>
        <v>5</v>
      </c>
      <c r="N381" s="121" t="s">
        <v>1078</v>
      </c>
      <c r="O381" s="103" t="s">
        <v>947</v>
      </c>
      <c r="P381" s="137">
        <f t="shared" si="32"/>
        <v>43601</v>
      </c>
    </row>
    <row r="382" spans="1:16" s="105" customFormat="1" ht="15.75" x14ac:dyDescent="0.25">
      <c r="A382" s="106" t="s">
        <v>1073</v>
      </c>
      <c r="B382" s="129">
        <v>44865</v>
      </c>
      <c r="C382" s="25" t="s">
        <v>1079</v>
      </c>
      <c r="D382" s="25" t="s">
        <v>1122</v>
      </c>
      <c r="E382" s="162"/>
      <c r="F382" s="134">
        <v>7729</v>
      </c>
      <c r="G382" s="50"/>
      <c r="H382" s="107">
        <v>44865</v>
      </c>
      <c r="I382" s="144">
        <v>5</v>
      </c>
      <c r="J382" s="104">
        <v>7729</v>
      </c>
      <c r="K382" s="104">
        <f t="shared" si="34"/>
        <v>38645</v>
      </c>
      <c r="L382" s="103"/>
      <c r="M382" s="151">
        <f t="shared" si="35"/>
        <v>5</v>
      </c>
      <c r="N382" s="121" t="s">
        <v>1078</v>
      </c>
      <c r="O382" s="103" t="s">
        <v>947</v>
      </c>
      <c r="P382" s="137">
        <f t="shared" si="32"/>
        <v>38645</v>
      </c>
    </row>
    <row r="383" spans="1:16" s="105" customFormat="1" ht="15.75" x14ac:dyDescent="0.25">
      <c r="A383" s="106" t="s">
        <v>1074</v>
      </c>
      <c r="B383" s="129">
        <v>44865</v>
      </c>
      <c r="C383" s="25" t="s">
        <v>1080</v>
      </c>
      <c r="D383" s="25" t="s">
        <v>1122</v>
      </c>
      <c r="E383" s="162"/>
      <c r="F383" s="134">
        <v>4897</v>
      </c>
      <c r="G383" s="50"/>
      <c r="H383" s="107">
        <v>44865</v>
      </c>
      <c r="I383" s="144">
        <v>10</v>
      </c>
      <c r="J383" s="104">
        <v>4897</v>
      </c>
      <c r="K383" s="104">
        <f t="shared" si="34"/>
        <v>48970</v>
      </c>
      <c r="L383" s="103"/>
      <c r="M383" s="141">
        <f t="shared" si="35"/>
        <v>10</v>
      </c>
      <c r="N383" s="121" t="s">
        <v>1078</v>
      </c>
      <c r="O383" s="103" t="s">
        <v>947</v>
      </c>
      <c r="P383" s="137">
        <f t="shared" si="32"/>
        <v>48970</v>
      </c>
    </row>
    <row r="384" spans="1:16" s="105" customFormat="1" ht="15.75" x14ac:dyDescent="0.25">
      <c r="A384" s="106" t="s">
        <v>1075</v>
      </c>
      <c r="B384" s="129">
        <v>44879</v>
      </c>
      <c r="C384" s="25" t="s">
        <v>1072</v>
      </c>
      <c r="D384" s="25" t="s">
        <v>1122</v>
      </c>
      <c r="E384" s="162"/>
      <c r="F384" s="134">
        <v>3717</v>
      </c>
      <c r="G384" s="50"/>
      <c r="H384" s="107">
        <v>44879</v>
      </c>
      <c r="I384" s="144">
        <v>10</v>
      </c>
      <c r="J384" s="104">
        <v>3717</v>
      </c>
      <c r="K384" s="104">
        <f>+J384*I384</f>
        <v>37170</v>
      </c>
      <c r="L384" s="103"/>
      <c r="M384" s="141">
        <f t="shared" si="35"/>
        <v>10</v>
      </c>
      <c r="N384" s="121"/>
      <c r="O384" s="103" t="s">
        <v>946</v>
      </c>
      <c r="P384" s="137">
        <f t="shared" si="32"/>
        <v>37170</v>
      </c>
    </row>
    <row r="385" spans="1:16" s="105" customFormat="1" ht="15.75" x14ac:dyDescent="0.25">
      <c r="A385" s="106" t="s">
        <v>1076</v>
      </c>
      <c r="B385" s="102"/>
      <c r="C385" s="25" t="s">
        <v>1070</v>
      </c>
      <c r="D385" s="25" t="s">
        <v>1122</v>
      </c>
      <c r="E385" s="162"/>
      <c r="F385" s="134"/>
      <c r="G385" s="50"/>
      <c r="H385" s="107"/>
      <c r="I385" s="144"/>
      <c r="J385" s="104"/>
      <c r="K385" s="104"/>
      <c r="L385" s="103">
        <v>1</v>
      </c>
      <c r="M385" s="141">
        <f t="shared" si="35"/>
        <v>-1</v>
      </c>
      <c r="N385" s="121"/>
      <c r="O385" s="103" t="s">
        <v>947</v>
      </c>
      <c r="P385" s="137">
        <f t="shared" si="32"/>
        <v>0</v>
      </c>
    </row>
    <row r="386" spans="1:16" s="105" customFormat="1" ht="15.75" x14ac:dyDescent="0.25">
      <c r="A386" s="106" t="s">
        <v>1081</v>
      </c>
      <c r="B386" s="102"/>
      <c r="C386" s="25" t="s">
        <v>1071</v>
      </c>
      <c r="D386" s="25" t="s">
        <v>1122</v>
      </c>
      <c r="E386" s="162"/>
      <c r="F386" s="134"/>
      <c r="G386" s="50"/>
      <c r="H386" s="107"/>
      <c r="I386" s="144"/>
      <c r="J386" s="104"/>
      <c r="K386" s="104"/>
      <c r="L386" s="103">
        <v>1</v>
      </c>
      <c r="M386" s="141">
        <f t="shared" si="35"/>
        <v>-1</v>
      </c>
      <c r="N386" s="121"/>
      <c r="O386" s="103" t="s">
        <v>947</v>
      </c>
      <c r="P386" s="137">
        <f t="shared" si="32"/>
        <v>0</v>
      </c>
    </row>
    <row r="387" spans="1:16" s="105" customFormat="1" ht="15.75" x14ac:dyDescent="0.25">
      <c r="A387" s="106" t="s">
        <v>1082</v>
      </c>
      <c r="B387" s="102"/>
      <c r="C387" s="25" t="s">
        <v>1069</v>
      </c>
      <c r="D387" s="25" t="s">
        <v>1122</v>
      </c>
      <c r="E387" s="162"/>
      <c r="F387" s="134"/>
      <c r="G387" s="50"/>
      <c r="H387" s="107"/>
      <c r="I387" s="144"/>
      <c r="J387" s="104"/>
      <c r="K387" s="104"/>
      <c r="L387" s="103">
        <v>1</v>
      </c>
      <c r="M387" s="141">
        <f t="shared" si="35"/>
        <v>-1</v>
      </c>
      <c r="N387" s="121"/>
      <c r="O387" s="103" t="s">
        <v>946</v>
      </c>
      <c r="P387" s="137">
        <f t="shared" si="32"/>
        <v>0</v>
      </c>
    </row>
    <row r="388" spans="1:16" s="105" customFormat="1" ht="31.5" x14ac:dyDescent="0.25">
      <c r="A388" s="106" t="s">
        <v>1083</v>
      </c>
      <c r="B388" s="129">
        <v>44903</v>
      </c>
      <c r="C388" s="25" t="s">
        <v>1239</v>
      </c>
      <c r="D388" s="25" t="s">
        <v>1122</v>
      </c>
      <c r="E388" s="162"/>
      <c r="F388" s="134">
        <v>81.13</v>
      </c>
      <c r="G388" s="50"/>
      <c r="H388" s="107">
        <v>44903</v>
      </c>
      <c r="I388" s="144">
        <v>360</v>
      </c>
      <c r="J388" s="104">
        <v>81.13</v>
      </c>
      <c r="K388" s="104">
        <f>+J388*I388</f>
        <v>29206.799999999999</v>
      </c>
      <c r="L388" s="103">
        <v>360</v>
      </c>
      <c r="M388" s="151">
        <f t="shared" si="35"/>
        <v>0</v>
      </c>
      <c r="N388" s="121" t="s">
        <v>1006</v>
      </c>
      <c r="O388" s="103" t="s">
        <v>945</v>
      </c>
      <c r="P388" s="137">
        <f t="shared" si="32"/>
        <v>0</v>
      </c>
    </row>
    <row r="389" spans="1:16" s="105" customFormat="1" ht="15.75" x14ac:dyDescent="0.25">
      <c r="A389" s="106" t="s">
        <v>1099</v>
      </c>
      <c r="B389" s="129">
        <v>45019</v>
      </c>
      <c r="C389" s="25" t="s">
        <v>1085</v>
      </c>
      <c r="D389" s="25" t="s">
        <v>1122</v>
      </c>
      <c r="E389" s="162"/>
      <c r="F389" s="134">
        <v>81.13</v>
      </c>
      <c r="G389" s="50"/>
      <c r="H389" s="107">
        <v>45019</v>
      </c>
      <c r="I389" s="144">
        <f>90*6</f>
        <v>540</v>
      </c>
      <c r="J389" s="104">
        <v>117.02</v>
      </c>
      <c r="K389" s="104">
        <f t="shared" ref="K389:K424" si="36">+J389*I389</f>
        <v>63190.799999999996</v>
      </c>
      <c r="L389" s="103">
        <f>410+24+3+18</f>
        <v>455</v>
      </c>
      <c r="M389" s="151">
        <f t="shared" si="35"/>
        <v>85</v>
      </c>
      <c r="N389" s="121"/>
      <c r="O389" s="103" t="s">
        <v>945</v>
      </c>
      <c r="P389" s="137">
        <f t="shared" si="32"/>
        <v>6896.0499999999993</v>
      </c>
    </row>
    <row r="390" spans="1:16" s="105" customFormat="1" ht="15.75" x14ac:dyDescent="0.25">
      <c r="A390" s="106" t="s">
        <v>1100</v>
      </c>
      <c r="B390" s="129">
        <v>45019</v>
      </c>
      <c r="C390" s="25" t="s">
        <v>1086</v>
      </c>
      <c r="D390" s="25" t="s">
        <v>1122</v>
      </c>
      <c r="E390" s="162"/>
      <c r="F390" s="134">
        <v>454.3</v>
      </c>
      <c r="G390" s="50"/>
      <c r="H390" s="107">
        <v>45019</v>
      </c>
      <c r="I390" s="144">
        <f>80+15</f>
        <v>95</v>
      </c>
      <c r="J390" s="104">
        <v>454.3</v>
      </c>
      <c r="K390" s="104">
        <f t="shared" si="36"/>
        <v>43158.5</v>
      </c>
      <c r="L390" s="103">
        <f>4+1+1+1+2</f>
        <v>9</v>
      </c>
      <c r="M390" s="151">
        <f t="shared" si="35"/>
        <v>86</v>
      </c>
      <c r="N390" s="121"/>
      <c r="O390" s="103" t="s">
        <v>945</v>
      </c>
      <c r="P390" s="137">
        <f t="shared" si="32"/>
        <v>39069.800000000003</v>
      </c>
    </row>
    <row r="391" spans="1:16" s="105" customFormat="1" ht="31.5" x14ac:dyDescent="0.25">
      <c r="A391" s="106" t="s">
        <v>1101</v>
      </c>
      <c r="B391" s="129">
        <v>44903</v>
      </c>
      <c r="C391" s="25" t="s">
        <v>1087</v>
      </c>
      <c r="D391" s="25" t="s">
        <v>1122</v>
      </c>
      <c r="E391" s="162"/>
      <c r="F391" s="134">
        <v>116.53</v>
      </c>
      <c r="G391" s="50"/>
      <c r="H391" s="107">
        <v>44903</v>
      </c>
      <c r="I391" s="144">
        <f>20*4</f>
        <v>80</v>
      </c>
      <c r="J391" s="104">
        <v>116.53</v>
      </c>
      <c r="K391" s="104">
        <f t="shared" si="36"/>
        <v>9322.4</v>
      </c>
      <c r="L391" s="103">
        <f>9+1+2+4+1+44+1+1+1+1+1+3+1+2</f>
        <v>72</v>
      </c>
      <c r="M391" s="151">
        <f t="shared" si="35"/>
        <v>8</v>
      </c>
      <c r="N391" s="121" t="s">
        <v>1006</v>
      </c>
      <c r="O391" s="103" t="s">
        <v>945</v>
      </c>
      <c r="P391" s="137">
        <f t="shared" si="32"/>
        <v>932.24</v>
      </c>
    </row>
    <row r="392" spans="1:16" s="105" customFormat="1" ht="31.5" x14ac:dyDescent="0.25">
      <c r="A392" s="106" t="s">
        <v>1102</v>
      </c>
      <c r="B392" s="129">
        <v>44903</v>
      </c>
      <c r="C392" s="25" t="s">
        <v>1088</v>
      </c>
      <c r="D392" s="25" t="s">
        <v>1122</v>
      </c>
      <c r="E392" s="162"/>
      <c r="F392" s="134">
        <v>101.33</v>
      </c>
      <c r="G392" s="50"/>
      <c r="H392" s="107">
        <v>44903</v>
      </c>
      <c r="I392" s="144">
        <f>2*12</f>
        <v>24</v>
      </c>
      <c r="J392" s="104">
        <v>101.33</v>
      </c>
      <c r="K392" s="104">
        <f t="shared" si="36"/>
        <v>2431.92</v>
      </c>
      <c r="L392" s="103">
        <v>24</v>
      </c>
      <c r="M392" s="141">
        <f t="shared" si="35"/>
        <v>0</v>
      </c>
      <c r="N392" s="121" t="s">
        <v>1006</v>
      </c>
      <c r="O392" s="103" t="s">
        <v>945</v>
      </c>
      <c r="P392" s="137">
        <f t="shared" si="32"/>
        <v>0</v>
      </c>
    </row>
    <row r="393" spans="1:16" s="105" customFormat="1" ht="31.5" x14ac:dyDescent="0.25">
      <c r="A393" s="106" t="s">
        <v>1103</v>
      </c>
      <c r="B393" s="129">
        <v>44903</v>
      </c>
      <c r="C393" s="25" t="s">
        <v>1089</v>
      </c>
      <c r="D393" s="25" t="s">
        <v>1122</v>
      </c>
      <c r="E393" s="162"/>
      <c r="F393" s="134">
        <v>101.33</v>
      </c>
      <c r="G393" s="50"/>
      <c r="H393" s="107">
        <v>44903</v>
      </c>
      <c r="I393" s="144">
        <f>2*12</f>
        <v>24</v>
      </c>
      <c r="J393" s="104">
        <v>101.33</v>
      </c>
      <c r="K393" s="104">
        <f t="shared" si="36"/>
        <v>2431.92</v>
      </c>
      <c r="L393" s="103">
        <v>24</v>
      </c>
      <c r="M393" s="141">
        <f t="shared" si="35"/>
        <v>0</v>
      </c>
      <c r="N393" s="121" t="s">
        <v>1006</v>
      </c>
      <c r="O393" s="103" t="s">
        <v>945</v>
      </c>
      <c r="P393" s="137">
        <f t="shared" si="32"/>
        <v>0</v>
      </c>
    </row>
    <row r="394" spans="1:16" s="105" customFormat="1" ht="31.5" x14ac:dyDescent="0.25">
      <c r="A394" s="106" t="s">
        <v>1104</v>
      </c>
      <c r="B394" s="129">
        <v>44903</v>
      </c>
      <c r="C394" s="25" t="s">
        <v>1090</v>
      </c>
      <c r="D394" s="25" t="s">
        <v>1122</v>
      </c>
      <c r="E394" s="162"/>
      <c r="F394" s="134">
        <v>79.010000000000005</v>
      </c>
      <c r="G394" s="50"/>
      <c r="H394" s="107">
        <v>44903</v>
      </c>
      <c r="I394" s="144">
        <v>24</v>
      </c>
      <c r="J394" s="104">
        <v>79.010000000000005</v>
      </c>
      <c r="K394" s="104">
        <f t="shared" si="36"/>
        <v>1896.2400000000002</v>
      </c>
      <c r="L394" s="103">
        <v>24</v>
      </c>
      <c r="M394" s="141">
        <f t="shared" si="35"/>
        <v>0</v>
      </c>
      <c r="N394" s="121" t="s">
        <v>1006</v>
      </c>
      <c r="O394" s="103" t="s">
        <v>945</v>
      </c>
      <c r="P394" s="137">
        <f t="shared" si="32"/>
        <v>0</v>
      </c>
    </row>
    <row r="395" spans="1:16" s="105" customFormat="1" ht="31.5" x14ac:dyDescent="0.25">
      <c r="A395" s="106" t="s">
        <v>1105</v>
      </c>
      <c r="B395" s="129">
        <v>44903</v>
      </c>
      <c r="C395" s="25" t="s">
        <v>1091</v>
      </c>
      <c r="D395" s="25" t="s">
        <v>1122</v>
      </c>
      <c r="E395" s="162"/>
      <c r="F395" s="134">
        <v>67.7</v>
      </c>
      <c r="G395" s="50"/>
      <c r="H395" s="107">
        <v>44903</v>
      </c>
      <c r="I395" s="144">
        <v>24</v>
      </c>
      <c r="J395" s="104">
        <v>67.7</v>
      </c>
      <c r="K395" s="104">
        <f t="shared" si="36"/>
        <v>1624.8000000000002</v>
      </c>
      <c r="L395" s="103">
        <v>24</v>
      </c>
      <c r="M395" s="141">
        <f t="shared" si="35"/>
        <v>0</v>
      </c>
      <c r="N395" s="121" t="s">
        <v>1006</v>
      </c>
      <c r="O395" s="103" t="s">
        <v>945</v>
      </c>
      <c r="P395" s="137">
        <f t="shared" si="32"/>
        <v>0</v>
      </c>
    </row>
    <row r="396" spans="1:16" s="105" customFormat="1" ht="31.5" x14ac:dyDescent="0.25">
      <c r="A396" s="106" t="s">
        <v>1106</v>
      </c>
      <c r="B396" s="129">
        <v>44903</v>
      </c>
      <c r="C396" s="25" t="s">
        <v>1092</v>
      </c>
      <c r="D396" s="25" t="s">
        <v>1122</v>
      </c>
      <c r="E396" s="162"/>
      <c r="F396" s="134">
        <v>195.83</v>
      </c>
      <c r="G396" s="50"/>
      <c r="H396" s="107">
        <v>44903</v>
      </c>
      <c r="I396" s="144">
        <v>24</v>
      </c>
      <c r="J396" s="104">
        <v>195.83</v>
      </c>
      <c r="K396" s="104">
        <f t="shared" si="36"/>
        <v>4699.92</v>
      </c>
      <c r="L396" s="103">
        <v>24</v>
      </c>
      <c r="M396" s="141">
        <f t="shared" si="35"/>
        <v>0</v>
      </c>
      <c r="N396" s="121" t="s">
        <v>1006</v>
      </c>
      <c r="O396" s="103" t="s">
        <v>945</v>
      </c>
      <c r="P396" s="137">
        <f t="shared" si="32"/>
        <v>0</v>
      </c>
    </row>
    <row r="397" spans="1:16" s="105" customFormat="1" ht="31.5" x14ac:dyDescent="0.25">
      <c r="A397" s="106" t="s">
        <v>1107</v>
      </c>
      <c r="B397" s="129">
        <v>44903</v>
      </c>
      <c r="C397" s="25" t="s">
        <v>1093</v>
      </c>
      <c r="D397" s="25" t="s">
        <v>1122</v>
      </c>
      <c r="E397" s="162"/>
      <c r="F397" s="134">
        <v>126.8</v>
      </c>
      <c r="G397" s="50"/>
      <c r="H397" s="107">
        <v>44903</v>
      </c>
      <c r="I397" s="144">
        <v>24</v>
      </c>
      <c r="J397" s="104">
        <v>126.8</v>
      </c>
      <c r="K397" s="104">
        <f t="shared" si="36"/>
        <v>3043.2</v>
      </c>
      <c r="L397" s="103">
        <v>24</v>
      </c>
      <c r="M397" s="141">
        <f t="shared" si="35"/>
        <v>0</v>
      </c>
      <c r="N397" s="121" t="s">
        <v>1006</v>
      </c>
      <c r="O397" s="103" t="s">
        <v>945</v>
      </c>
      <c r="P397" s="137">
        <f t="shared" si="32"/>
        <v>0</v>
      </c>
    </row>
    <row r="398" spans="1:16" s="105" customFormat="1" ht="31.5" x14ac:dyDescent="0.25">
      <c r="A398" s="106" t="s">
        <v>1108</v>
      </c>
      <c r="B398" s="129">
        <v>44903</v>
      </c>
      <c r="C398" s="25" t="s">
        <v>1094</v>
      </c>
      <c r="D398" s="25" t="s">
        <v>1122</v>
      </c>
      <c r="E398" s="162"/>
      <c r="F398" s="134">
        <v>129.85</v>
      </c>
      <c r="G398" s="50"/>
      <c r="H398" s="107">
        <v>44903</v>
      </c>
      <c r="I398" s="144">
        <v>24</v>
      </c>
      <c r="J398" s="104">
        <v>129.85</v>
      </c>
      <c r="K398" s="104">
        <f t="shared" si="36"/>
        <v>3116.3999999999996</v>
      </c>
      <c r="L398" s="103">
        <v>24</v>
      </c>
      <c r="M398" s="141">
        <f t="shared" si="35"/>
        <v>0</v>
      </c>
      <c r="N398" s="121" t="s">
        <v>1006</v>
      </c>
      <c r="O398" s="103" t="s">
        <v>945</v>
      </c>
      <c r="P398" s="137">
        <f t="shared" si="32"/>
        <v>0</v>
      </c>
    </row>
    <row r="399" spans="1:16" s="105" customFormat="1" ht="31.5" x14ac:dyDescent="0.25">
      <c r="A399" s="106" t="s">
        <v>1109</v>
      </c>
      <c r="B399" s="129">
        <v>44903</v>
      </c>
      <c r="C399" s="25" t="s">
        <v>1095</v>
      </c>
      <c r="D399" s="25" t="s">
        <v>1122</v>
      </c>
      <c r="E399" s="162"/>
      <c r="F399" s="134">
        <v>1606.5</v>
      </c>
      <c r="G399" s="50"/>
      <c r="H399" s="107">
        <v>44903</v>
      </c>
      <c r="I399" s="144">
        <v>4</v>
      </c>
      <c r="J399" s="104">
        <v>1606.5</v>
      </c>
      <c r="K399" s="104">
        <f t="shared" si="36"/>
        <v>6426</v>
      </c>
      <c r="L399" s="103">
        <v>4</v>
      </c>
      <c r="M399" s="141">
        <f t="shared" si="35"/>
        <v>0</v>
      </c>
      <c r="N399" s="121" t="s">
        <v>1006</v>
      </c>
      <c r="O399" s="103" t="s">
        <v>945</v>
      </c>
      <c r="P399" s="137">
        <f t="shared" si="32"/>
        <v>0</v>
      </c>
    </row>
    <row r="400" spans="1:16" s="105" customFormat="1" ht="31.5" x14ac:dyDescent="0.25">
      <c r="A400" s="106" t="s">
        <v>1110</v>
      </c>
      <c r="B400" s="129">
        <v>44903</v>
      </c>
      <c r="C400" s="25" t="s">
        <v>1096</v>
      </c>
      <c r="D400" s="25" t="s">
        <v>1122</v>
      </c>
      <c r="E400" s="162"/>
      <c r="F400" s="134">
        <v>134.13</v>
      </c>
      <c r="G400" s="50"/>
      <c r="H400" s="107">
        <v>44903</v>
      </c>
      <c r="I400" s="144">
        <v>24</v>
      </c>
      <c r="J400" s="104">
        <v>134.13</v>
      </c>
      <c r="K400" s="104">
        <f t="shared" si="36"/>
        <v>3219.12</v>
      </c>
      <c r="L400" s="103">
        <v>24</v>
      </c>
      <c r="M400" s="141">
        <f t="shared" si="35"/>
        <v>0</v>
      </c>
      <c r="N400" s="121" t="s">
        <v>1006</v>
      </c>
      <c r="O400" s="103" t="s">
        <v>945</v>
      </c>
      <c r="P400" s="137">
        <f t="shared" si="32"/>
        <v>0</v>
      </c>
    </row>
    <row r="401" spans="1:16" s="105" customFormat="1" ht="31.5" x14ac:dyDescent="0.25">
      <c r="A401" s="106" t="s">
        <v>1111</v>
      </c>
      <c r="B401" s="129">
        <v>44903</v>
      </c>
      <c r="C401" s="25" t="s">
        <v>1097</v>
      </c>
      <c r="D401" s="25" t="s">
        <v>1122</v>
      </c>
      <c r="E401" s="162"/>
      <c r="F401" s="134">
        <v>147.35</v>
      </c>
      <c r="G401" s="50"/>
      <c r="H401" s="107">
        <v>44903</v>
      </c>
      <c r="I401" s="144">
        <v>24</v>
      </c>
      <c r="J401" s="104">
        <v>147.35</v>
      </c>
      <c r="K401" s="104">
        <f t="shared" si="36"/>
        <v>3536.3999999999996</v>
      </c>
      <c r="L401" s="103">
        <v>24</v>
      </c>
      <c r="M401" s="141">
        <f t="shared" si="35"/>
        <v>0</v>
      </c>
      <c r="N401" s="121" t="s">
        <v>1006</v>
      </c>
      <c r="O401" s="103" t="s">
        <v>945</v>
      </c>
      <c r="P401" s="137">
        <f t="shared" si="32"/>
        <v>0</v>
      </c>
    </row>
    <row r="402" spans="1:16" s="105" customFormat="1" ht="31.5" x14ac:dyDescent="0.25">
      <c r="A402" s="106" t="s">
        <v>1112</v>
      </c>
      <c r="B402" s="129">
        <v>44903</v>
      </c>
      <c r="C402" s="25" t="s">
        <v>1098</v>
      </c>
      <c r="D402" s="25" t="s">
        <v>1122</v>
      </c>
      <c r="E402" s="162"/>
      <c r="F402" s="134">
        <v>1100.5</v>
      </c>
      <c r="G402" s="50"/>
      <c r="H402" s="107">
        <v>44903</v>
      </c>
      <c r="I402" s="144">
        <v>2</v>
      </c>
      <c r="J402" s="104">
        <v>1100.5</v>
      </c>
      <c r="K402" s="104">
        <f t="shared" si="36"/>
        <v>2201</v>
      </c>
      <c r="L402" s="103">
        <v>2</v>
      </c>
      <c r="M402" s="141">
        <f t="shared" si="35"/>
        <v>0</v>
      </c>
      <c r="N402" s="121" t="s">
        <v>1006</v>
      </c>
      <c r="O402" s="103" t="s">
        <v>945</v>
      </c>
      <c r="P402" s="137">
        <f t="shared" si="32"/>
        <v>0</v>
      </c>
    </row>
    <row r="403" spans="1:16" s="105" customFormat="1" ht="15.75" x14ac:dyDescent="0.25">
      <c r="A403" s="106" t="s">
        <v>1119</v>
      </c>
      <c r="B403" s="102"/>
      <c r="C403" s="25" t="s">
        <v>1114</v>
      </c>
      <c r="D403" s="25" t="s">
        <v>1122</v>
      </c>
      <c r="E403" s="162"/>
      <c r="F403" s="134"/>
      <c r="G403" s="50"/>
      <c r="H403" s="107"/>
      <c r="I403" s="144"/>
      <c r="J403" s="104"/>
      <c r="K403" s="104">
        <f t="shared" si="36"/>
        <v>0</v>
      </c>
      <c r="L403" s="103">
        <v>22</v>
      </c>
      <c r="M403" s="141">
        <f t="shared" si="35"/>
        <v>-22</v>
      </c>
      <c r="N403" s="121"/>
      <c r="O403" s="103" t="s">
        <v>946</v>
      </c>
      <c r="P403" s="137">
        <f t="shared" si="32"/>
        <v>0</v>
      </c>
    </row>
    <row r="404" spans="1:16" s="105" customFormat="1" ht="31.5" x14ac:dyDescent="0.25">
      <c r="A404" s="106" t="s">
        <v>1124</v>
      </c>
      <c r="B404" s="102">
        <v>45020</v>
      </c>
      <c r="C404" s="25" t="s">
        <v>1129</v>
      </c>
      <c r="D404" s="25" t="s">
        <v>1122</v>
      </c>
      <c r="E404" s="164">
        <v>50</v>
      </c>
      <c r="F404" s="134"/>
      <c r="G404" s="50"/>
      <c r="H404" s="107"/>
      <c r="I404" s="144"/>
      <c r="J404" s="104"/>
      <c r="K404" s="104">
        <f t="shared" si="36"/>
        <v>0</v>
      </c>
      <c r="L404" s="103">
        <v>5</v>
      </c>
      <c r="M404" s="141">
        <f t="shared" si="35"/>
        <v>45</v>
      </c>
      <c r="N404" s="121" t="s">
        <v>1132</v>
      </c>
      <c r="O404" s="103" t="s">
        <v>946</v>
      </c>
      <c r="P404" s="137">
        <f t="shared" si="32"/>
        <v>0</v>
      </c>
    </row>
    <row r="405" spans="1:16" s="105" customFormat="1" ht="31.5" x14ac:dyDescent="0.25">
      <c r="A405" s="106" t="s">
        <v>1125</v>
      </c>
      <c r="B405" s="102">
        <v>45020</v>
      </c>
      <c r="C405" s="25" t="s">
        <v>1130</v>
      </c>
      <c r="D405" s="25"/>
      <c r="E405" s="164"/>
      <c r="F405" s="134"/>
      <c r="G405" s="50"/>
      <c r="H405" s="107"/>
      <c r="I405" s="144"/>
      <c r="J405" s="104"/>
      <c r="K405" s="104">
        <f t="shared" si="36"/>
        <v>0</v>
      </c>
      <c r="L405" s="103"/>
      <c r="M405" s="141">
        <f t="shared" si="35"/>
        <v>0</v>
      </c>
      <c r="N405" s="121" t="s">
        <v>1132</v>
      </c>
      <c r="O405" s="103" t="s">
        <v>946</v>
      </c>
      <c r="P405" s="137">
        <f t="shared" si="32"/>
        <v>0</v>
      </c>
    </row>
    <row r="406" spans="1:16" s="105" customFormat="1" ht="31.5" x14ac:dyDescent="0.25">
      <c r="A406" s="106" t="s">
        <v>1126</v>
      </c>
      <c r="B406" s="102">
        <v>45020</v>
      </c>
      <c r="C406" s="25" t="s">
        <v>1131</v>
      </c>
      <c r="D406" s="25" t="s">
        <v>1122</v>
      </c>
      <c r="E406" s="164">
        <v>40</v>
      </c>
      <c r="F406" s="134">
        <v>17.7</v>
      </c>
      <c r="G406" s="50"/>
      <c r="H406" s="102">
        <v>45020</v>
      </c>
      <c r="I406" s="144">
        <v>40</v>
      </c>
      <c r="J406" s="104">
        <v>17.7</v>
      </c>
      <c r="K406" s="104">
        <f t="shared" si="36"/>
        <v>708</v>
      </c>
      <c r="L406" s="103"/>
      <c r="M406" s="141">
        <f t="shared" si="35"/>
        <v>80</v>
      </c>
      <c r="N406" s="121" t="s">
        <v>1132</v>
      </c>
      <c r="O406" s="103" t="s">
        <v>946</v>
      </c>
      <c r="P406" s="137">
        <f t="shared" si="32"/>
        <v>1416</v>
      </c>
    </row>
    <row r="407" spans="1:16" s="105" customFormat="1" ht="15.75" x14ac:dyDescent="0.25">
      <c r="A407" s="106" t="s">
        <v>1127</v>
      </c>
      <c r="B407" s="102">
        <v>45020</v>
      </c>
      <c r="C407" s="25" t="s">
        <v>1133</v>
      </c>
      <c r="D407" s="25" t="s">
        <v>1122</v>
      </c>
      <c r="E407" s="164">
        <v>10</v>
      </c>
      <c r="F407" s="134">
        <v>206.61</v>
      </c>
      <c r="G407" s="50"/>
      <c r="H407" s="102">
        <v>45020</v>
      </c>
      <c r="I407" s="144">
        <v>10</v>
      </c>
      <c r="J407" s="104">
        <v>206.61</v>
      </c>
      <c r="K407" s="104">
        <f t="shared" si="36"/>
        <v>2066.1000000000004</v>
      </c>
      <c r="L407" s="103"/>
      <c r="M407" s="141">
        <f t="shared" si="35"/>
        <v>20</v>
      </c>
      <c r="N407" s="121"/>
      <c r="O407" s="103" t="s">
        <v>946</v>
      </c>
      <c r="P407" s="137">
        <f t="shared" si="32"/>
        <v>4132.2000000000007</v>
      </c>
    </row>
    <row r="408" spans="1:16" s="105" customFormat="1" ht="15.75" x14ac:dyDescent="0.25">
      <c r="A408" s="106" t="s">
        <v>1128</v>
      </c>
      <c r="B408" s="102">
        <v>45020</v>
      </c>
      <c r="C408" s="25" t="s">
        <v>1134</v>
      </c>
      <c r="D408" s="25" t="s">
        <v>1122</v>
      </c>
      <c r="E408" s="164">
        <v>10</v>
      </c>
      <c r="F408" s="134">
        <v>377.6</v>
      </c>
      <c r="G408" s="50"/>
      <c r="H408" s="102">
        <v>45020</v>
      </c>
      <c r="I408" s="144">
        <v>10</v>
      </c>
      <c r="J408" s="104">
        <v>377.6</v>
      </c>
      <c r="K408" s="104">
        <f t="shared" si="36"/>
        <v>3776</v>
      </c>
      <c r="L408" s="103"/>
      <c r="M408" s="141">
        <f t="shared" si="35"/>
        <v>20</v>
      </c>
      <c r="N408" s="121"/>
      <c r="O408" s="103" t="s">
        <v>946</v>
      </c>
      <c r="P408" s="137">
        <f t="shared" si="32"/>
        <v>7552</v>
      </c>
    </row>
    <row r="409" spans="1:16" s="105" customFormat="1" ht="15.75" x14ac:dyDescent="0.25">
      <c r="A409" s="106" t="s">
        <v>1151</v>
      </c>
      <c r="B409" s="102">
        <v>45020</v>
      </c>
      <c r="C409" s="25" t="s">
        <v>1135</v>
      </c>
      <c r="D409" s="25" t="s">
        <v>1122</v>
      </c>
      <c r="E409" s="164">
        <v>10</v>
      </c>
      <c r="F409" s="134">
        <v>2619.6</v>
      </c>
      <c r="G409" s="50"/>
      <c r="H409" s="102">
        <v>45020</v>
      </c>
      <c r="I409" s="144">
        <v>10</v>
      </c>
      <c r="J409" s="104">
        <v>2619.6</v>
      </c>
      <c r="K409" s="104">
        <f t="shared" si="36"/>
        <v>26196</v>
      </c>
      <c r="L409" s="103"/>
      <c r="M409" s="141">
        <f t="shared" si="35"/>
        <v>20</v>
      </c>
      <c r="N409" s="121"/>
      <c r="O409" s="103" t="s">
        <v>946</v>
      </c>
      <c r="P409" s="137">
        <f t="shared" ref="P409:P439" si="37">+F409*M409</f>
        <v>52392</v>
      </c>
    </row>
    <row r="410" spans="1:16" s="105" customFormat="1" ht="15.75" x14ac:dyDescent="0.25">
      <c r="A410" s="106" t="s">
        <v>1152</v>
      </c>
      <c r="B410" s="102">
        <v>45020</v>
      </c>
      <c r="C410" s="25" t="s">
        <v>1136</v>
      </c>
      <c r="D410" s="25" t="s">
        <v>1122</v>
      </c>
      <c r="E410" s="164">
        <v>5</v>
      </c>
      <c r="F410" s="134">
        <v>354</v>
      </c>
      <c r="G410" s="50"/>
      <c r="H410" s="102">
        <v>45020</v>
      </c>
      <c r="I410" s="144">
        <v>5</v>
      </c>
      <c r="J410" s="104">
        <v>354</v>
      </c>
      <c r="K410" s="104">
        <f t="shared" si="36"/>
        <v>1770</v>
      </c>
      <c r="L410" s="103"/>
      <c r="M410" s="141">
        <f t="shared" si="35"/>
        <v>10</v>
      </c>
      <c r="N410" s="121"/>
      <c r="O410" s="103" t="s">
        <v>946</v>
      </c>
      <c r="P410" s="137">
        <f t="shared" si="37"/>
        <v>3540</v>
      </c>
    </row>
    <row r="411" spans="1:16" s="105" customFormat="1" ht="15.75" x14ac:dyDescent="0.25">
      <c r="A411" s="106" t="s">
        <v>1153</v>
      </c>
      <c r="B411" s="102">
        <v>45020</v>
      </c>
      <c r="C411" s="25" t="s">
        <v>1137</v>
      </c>
      <c r="D411" s="25" t="s">
        <v>1122</v>
      </c>
      <c r="E411" s="164">
        <v>12</v>
      </c>
      <c r="F411" s="134">
        <v>1829</v>
      </c>
      <c r="G411" s="50"/>
      <c r="H411" s="102">
        <v>45020</v>
      </c>
      <c r="I411" s="144">
        <v>12</v>
      </c>
      <c r="J411" s="104">
        <v>1829</v>
      </c>
      <c r="K411" s="104">
        <f t="shared" si="36"/>
        <v>21948</v>
      </c>
      <c r="L411" s="103"/>
      <c r="M411" s="141">
        <f t="shared" si="35"/>
        <v>24</v>
      </c>
      <c r="N411" s="121"/>
      <c r="O411" s="103" t="s">
        <v>946</v>
      </c>
      <c r="P411" s="137">
        <f t="shared" si="37"/>
        <v>43896</v>
      </c>
    </row>
    <row r="412" spans="1:16" s="105" customFormat="1" ht="15.75" x14ac:dyDescent="0.25">
      <c r="A412" s="106" t="s">
        <v>1154</v>
      </c>
      <c r="B412" s="102">
        <v>45020</v>
      </c>
      <c r="C412" s="25" t="s">
        <v>1138</v>
      </c>
      <c r="D412" s="25" t="s">
        <v>1122</v>
      </c>
      <c r="E412" s="164">
        <v>3</v>
      </c>
      <c r="F412" s="134">
        <v>4543</v>
      </c>
      <c r="G412" s="50"/>
      <c r="H412" s="102">
        <v>45020</v>
      </c>
      <c r="I412" s="144">
        <v>3</v>
      </c>
      <c r="J412" s="104">
        <v>4543</v>
      </c>
      <c r="K412" s="104">
        <f t="shared" si="36"/>
        <v>13629</v>
      </c>
      <c r="L412" s="103"/>
      <c r="M412" s="141">
        <f t="shared" si="35"/>
        <v>6</v>
      </c>
      <c r="N412" s="121"/>
      <c r="O412" s="103" t="s">
        <v>946</v>
      </c>
      <c r="P412" s="137">
        <f t="shared" si="37"/>
        <v>27258</v>
      </c>
    </row>
    <row r="413" spans="1:16" s="105" customFormat="1" ht="15.75" x14ac:dyDescent="0.25">
      <c r="A413" s="106" t="s">
        <v>1155</v>
      </c>
      <c r="B413" s="102">
        <v>45020</v>
      </c>
      <c r="C413" s="25" t="s">
        <v>1139</v>
      </c>
      <c r="D413" s="25" t="s">
        <v>1122</v>
      </c>
      <c r="E413" s="164">
        <v>10</v>
      </c>
      <c r="F413" s="134">
        <v>153.4</v>
      </c>
      <c r="G413" s="50"/>
      <c r="H413" s="102">
        <v>45020</v>
      </c>
      <c r="I413" s="144">
        <v>10</v>
      </c>
      <c r="J413" s="104">
        <v>153.4</v>
      </c>
      <c r="K413" s="104">
        <f t="shared" si="36"/>
        <v>1534</v>
      </c>
      <c r="L413" s="103"/>
      <c r="M413" s="141">
        <f t="shared" si="35"/>
        <v>20</v>
      </c>
      <c r="N413" s="121"/>
      <c r="O413" s="103" t="s">
        <v>946</v>
      </c>
      <c r="P413" s="137">
        <f t="shared" si="37"/>
        <v>3068</v>
      </c>
    </row>
    <row r="414" spans="1:16" s="105" customFormat="1" ht="15.75" x14ac:dyDescent="0.25">
      <c r="A414" s="106" t="s">
        <v>1156</v>
      </c>
      <c r="B414" s="102">
        <v>45020</v>
      </c>
      <c r="C414" s="25" t="s">
        <v>1140</v>
      </c>
      <c r="D414" s="25" t="s">
        <v>1122</v>
      </c>
      <c r="E414" s="164">
        <v>3</v>
      </c>
      <c r="F414" s="134">
        <v>4425</v>
      </c>
      <c r="G414" s="50"/>
      <c r="H414" s="102">
        <v>45020</v>
      </c>
      <c r="I414" s="144">
        <v>3</v>
      </c>
      <c r="J414" s="104">
        <v>4425</v>
      </c>
      <c r="K414" s="104">
        <f t="shared" si="36"/>
        <v>13275</v>
      </c>
      <c r="L414" s="103">
        <v>3</v>
      </c>
      <c r="M414" s="151">
        <f t="shared" si="35"/>
        <v>3</v>
      </c>
      <c r="N414" s="121"/>
      <c r="O414" s="103" t="s">
        <v>945</v>
      </c>
      <c r="P414" s="137">
        <f t="shared" si="37"/>
        <v>13275</v>
      </c>
    </row>
    <row r="415" spans="1:16" s="105" customFormat="1" ht="15.75" x14ac:dyDescent="0.25">
      <c r="A415" s="106" t="s">
        <v>1157</v>
      </c>
      <c r="B415" s="102">
        <v>45020</v>
      </c>
      <c r="C415" s="25" t="s">
        <v>1141</v>
      </c>
      <c r="D415" s="25" t="s">
        <v>1122</v>
      </c>
      <c r="E415" s="164">
        <v>10</v>
      </c>
      <c r="F415" s="134">
        <v>276.12</v>
      </c>
      <c r="G415" s="50"/>
      <c r="H415" s="102">
        <v>45020</v>
      </c>
      <c r="I415" s="144">
        <v>10</v>
      </c>
      <c r="J415" s="104">
        <v>276.12</v>
      </c>
      <c r="K415" s="104">
        <f t="shared" si="36"/>
        <v>2761.2</v>
      </c>
      <c r="L415" s="103"/>
      <c r="M415" s="141">
        <f t="shared" si="35"/>
        <v>20</v>
      </c>
      <c r="N415" s="121"/>
      <c r="O415" s="103" t="s">
        <v>946</v>
      </c>
      <c r="P415" s="137">
        <f t="shared" si="37"/>
        <v>5522.4</v>
      </c>
    </row>
    <row r="416" spans="1:16" s="105" customFormat="1" ht="15.75" x14ac:dyDescent="0.25">
      <c r="A416" s="106" t="s">
        <v>1158</v>
      </c>
      <c r="B416" s="102">
        <v>45020</v>
      </c>
      <c r="C416" s="25" t="s">
        <v>1142</v>
      </c>
      <c r="D416" s="25" t="s">
        <v>1122</v>
      </c>
      <c r="E416" s="164">
        <v>10</v>
      </c>
      <c r="F416" s="134">
        <v>348.1</v>
      </c>
      <c r="G416" s="50"/>
      <c r="H416" s="102">
        <v>45020</v>
      </c>
      <c r="I416" s="144">
        <v>10</v>
      </c>
      <c r="J416" s="104">
        <v>348.1</v>
      </c>
      <c r="K416" s="104">
        <f t="shared" si="36"/>
        <v>3481</v>
      </c>
      <c r="L416" s="103"/>
      <c r="M416" s="141">
        <f t="shared" si="35"/>
        <v>20</v>
      </c>
      <c r="N416" s="121"/>
      <c r="O416" s="103" t="s">
        <v>946</v>
      </c>
      <c r="P416" s="137">
        <f t="shared" si="37"/>
        <v>6962</v>
      </c>
    </row>
    <row r="417" spans="1:16" s="105" customFormat="1" ht="15.75" x14ac:dyDescent="0.25">
      <c r="A417" s="106" t="s">
        <v>1159</v>
      </c>
      <c r="B417" s="102">
        <v>45020</v>
      </c>
      <c r="C417" s="25" t="s">
        <v>1143</v>
      </c>
      <c r="D417" s="25" t="s">
        <v>1122</v>
      </c>
      <c r="E417" s="164">
        <v>12</v>
      </c>
      <c r="F417" s="134">
        <v>165.16</v>
      </c>
      <c r="G417" s="50"/>
      <c r="H417" s="102">
        <v>45020</v>
      </c>
      <c r="I417" s="144">
        <v>12</v>
      </c>
      <c r="J417" s="104">
        <v>165.16</v>
      </c>
      <c r="K417" s="104">
        <f t="shared" si="36"/>
        <v>1981.92</v>
      </c>
      <c r="L417" s="103"/>
      <c r="M417" s="141">
        <f t="shared" si="35"/>
        <v>24</v>
      </c>
      <c r="N417" s="121"/>
      <c r="O417" s="103" t="s">
        <v>946</v>
      </c>
      <c r="P417" s="137">
        <f t="shared" si="37"/>
        <v>3963.84</v>
      </c>
    </row>
    <row r="418" spans="1:16" s="105" customFormat="1" ht="15.75" x14ac:dyDescent="0.25">
      <c r="A418" s="106" t="s">
        <v>1160</v>
      </c>
      <c r="B418" s="102">
        <v>45020</v>
      </c>
      <c r="C418" s="25" t="s">
        <v>1144</v>
      </c>
      <c r="D418" s="25" t="s">
        <v>1122</v>
      </c>
      <c r="E418" s="164">
        <v>1</v>
      </c>
      <c r="F418" s="134">
        <v>48675</v>
      </c>
      <c r="G418" s="50"/>
      <c r="H418" s="102">
        <v>45020</v>
      </c>
      <c r="I418" s="144">
        <v>1</v>
      </c>
      <c r="J418" s="104">
        <v>48675</v>
      </c>
      <c r="K418" s="104">
        <f t="shared" si="36"/>
        <v>48675</v>
      </c>
      <c r="L418" s="103"/>
      <c r="M418" s="141">
        <f t="shared" si="35"/>
        <v>2</v>
      </c>
      <c r="N418" s="121"/>
      <c r="O418" s="103" t="s">
        <v>946</v>
      </c>
      <c r="P418" s="137">
        <f t="shared" si="37"/>
        <v>97350</v>
      </c>
    </row>
    <row r="419" spans="1:16" s="105" customFormat="1" ht="15.75" x14ac:dyDescent="0.25">
      <c r="A419" s="106" t="s">
        <v>1161</v>
      </c>
      <c r="B419" s="102">
        <v>45020</v>
      </c>
      <c r="C419" s="25" t="s">
        <v>1145</v>
      </c>
      <c r="D419" s="25" t="s">
        <v>1122</v>
      </c>
      <c r="E419" s="164">
        <v>1</v>
      </c>
      <c r="F419" s="134">
        <v>67571.820000000007</v>
      </c>
      <c r="G419" s="50"/>
      <c r="H419" s="102">
        <v>45020</v>
      </c>
      <c r="I419" s="144">
        <v>1</v>
      </c>
      <c r="J419" s="104">
        <v>67571.820000000007</v>
      </c>
      <c r="K419" s="104">
        <f t="shared" si="36"/>
        <v>67571.820000000007</v>
      </c>
      <c r="L419" s="103"/>
      <c r="M419" s="141">
        <f t="shared" si="35"/>
        <v>2</v>
      </c>
      <c r="N419" s="121"/>
      <c r="O419" s="103" t="s">
        <v>946</v>
      </c>
      <c r="P419" s="137">
        <f t="shared" si="37"/>
        <v>135143.64000000001</v>
      </c>
    </row>
    <row r="420" spans="1:16" s="105" customFormat="1" ht="15.75" x14ac:dyDescent="0.25">
      <c r="A420" s="106" t="s">
        <v>1162</v>
      </c>
      <c r="B420" s="102">
        <v>45020</v>
      </c>
      <c r="C420" s="25" t="s">
        <v>1146</v>
      </c>
      <c r="D420" s="25" t="s">
        <v>1122</v>
      </c>
      <c r="E420" s="164">
        <v>15</v>
      </c>
      <c r="F420" s="134">
        <v>873.2</v>
      </c>
      <c r="G420" s="50"/>
      <c r="H420" s="102">
        <v>45020</v>
      </c>
      <c r="I420" s="144">
        <v>15</v>
      </c>
      <c r="J420" s="104">
        <v>873.2</v>
      </c>
      <c r="K420" s="104">
        <f t="shared" si="36"/>
        <v>13098</v>
      </c>
      <c r="L420" s="103"/>
      <c r="M420" s="141">
        <f t="shared" si="35"/>
        <v>30</v>
      </c>
      <c r="N420" s="121"/>
      <c r="O420" s="103" t="s">
        <v>946</v>
      </c>
      <c r="P420" s="137">
        <f t="shared" si="37"/>
        <v>26196</v>
      </c>
    </row>
    <row r="421" spans="1:16" s="105" customFormat="1" ht="15.75" x14ac:dyDescent="0.25">
      <c r="A421" s="106" t="s">
        <v>1163</v>
      </c>
      <c r="B421" s="102">
        <v>45020</v>
      </c>
      <c r="C421" s="25" t="s">
        <v>1147</v>
      </c>
      <c r="D421" s="25" t="s">
        <v>1122</v>
      </c>
      <c r="E421" s="162">
        <v>20</v>
      </c>
      <c r="F421" s="134">
        <v>324.5</v>
      </c>
      <c r="G421" s="50"/>
      <c r="H421" s="102">
        <v>45020</v>
      </c>
      <c r="I421" s="144">
        <v>20</v>
      </c>
      <c r="J421" s="104">
        <v>324.5</v>
      </c>
      <c r="K421" s="104">
        <f t="shared" si="36"/>
        <v>6490</v>
      </c>
      <c r="L421" s="103"/>
      <c r="M421" s="141">
        <f t="shared" si="35"/>
        <v>40</v>
      </c>
      <c r="N421" s="121"/>
      <c r="O421" s="103" t="s">
        <v>946</v>
      </c>
      <c r="P421" s="137">
        <f t="shared" si="37"/>
        <v>12980</v>
      </c>
    </row>
    <row r="422" spans="1:16" s="105" customFormat="1" ht="15.75" x14ac:dyDescent="0.25">
      <c r="A422" s="106" t="s">
        <v>1164</v>
      </c>
      <c r="B422" s="102">
        <v>45020</v>
      </c>
      <c r="C422" s="25" t="s">
        <v>1148</v>
      </c>
      <c r="D422" s="25" t="s">
        <v>1122</v>
      </c>
      <c r="E422" s="162">
        <v>300</v>
      </c>
      <c r="F422" s="134">
        <v>3.48</v>
      </c>
      <c r="G422" s="50"/>
      <c r="H422" s="102">
        <v>45020</v>
      </c>
      <c r="I422" s="144">
        <v>300</v>
      </c>
      <c r="J422" s="104">
        <v>3.48</v>
      </c>
      <c r="K422" s="104">
        <f t="shared" si="36"/>
        <v>1044</v>
      </c>
      <c r="L422" s="103"/>
      <c r="M422" s="141">
        <f t="shared" si="35"/>
        <v>600</v>
      </c>
      <c r="N422" s="121"/>
      <c r="O422" s="103" t="s">
        <v>946</v>
      </c>
      <c r="P422" s="137">
        <f t="shared" si="37"/>
        <v>2088</v>
      </c>
    </row>
    <row r="423" spans="1:16" s="105" customFormat="1" ht="15.75" x14ac:dyDescent="0.25">
      <c r="A423" s="106" t="s">
        <v>1165</v>
      </c>
      <c r="B423" s="102">
        <v>45020</v>
      </c>
      <c r="C423" s="25" t="s">
        <v>1149</v>
      </c>
      <c r="D423" s="25" t="s">
        <v>1122</v>
      </c>
      <c r="E423" s="162">
        <v>3</v>
      </c>
      <c r="F423" s="134">
        <v>1062</v>
      </c>
      <c r="G423" s="50"/>
      <c r="H423" s="102">
        <v>45020</v>
      </c>
      <c r="I423" s="144">
        <v>3</v>
      </c>
      <c r="J423" s="13">
        <v>1062</v>
      </c>
      <c r="K423" s="104">
        <f t="shared" si="36"/>
        <v>3186</v>
      </c>
      <c r="L423" s="103"/>
      <c r="M423" s="141">
        <f t="shared" si="35"/>
        <v>6</v>
      </c>
      <c r="N423" s="121"/>
      <c r="O423" s="103" t="s">
        <v>946</v>
      </c>
      <c r="P423" s="137">
        <f t="shared" si="37"/>
        <v>6372</v>
      </c>
    </row>
    <row r="424" spans="1:16" s="105" customFormat="1" ht="15.75" x14ac:dyDescent="0.25">
      <c r="A424" s="106" t="s">
        <v>1166</v>
      </c>
      <c r="B424" s="102">
        <v>45020</v>
      </c>
      <c r="C424" s="25" t="s">
        <v>1150</v>
      </c>
      <c r="D424" s="25" t="s">
        <v>1122</v>
      </c>
      <c r="E424" s="162">
        <v>7</v>
      </c>
      <c r="F424" s="134">
        <v>1298</v>
      </c>
      <c r="G424" s="50"/>
      <c r="H424" s="102">
        <v>45020</v>
      </c>
      <c r="I424" s="144">
        <v>7</v>
      </c>
      <c r="J424" s="13">
        <v>1298</v>
      </c>
      <c r="K424" s="104">
        <f t="shared" si="36"/>
        <v>9086</v>
      </c>
      <c r="L424" s="103"/>
      <c r="M424" s="141">
        <f t="shared" si="35"/>
        <v>14</v>
      </c>
      <c r="N424" s="121"/>
      <c r="O424" s="103" t="s">
        <v>946</v>
      </c>
      <c r="P424" s="137">
        <f t="shared" si="37"/>
        <v>18172</v>
      </c>
    </row>
    <row r="425" spans="1:16" s="105" customFormat="1" ht="15.75" x14ac:dyDescent="0.25">
      <c r="A425" s="106" t="s">
        <v>1169</v>
      </c>
      <c r="B425" s="102">
        <v>45019</v>
      </c>
      <c r="C425" s="25" t="s">
        <v>1171</v>
      </c>
      <c r="D425" s="25" t="s">
        <v>1172</v>
      </c>
      <c r="E425" s="162"/>
      <c r="F425" s="134">
        <v>3540</v>
      </c>
      <c r="G425" s="50"/>
      <c r="H425" s="102">
        <v>45019</v>
      </c>
      <c r="I425" s="144">
        <v>15</v>
      </c>
      <c r="J425" s="13">
        <v>3540</v>
      </c>
      <c r="K425" s="104">
        <f>+J425*I425</f>
        <v>53100</v>
      </c>
      <c r="L425" s="103">
        <v>1</v>
      </c>
      <c r="M425" s="141">
        <f t="shared" si="35"/>
        <v>14</v>
      </c>
      <c r="N425" s="121"/>
      <c r="O425" s="103" t="s">
        <v>945</v>
      </c>
      <c r="P425" s="137">
        <f>+F425*M425</f>
        <v>49560</v>
      </c>
    </row>
    <row r="426" spans="1:16" s="105" customFormat="1" ht="15.75" x14ac:dyDescent="0.25">
      <c r="A426" s="106" t="s">
        <v>1170</v>
      </c>
      <c r="B426" s="102">
        <v>45019</v>
      </c>
      <c r="C426" s="25" t="s">
        <v>1174</v>
      </c>
      <c r="D426" s="25" t="s">
        <v>1173</v>
      </c>
      <c r="E426" s="162">
        <v>6</v>
      </c>
      <c r="F426" s="134">
        <v>1500.96</v>
      </c>
      <c r="G426" s="50"/>
      <c r="H426" s="102">
        <v>45019</v>
      </c>
      <c r="I426" s="144">
        <f>16*6</f>
        <v>96</v>
      </c>
      <c r="J426" s="13">
        <v>1500.96</v>
      </c>
      <c r="K426" s="104">
        <f>+J426*I426</f>
        <v>144092.16</v>
      </c>
      <c r="L426" s="103">
        <f>11+1</f>
        <v>12</v>
      </c>
      <c r="M426" s="141">
        <f t="shared" si="35"/>
        <v>90</v>
      </c>
      <c r="N426" s="121"/>
      <c r="O426" s="103" t="s">
        <v>945</v>
      </c>
      <c r="P426" s="137">
        <f t="shared" si="37"/>
        <v>135086.39999999999</v>
      </c>
    </row>
    <row r="427" spans="1:16" s="105" customFormat="1" ht="15.75" x14ac:dyDescent="0.25">
      <c r="A427" s="106" t="s">
        <v>1177</v>
      </c>
      <c r="B427" s="102">
        <v>45019</v>
      </c>
      <c r="C427" s="25" t="s">
        <v>1175</v>
      </c>
      <c r="D427" s="25" t="s">
        <v>1176</v>
      </c>
      <c r="E427" s="162">
        <f>12*7</f>
        <v>84</v>
      </c>
      <c r="F427" s="134">
        <v>181.92</v>
      </c>
      <c r="G427" s="50"/>
      <c r="H427" s="102">
        <v>45019</v>
      </c>
      <c r="I427" s="144"/>
      <c r="J427" s="13">
        <v>181.92</v>
      </c>
      <c r="K427" s="104">
        <f>+J427*I427</f>
        <v>0</v>
      </c>
      <c r="L427" s="103">
        <v>84</v>
      </c>
      <c r="M427" s="141">
        <f>+E427+I427-L427</f>
        <v>0</v>
      </c>
      <c r="N427" s="121"/>
      <c r="O427" s="103" t="s">
        <v>945</v>
      </c>
      <c r="P427" s="137">
        <f t="shared" si="37"/>
        <v>0</v>
      </c>
    </row>
    <row r="428" spans="1:16" s="105" customFormat="1" ht="15.75" x14ac:dyDescent="0.25">
      <c r="A428" s="106" t="s">
        <v>1178</v>
      </c>
      <c r="B428" s="102">
        <v>45019</v>
      </c>
      <c r="C428" s="25" t="s">
        <v>1179</v>
      </c>
      <c r="D428" s="25" t="s">
        <v>1122</v>
      </c>
      <c r="E428" s="162">
        <v>5</v>
      </c>
      <c r="F428" s="134">
        <v>223.06</v>
      </c>
      <c r="G428" s="50"/>
      <c r="H428" s="102">
        <v>45019</v>
      </c>
      <c r="I428" s="144">
        <v>12</v>
      </c>
      <c r="J428" s="13">
        <v>223.06</v>
      </c>
      <c r="K428" s="104">
        <f t="shared" ref="K428:K439" si="38">+J428*I428</f>
        <v>2676.7200000000003</v>
      </c>
      <c r="L428" s="103"/>
      <c r="M428" s="151">
        <f>+E428+I428-L428</f>
        <v>17</v>
      </c>
      <c r="N428" s="121"/>
      <c r="O428" s="103" t="s">
        <v>945</v>
      </c>
      <c r="P428" s="137">
        <f t="shared" si="37"/>
        <v>3792.02</v>
      </c>
    </row>
    <row r="429" spans="1:16" s="105" customFormat="1" ht="15.75" x14ac:dyDescent="0.25">
      <c r="A429" s="106" t="s">
        <v>1181</v>
      </c>
      <c r="B429" s="102">
        <v>45019</v>
      </c>
      <c r="C429" s="25" t="s">
        <v>1180</v>
      </c>
      <c r="D429" s="25" t="s">
        <v>1122</v>
      </c>
      <c r="E429" s="162"/>
      <c r="F429" s="134">
        <v>236</v>
      </c>
      <c r="G429" s="50"/>
      <c r="H429" s="102">
        <v>45019</v>
      </c>
      <c r="I429" s="144">
        <v>12</v>
      </c>
      <c r="J429" s="13">
        <v>236</v>
      </c>
      <c r="K429" s="104">
        <f t="shared" si="38"/>
        <v>2832</v>
      </c>
      <c r="L429" s="117"/>
      <c r="M429" s="151">
        <f t="shared" ref="M429:M469" si="39">+E429+I429-L429</f>
        <v>12</v>
      </c>
      <c r="N429" s="121"/>
      <c r="O429" s="103" t="s">
        <v>945</v>
      </c>
      <c r="P429" s="137">
        <f t="shared" si="37"/>
        <v>2832</v>
      </c>
    </row>
    <row r="430" spans="1:16" s="105" customFormat="1" ht="15.75" x14ac:dyDescent="0.25">
      <c r="A430" s="106" t="s">
        <v>1182</v>
      </c>
      <c r="B430" s="102">
        <v>45019</v>
      </c>
      <c r="C430" s="25" t="s">
        <v>1183</v>
      </c>
      <c r="D430" s="25" t="s">
        <v>1122</v>
      </c>
      <c r="E430" s="162"/>
      <c r="F430" s="134">
        <v>248.52</v>
      </c>
      <c r="G430" s="50"/>
      <c r="H430" s="102">
        <v>45019</v>
      </c>
      <c r="I430" s="144">
        <v>12</v>
      </c>
      <c r="J430" s="13">
        <v>248.52</v>
      </c>
      <c r="K430" s="104">
        <f t="shared" si="38"/>
        <v>2982.2400000000002</v>
      </c>
      <c r="L430" s="117">
        <v>6</v>
      </c>
      <c r="M430" s="151">
        <f t="shared" si="39"/>
        <v>6</v>
      </c>
      <c r="N430" s="121"/>
      <c r="O430" s="103" t="s">
        <v>945</v>
      </c>
      <c r="P430" s="137">
        <f t="shared" si="37"/>
        <v>1491.1200000000001</v>
      </c>
    </row>
    <row r="431" spans="1:16" s="105" customFormat="1" ht="15.75" x14ac:dyDescent="0.25">
      <c r="A431" s="106" t="s">
        <v>1184</v>
      </c>
      <c r="B431" s="102">
        <v>45019</v>
      </c>
      <c r="C431" s="25" t="s">
        <v>650</v>
      </c>
      <c r="D431" s="25" t="s">
        <v>1122</v>
      </c>
      <c r="E431" s="162">
        <v>1900</v>
      </c>
      <c r="F431" s="134">
        <v>4.01</v>
      </c>
      <c r="G431" s="50"/>
      <c r="H431" s="102">
        <v>45019</v>
      </c>
      <c r="I431" s="144">
        <v>700</v>
      </c>
      <c r="J431" s="130">
        <v>4.01</v>
      </c>
      <c r="K431" s="104">
        <f t="shared" si="38"/>
        <v>2807</v>
      </c>
      <c r="L431" s="117">
        <v>300</v>
      </c>
      <c r="M431" s="151">
        <f t="shared" si="39"/>
        <v>2300</v>
      </c>
      <c r="N431" s="121"/>
      <c r="O431" s="103" t="s">
        <v>945</v>
      </c>
      <c r="P431" s="137">
        <f t="shared" si="37"/>
        <v>9223</v>
      </c>
    </row>
    <row r="432" spans="1:16" s="105" customFormat="1" ht="15.75" x14ac:dyDescent="0.25">
      <c r="A432" s="106" t="s">
        <v>1185</v>
      </c>
      <c r="B432" s="102">
        <v>45019</v>
      </c>
      <c r="C432" s="25" t="s">
        <v>1186</v>
      </c>
      <c r="D432" s="25" t="s">
        <v>1122</v>
      </c>
      <c r="E432" s="162">
        <v>50</v>
      </c>
      <c r="F432" s="134">
        <v>66.67</v>
      </c>
      <c r="G432" s="50">
        <f>+E432*F432</f>
        <v>3333.5</v>
      </c>
      <c r="H432" s="102">
        <v>45019</v>
      </c>
      <c r="I432" s="144"/>
      <c r="J432" s="13">
        <v>66.67</v>
      </c>
      <c r="K432" s="104">
        <f t="shared" si="38"/>
        <v>0</v>
      </c>
      <c r="L432" s="117">
        <v>3</v>
      </c>
      <c r="M432" s="141">
        <f t="shared" si="39"/>
        <v>47</v>
      </c>
      <c r="N432" s="122"/>
      <c r="O432" s="117" t="s">
        <v>945</v>
      </c>
      <c r="P432" s="137">
        <f t="shared" si="37"/>
        <v>3133.4900000000002</v>
      </c>
    </row>
    <row r="433" spans="1:16" s="105" customFormat="1" ht="15.75" x14ac:dyDescent="0.25">
      <c r="A433" s="106" t="s">
        <v>1187</v>
      </c>
      <c r="B433" s="102">
        <v>45016</v>
      </c>
      <c r="C433" s="25" t="s">
        <v>1189</v>
      </c>
      <c r="D433" s="25" t="s">
        <v>1122</v>
      </c>
      <c r="E433" s="162">
        <v>8</v>
      </c>
      <c r="F433" s="134">
        <v>3371.25</v>
      </c>
      <c r="G433" s="50"/>
      <c r="H433" s="102">
        <v>45016</v>
      </c>
      <c r="I433" s="144">
        <v>8</v>
      </c>
      <c r="J433" s="130">
        <v>3371.25</v>
      </c>
      <c r="K433" s="104">
        <f t="shared" si="38"/>
        <v>26970</v>
      </c>
      <c r="L433" s="117"/>
      <c r="M433" s="141">
        <f t="shared" si="39"/>
        <v>16</v>
      </c>
      <c r="N433" s="122"/>
      <c r="O433" s="117" t="s">
        <v>945</v>
      </c>
      <c r="P433" s="137">
        <f t="shared" si="37"/>
        <v>53940</v>
      </c>
    </row>
    <row r="434" spans="1:16" s="105" customFormat="1" ht="15.75" x14ac:dyDescent="0.25">
      <c r="A434" s="106" t="s">
        <v>1188</v>
      </c>
      <c r="B434" s="102">
        <v>45016</v>
      </c>
      <c r="C434" s="25" t="s">
        <v>1191</v>
      </c>
      <c r="D434" s="25" t="s">
        <v>1122</v>
      </c>
      <c r="E434" s="162"/>
      <c r="F434" s="134">
        <v>510.94</v>
      </c>
      <c r="G434" s="50"/>
      <c r="H434" s="102">
        <v>45016</v>
      </c>
      <c r="I434" s="144">
        <v>5</v>
      </c>
      <c r="J434" s="130">
        <v>510.94</v>
      </c>
      <c r="K434" s="118">
        <f t="shared" si="38"/>
        <v>2554.6999999999998</v>
      </c>
      <c r="L434" s="117"/>
      <c r="M434" s="141">
        <f t="shared" si="39"/>
        <v>5</v>
      </c>
      <c r="N434" s="122"/>
      <c r="O434" s="117" t="s">
        <v>945</v>
      </c>
      <c r="P434" s="137">
        <f>+F434*M434</f>
        <v>2554.6999999999998</v>
      </c>
    </row>
    <row r="435" spans="1:16" s="105" customFormat="1" ht="15.75" x14ac:dyDescent="0.25">
      <c r="A435" s="106" t="s">
        <v>1197</v>
      </c>
      <c r="B435" s="102">
        <v>45016</v>
      </c>
      <c r="C435" s="25" t="s">
        <v>1192</v>
      </c>
      <c r="D435" s="25" t="s">
        <v>1122</v>
      </c>
      <c r="E435" s="162">
        <v>0</v>
      </c>
      <c r="F435" s="134">
        <v>7003.3</v>
      </c>
      <c r="G435" s="50"/>
      <c r="H435" s="102">
        <v>45016</v>
      </c>
      <c r="I435" s="144">
        <v>4</v>
      </c>
      <c r="J435" s="130">
        <v>7003.3</v>
      </c>
      <c r="K435" s="118">
        <f t="shared" si="38"/>
        <v>28013.200000000001</v>
      </c>
      <c r="L435" s="117">
        <v>4</v>
      </c>
      <c r="M435" s="141">
        <f t="shared" si="39"/>
        <v>0</v>
      </c>
      <c r="N435" s="122"/>
      <c r="O435" s="117" t="s">
        <v>945</v>
      </c>
      <c r="P435" s="137">
        <f>+F435*M435</f>
        <v>0</v>
      </c>
    </row>
    <row r="436" spans="1:16" s="105" customFormat="1" ht="15.75" x14ac:dyDescent="0.25">
      <c r="A436" s="106" t="s">
        <v>1198</v>
      </c>
      <c r="B436" s="102">
        <v>45016</v>
      </c>
      <c r="C436" s="25" t="s">
        <v>1193</v>
      </c>
      <c r="D436" s="25" t="s">
        <v>1122</v>
      </c>
      <c r="E436" s="162"/>
      <c r="F436" s="134">
        <v>55.61</v>
      </c>
      <c r="G436" s="50"/>
      <c r="H436" s="102">
        <v>45016</v>
      </c>
      <c r="I436" s="144">
        <v>80</v>
      </c>
      <c r="J436" s="130">
        <v>55.61</v>
      </c>
      <c r="K436" s="118">
        <f t="shared" si="38"/>
        <v>4448.8</v>
      </c>
      <c r="L436" s="117">
        <v>1</v>
      </c>
      <c r="M436" s="141">
        <f t="shared" si="39"/>
        <v>79</v>
      </c>
      <c r="N436" s="122"/>
      <c r="O436" s="117" t="s">
        <v>946</v>
      </c>
      <c r="P436" s="137">
        <f t="shared" si="37"/>
        <v>4393.1899999999996</v>
      </c>
    </row>
    <row r="437" spans="1:16" s="105" customFormat="1" ht="15.75" x14ac:dyDescent="0.25">
      <c r="A437" s="106" t="s">
        <v>1199</v>
      </c>
      <c r="B437" s="102">
        <v>45016</v>
      </c>
      <c r="C437" s="25" t="s">
        <v>1194</v>
      </c>
      <c r="D437" s="25" t="s">
        <v>1122</v>
      </c>
      <c r="E437" s="162"/>
      <c r="F437" s="134">
        <v>21.82</v>
      </c>
      <c r="G437" s="50"/>
      <c r="H437" s="102">
        <v>45016</v>
      </c>
      <c r="I437" s="144">
        <v>80</v>
      </c>
      <c r="J437" s="130">
        <v>21.82</v>
      </c>
      <c r="K437" s="118">
        <f t="shared" si="38"/>
        <v>1745.6</v>
      </c>
      <c r="L437" s="117"/>
      <c r="M437" s="141">
        <f t="shared" si="39"/>
        <v>80</v>
      </c>
      <c r="N437" s="122"/>
      <c r="O437" s="117" t="s">
        <v>946</v>
      </c>
      <c r="P437" s="137">
        <f t="shared" si="37"/>
        <v>1745.6</v>
      </c>
    </row>
    <row r="438" spans="1:16" s="105" customFormat="1" ht="15.75" x14ac:dyDescent="0.25">
      <c r="A438" s="106" t="s">
        <v>1200</v>
      </c>
      <c r="B438" s="102">
        <v>45016</v>
      </c>
      <c r="C438" s="25" t="s">
        <v>1195</v>
      </c>
      <c r="D438" s="25" t="s">
        <v>1122</v>
      </c>
      <c r="E438" s="162"/>
      <c r="F438" s="134">
        <v>35240.699999999997</v>
      </c>
      <c r="G438" s="50"/>
      <c r="H438" s="102">
        <v>45016</v>
      </c>
      <c r="I438" s="144">
        <v>4</v>
      </c>
      <c r="J438" s="130">
        <v>35240.699999999997</v>
      </c>
      <c r="K438" s="118">
        <f t="shared" si="38"/>
        <v>140962.79999999999</v>
      </c>
      <c r="L438" s="117">
        <v>4</v>
      </c>
      <c r="M438" s="141">
        <f t="shared" si="39"/>
        <v>0</v>
      </c>
      <c r="N438" s="122"/>
      <c r="O438" s="117" t="s">
        <v>946</v>
      </c>
      <c r="P438" s="137">
        <f t="shared" si="37"/>
        <v>0</v>
      </c>
    </row>
    <row r="439" spans="1:16" s="105" customFormat="1" ht="15.75" x14ac:dyDescent="0.25">
      <c r="A439" s="106" t="s">
        <v>1201</v>
      </c>
      <c r="B439" s="102">
        <v>45016</v>
      </c>
      <c r="C439" s="25" t="s">
        <v>1196</v>
      </c>
      <c r="D439" s="25" t="s">
        <v>1122</v>
      </c>
      <c r="E439" s="162"/>
      <c r="F439" s="134">
        <v>1770</v>
      </c>
      <c r="G439" s="101"/>
      <c r="H439" s="102">
        <v>45016</v>
      </c>
      <c r="I439" s="144">
        <v>30</v>
      </c>
      <c r="J439" s="130">
        <v>1770</v>
      </c>
      <c r="K439" s="118">
        <f t="shared" si="38"/>
        <v>53100</v>
      </c>
      <c r="L439" s="117">
        <v>30</v>
      </c>
      <c r="M439" s="145">
        <f t="shared" si="39"/>
        <v>0</v>
      </c>
      <c r="N439" s="122"/>
      <c r="O439" s="117" t="s">
        <v>947</v>
      </c>
      <c r="P439" s="149">
        <f t="shared" si="37"/>
        <v>0</v>
      </c>
    </row>
    <row r="440" spans="1:16" s="105" customFormat="1" ht="15.75" x14ac:dyDescent="0.25">
      <c r="A440" s="106" t="s">
        <v>1202</v>
      </c>
      <c r="B440" s="102"/>
      <c r="C440" s="25" t="s">
        <v>1205</v>
      </c>
      <c r="D440" s="25" t="s">
        <v>1122</v>
      </c>
      <c r="E440" s="162"/>
      <c r="F440" s="134"/>
      <c r="G440" s="101"/>
      <c r="H440" s="119"/>
      <c r="I440" s="144"/>
      <c r="J440" s="130"/>
      <c r="K440" s="118"/>
      <c r="L440" s="117">
        <v>12</v>
      </c>
      <c r="M440" s="145">
        <f t="shared" si="39"/>
        <v>-12</v>
      </c>
      <c r="N440" s="122"/>
      <c r="O440" s="117" t="s">
        <v>947</v>
      </c>
      <c r="P440" s="149"/>
    </row>
    <row r="441" spans="1:16" s="105" customFormat="1" ht="15.75" x14ac:dyDescent="0.25">
      <c r="A441" s="106" t="s">
        <v>1203</v>
      </c>
      <c r="B441" s="102"/>
      <c r="C441" s="25" t="s">
        <v>1206</v>
      </c>
      <c r="D441" s="25" t="s">
        <v>1122</v>
      </c>
      <c r="E441" s="162"/>
      <c r="F441" s="134"/>
      <c r="G441" s="101"/>
      <c r="H441" s="119"/>
      <c r="I441" s="144">
        <v>310</v>
      </c>
      <c r="J441" s="130"/>
      <c r="K441" s="118"/>
      <c r="L441" s="117">
        <v>24</v>
      </c>
      <c r="M441" s="150">
        <f t="shared" si="39"/>
        <v>286</v>
      </c>
      <c r="N441" s="122"/>
      <c r="O441" s="117" t="s">
        <v>947</v>
      </c>
      <c r="P441" s="149"/>
    </row>
    <row r="442" spans="1:16" s="105" customFormat="1" ht="15.75" x14ac:dyDescent="0.25">
      <c r="A442" s="106" t="s">
        <v>1204</v>
      </c>
      <c r="B442" s="102"/>
      <c r="C442" s="25" t="s">
        <v>1207</v>
      </c>
      <c r="D442" s="25" t="s">
        <v>1122</v>
      </c>
      <c r="E442" s="162"/>
      <c r="F442" s="134"/>
      <c r="G442" s="101"/>
      <c r="H442" s="119"/>
      <c r="I442" s="144">
        <v>101</v>
      </c>
      <c r="J442" s="130"/>
      <c r="K442" s="118"/>
      <c r="L442" s="117">
        <v>15</v>
      </c>
      <c r="M442" s="150">
        <f t="shared" si="39"/>
        <v>86</v>
      </c>
      <c r="N442" s="122"/>
      <c r="O442" s="117" t="s">
        <v>947</v>
      </c>
      <c r="P442" s="149"/>
    </row>
    <row r="443" spans="1:16" s="105" customFormat="1" ht="15.75" x14ac:dyDescent="0.25">
      <c r="A443" s="106" t="s">
        <v>1213</v>
      </c>
      <c r="B443" s="102"/>
      <c r="C443" s="25" t="s">
        <v>1208</v>
      </c>
      <c r="D443" s="25" t="s">
        <v>1122</v>
      </c>
      <c r="E443" s="162"/>
      <c r="F443" s="134"/>
      <c r="G443" s="101"/>
      <c r="H443" s="119"/>
      <c r="I443" s="144">
        <v>500</v>
      </c>
      <c r="J443" s="130"/>
      <c r="K443" s="118"/>
      <c r="L443" s="117">
        <f>15+54</f>
        <v>69</v>
      </c>
      <c r="M443" s="145">
        <f t="shared" si="39"/>
        <v>431</v>
      </c>
      <c r="N443" s="122"/>
      <c r="O443" s="117" t="s">
        <v>947</v>
      </c>
      <c r="P443" s="149"/>
    </row>
    <row r="444" spans="1:16" s="105" customFormat="1" ht="15.75" x14ac:dyDescent="0.25">
      <c r="A444" s="106" t="s">
        <v>1214</v>
      </c>
      <c r="B444" s="102"/>
      <c r="C444" s="25" t="s">
        <v>1209</v>
      </c>
      <c r="D444" s="25" t="s">
        <v>1122</v>
      </c>
      <c r="E444" s="162"/>
      <c r="F444" s="134"/>
      <c r="G444" s="101"/>
      <c r="H444" s="119"/>
      <c r="I444" s="144">
        <v>300</v>
      </c>
      <c r="J444" s="130"/>
      <c r="K444" s="118"/>
      <c r="L444" s="117">
        <v>100</v>
      </c>
      <c r="M444" s="145">
        <f>+E444+I444-L444</f>
        <v>200</v>
      </c>
      <c r="N444" s="122"/>
      <c r="O444" s="117" t="s">
        <v>947</v>
      </c>
      <c r="P444" s="149"/>
    </row>
    <row r="445" spans="1:16" s="105" customFormat="1" ht="15.75" x14ac:dyDescent="0.25">
      <c r="A445" s="106" t="s">
        <v>1215</v>
      </c>
      <c r="B445" s="102"/>
      <c r="C445" s="25" t="s">
        <v>1210</v>
      </c>
      <c r="D445" s="25" t="s">
        <v>1122</v>
      </c>
      <c r="E445" s="162"/>
      <c r="F445" s="134"/>
      <c r="G445" s="101"/>
      <c r="H445" s="119"/>
      <c r="I445" s="144">
        <v>99</v>
      </c>
      <c r="J445" s="130"/>
      <c r="K445" s="118"/>
      <c r="L445" s="117">
        <v>3</v>
      </c>
      <c r="M445" s="145">
        <f t="shared" si="39"/>
        <v>96</v>
      </c>
      <c r="N445" s="122"/>
      <c r="O445" s="117" t="s">
        <v>947</v>
      </c>
      <c r="P445" s="149"/>
    </row>
    <row r="446" spans="1:16" s="105" customFormat="1" ht="15.75" x14ac:dyDescent="0.25">
      <c r="A446" s="106" t="s">
        <v>1216</v>
      </c>
      <c r="B446" s="102"/>
      <c r="C446" s="25" t="s">
        <v>1211</v>
      </c>
      <c r="D446" s="25" t="s">
        <v>1122</v>
      </c>
      <c r="E446" s="162"/>
      <c r="F446" s="134"/>
      <c r="G446" s="101"/>
      <c r="H446" s="119"/>
      <c r="I446" s="144"/>
      <c r="J446" s="130"/>
      <c r="K446" s="118"/>
      <c r="L446" s="117">
        <v>4</v>
      </c>
      <c r="M446" s="145">
        <f t="shared" si="39"/>
        <v>-4</v>
      </c>
      <c r="N446" s="122"/>
      <c r="O446" s="117" t="s">
        <v>946</v>
      </c>
      <c r="P446" s="149"/>
    </row>
    <row r="447" spans="1:16" s="105" customFormat="1" ht="15.75" x14ac:dyDescent="0.25">
      <c r="A447" s="106" t="s">
        <v>1217</v>
      </c>
      <c r="B447" s="102"/>
      <c r="C447" s="25" t="s">
        <v>1212</v>
      </c>
      <c r="D447" s="25" t="s">
        <v>1122</v>
      </c>
      <c r="E447" s="162"/>
      <c r="F447" s="134"/>
      <c r="G447" s="101"/>
      <c r="H447" s="119"/>
      <c r="I447" s="144"/>
      <c r="J447" s="130"/>
      <c r="K447" s="118"/>
      <c r="L447" s="117">
        <v>1</v>
      </c>
      <c r="M447" s="145">
        <f t="shared" si="39"/>
        <v>-1</v>
      </c>
      <c r="N447" s="122"/>
      <c r="O447" s="117" t="s">
        <v>946</v>
      </c>
      <c r="P447" s="149"/>
    </row>
    <row r="448" spans="1:16" s="105" customFormat="1" ht="15.75" x14ac:dyDescent="0.25">
      <c r="A448" s="106" t="s">
        <v>1245</v>
      </c>
      <c r="B448" s="102"/>
      <c r="C448" s="25" t="s">
        <v>1221</v>
      </c>
      <c r="D448" s="25" t="s">
        <v>1122</v>
      </c>
      <c r="E448" s="162"/>
      <c r="F448" s="134"/>
      <c r="G448" s="101"/>
      <c r="H448" s="119"/>
      <c r="I448" s="144">
        <v>10</v>
      </c>
      <c r="J448" s="130">
        <v>361.99</v>
      </c>
      <c r="K448" s="118">
        <f t="shared" ref="K448" si="40">+J448*I448</f>
        <v>3619.9</v>
      </c>
      <c r="L448" s="117">
        <v>1</v>
      </c>
      <c r="M448" s="150">
        <f t="shared" si="39"/>
        <v>9</v>
      </c>
      <c r="N448" s="122"/>
      <c r="O448" s="117" t="s">
        <v>945</v>
      </c>
      <c r="P448" s="149"/>
    </row>
    <row r="449" spans="1:16" s="105" customFormat="1" ht="15.75" x14ac:dyDescent="0.25">
      <c r="A449" s="106" t="s">
        <v>1246</v>
      </c>
      <c r="B449" s="102"/>
      <c r="C449" s="25" t="s">
        <v>1225</v>
      </c>
      <c r="D449" s="25" t="s">
        <v>1122</v>
      </c>
      <c r="E449" s="162"/>
      <c r="F449" s="134"/>
      <c r="G449" s="101"/>
      <c r="H449" s="119"/>
      <c r="I449" s="144">
        <v>6</v>
      </c>
      <c r="J449" s="130"/>
      <c r="K449" s="118"/>
      <c r="L449" s="117"/>
      <c r="M449" s="150">
        <f t="shared" si="39"/>
        <v>6</v>
      </c>
      <c r="N449" s="122"/>
      <c r="O449" s="117" t="s">
        <v>947</v>
      </c>
      <c r="P449" s="149"/>
    </row>
    <row r="450" spans="1:16" s="105" customFormat="1" ht="15.75" x14ac:dyDescent="0.25">
      <c r="A450" s="106" t="s">
        <v>1247</v>
      </c>
      <c r="B450" s="102">
        <v>45042</v>
      </c>
      <c r="C450" s="25" t="s">
        <v>1226</v>
      </c>
      <c r="D450" s="25" t="s">
        <v>1122</v>
      </c>
      <c r="E450" s="162">
        <f>12*4</f>
        <v>48</v>
      </c>
      <c r="F450" s="134"/>
      <c r="G450" s="101"/>
      <c r="H450" s="114">
        <v>45042</v>
      </c>
      <c r="I450" s="144"/>
      <c r="J450" s="130"/>
      <c r="K450" s="118"/>
      <c r="L450" s="117">
        <f>48-33</f>
        <v>15</v>
      </c>
      <c r="M450" s="150">
        <f t="shared" si="39"/>
        <v>33</v>
      </c>
      <c r="N450" s="122"/>
      <c r="O450" s="117" t="s">
        <v>947</v>
      </c>
      <c r="P450" s="149"/>
    </row>
    <row r="451" spans="1:16" s="105" customFormat="1" ht="15.75" x14ac:dyDescent="0.25">
      <c r="A451" s="106" t="s">
        <v>1248</v>
      </c>
      <c r="B451" s="102">
        <v>45042</v>
      </c>
      <c r="C451" s="25" t="s">
        <v>1227</v>
      </c>
      <c r="D451" s="25" t="s">
        <v>1122</v>
      </c>
      <c r="E451" s="162">
        <v>10</v>
      </c>
      <c r="F451" s="134">
        <v>38.29</v>
      </c>
      <c r="G451" s="101"/>
      <c r="H451" s="114">
        <v>45042</v>
      </c>
      <c r="I451" s="144">
        <v>10</v>
      </c>
      <c r="J451" s="130">
        <v>38.29</v>
      </c>
      <c r="K451" s="118">
        <f t="shared" ref="K451" si="41">+J451*I451</f>
        <v>382.9</v>
      </c>
      <c r="L451" s="117"/>
      <c r="M451" s="150">
        <f t="shared" si="39"/>
        <v>20</v>
      </c>
      <c r="N451" s="122"/>
      <c r="O451" s="117" t="s">
        <v>947</v>
      </c>
      <c r="P451" s="137">
        <f>+F451*M451</f>
        <v>765.8</v>
      </c>
    </row>
    <row r="452" spans="1:16" s="105" customFormat="1" ht="15.75" x14ac:dyDescent="0.25">
      <c r="A452" s="106" t="s">
        <v>1249</v>
      </c>
      <c r="B452" s="102"/>
      <c r="C452" s="25" t="s">
        <v>1229</v>
      </c>
      <c r="D452" s="25" t="s">
        <v>1122</v>
      </c>
      <c r="E452" s="162"/>
      <c r="F452" s="134"/>
      <c r="G452" s="101"/>
      <c r="H452" s="114"/>
      <c r="I452" s="144">
        <v>100</v>
      </c>
      <c r="J452" s="130"/>
      <c r="K452" s="118"/>
      <c r="L452" s="117">
        <v>50</v>
      </c>
      <c r="M452" s="150">
        <f t="shared" si="39"/>
        <v>50</v>
      </c>
      <c r="N452" s="122"/>
      <c r="O452" s="117" t="s">
        <v>947</v>
      </c>
      <c r="P452" s="137">
        <f t="shared" ref="P452:P472" si="42">+F452*M452</f>
        <v>0</v>
      </c>
    </row>
    <row r="453" spans="1:16" s="105" customFormat="1" ht="15.75" x14ac:dyDescent="0.25">
      <c r="A453" s="106" t="s">
        <v>1250</v>
      </c>
      <c r="B453" s="102"/>
      <c r="C453" s="25" t="s">
        <v>1230</v>
      </c>
      <c r="D453" s="25" t="s">
        <v>1122</v>
      </c>
      <c r="E453" s="162"/>
      <c r="F453" s="134">
        <v>71.650000000000006</v>
      </c>
      <c r="G453" s="101"/>
      <c r="H453" s="114"/>
      <c r="I453" s="144">
        <v>10</v>
      </c>
      <c r="J453" s="130">
        <v>71.650000000000006</v>
      </c>
      <c r="K453" s="104">
        <f t="shared" ref="K453:K469" si="43">+J453*I453</f>
        <v>716.5</v>
      </c>
      <c r="L453" s="117">
        <v>1</v>
      </c>
      <c r="M453" s="150">
        <f t="shared" si="39"/>
        <v>9</v>
      </c>
      <c r="N453" s="122"/>
      <c r="O453" s="117" t="s">
        <v>947</v>
      </c>
      <c r="P453" s="137">
        <f t="shared" si="42"/>
        <v>644.85</v>
      </c>
    </row>
    <row r="454" spans="1:16" s="105" customFormat="1" ht="15.75" x14ac:dyDescent="0.25">
      <c r="A454" s="106" t="s">
        <v>1251</v>
      </c>
      <c r="B454" s="102"/>
      <c r="C454" s="25" t="s">
        <v>1231</v>
      </c>
      <c r="D454" s="25" t="s">
        <v>1232</v>
      </c>
      <c r="E454" s="162"/>
      <c r="F454" s="134"/>
      <c r="G454" s="101"/>
      <c r="H454" s="114"/>
      <c r="I454" s="144">
        <v>13</v>
      </c>
      <c r="J454" s="130"/>
      <c r="K454" s="104">
        <f t="shared" si="43"/>
        <v>0</v>
      </c>
      <c r="L454" s="117"/>
      <c r="M454" s="150">
        <f t="shared" si="39"/>
        <v>13</v>
      </c>
      <c r="N454" s="122"/>
      <c r="O454" s="117" t="s">
        <v>947</v>
      </c>
      <c r="P454" s="137">
        <f t="shared" si="42"/>
        <v>0</v>
      </c>
    </row>
    <row r="455" spans="1:16" s="105" customFormat="1" ht="15.75" x14ac:dyDescent="0.25">
      <c r="A455" s="106" t="s">
        <v>1252</v>
      </c>
      <c r="B455" s="102">
        <v>44193</v>
      </c>
      <c r="C455" s="9" t="s">
        <v>1233</v>
      </c>
      <c r="D455" s="25" t="s">
        <v>1122</v>
      </c>
      <c r="E455" s="162"/>
      <c r="F455" s="134"/>
      <c r="G455" s="101"/>
      <c r="H455" s="102">
        <v>44193</v>
      </c>
      <c r="I455" s="144">
        <v>186</v>
      </c>
      <c r="J455" s="130"/>
      <c r="K455" s="104">
        <f t="shared" si="43"/>
        <v>0</v>
      </c>
      <c r="L455" s="117"/>
      <c r="M455" s="150">
        <f t="shared" si="39"/>
        <v>186</v>
      </c>
      <c r="N455" s="122"/>
      <c r="O455" s="117" t="s">
        <v>947</v>
      </c>
      <c r="P455" s="137">
        <f t="shared" si="42"/>
        <v>0</v>
      </c>
    </row>
    <row r="456" spans="1:16" s="105" customFormat="1" ht="15.75" x14ac:dyDescent="0.25">
      <c r="A456" s="106" t="s">
        <v>1253</v>
      </c>
      <c r="B456" s="102"/>
      <c r="C456" s="25" t="s">
        <v>1234</v>
      </c>
      <c r="D456" s="25" t="s">
        <v>1122</v>
      </c>
      <c r="E456" s="162"/>
      <c r="F456" s="134"/>
      <c r="G456" s="101"/>
      <c r="H456" s="114"/>
      <c r="I456" s="144">
        <v>2</v>
      </c>
      <c r="J456" s="130"/>
      <c r="K456" s="104">
        <f t="shared" si="43"/>
        <v>0</v>
      </c>
      <c r="L456" s="117">
        <v>1</v>
      </c>
      <c r="M456" s="150">
        <f t="shared" si="39"/>
        <v>1</v>
      </c>
      <c r="N456" s="122"/>
      <c r="O456" s="117" t="s">
        <v>947</v>
      </c>
      <c r="P456" s="137">
        <f t="shared" si="42"/>
        <v>0</v>
      </c>
    </row>
    <row r="457" spans="1:16" s="105" customFormat="1" ht="15.75" x14ac:dyDescent="0.25">
      <c r="A457" s="106" t="s">
        <v>1254</v>
      </c>
      <c r="B457" s="102"/>
      <c r="C457" s="25" t="s">
        <v>1235</v>
      </c>
      <c r="D457" s="25" t="s">
        <v>1122</v>
      </c>
      <c r="E457" s="162"/>
      <c r="F457" s="134"/>
      <c r="G457" s="101"/>
      <c r="H457" s="119"/>
      <c r="I457" s="144">
        <v>3</v>
      </c>
      <c r="J457" s="130"/>
      <c r="K457" s="104">
        <f t="shared" si="43"/>
        <v>0</v>
      </c>
      <c r="L457" s="117">
        <v>1</v>
      </c>
      <c r="M457" s="150">
        <f t="shared" si="39"/>
        <v>2</v>
      </c>
      <c r="N457" s="122"/>
      <c r="O457" s="117" t="s">
        <v>947</v>
      </c>
      <c r="P457" s="137">
        <f t="shared" si="42"/>
        <v>0</v>
      </c>
    </row>
    <row r="458" spans="1:16" s="105" customFormat="1" ht="15.75" x14ac:dyDescent="0.25">
      <c r="A458" s="106" t="s">
        <v>1255</v>
      </c>
      <c r="B458" s="102"/>
      <c r="C458" s="25" t="s">
        <v>1236</v>
      </c>
      <c r="D458" s="25" t="s">
        <v>1122</v>
      </c>
      <c r="E458" s="162"/>
      <c r="F458" s="134"/>
      <c r="G458" s="101"/>
      <c r="H458" s="119"/>
      <c r="I458" s="144">
        <v>2</v>
      </c>
      <c r="J458" s="130"/>
      <c r="K458" s="104">
        <f t="shared" si="43"/>
        <v>0</v>
      </c>
      <c r="L458" s="117">
        <v>1</v>
      </c>
      <c r="M458" s="150">
        <f t="shared" si="39"/>
        <v>1</v>
      </c>
      <c r="N458" s="122"/>
      <c r="O458" s="117" t="s">
        <v>947</v>
      </c>
      <c r="P458" s="137">
        <f t="shared" si="42"/>
        <v>0</v>
      </c>
    </row>
    <row r="459" spans="1:16" s="105" customFormat="1" ht="15.75" x14ac:dyDescent="0.25">
      <c r="A459" s="106" t="s">
        <v>1256</v>
      </c>
      <c r="B459" s="102"/>
      <c r="C459" s="9" t="s">
        <v>1237</v>
      </c>
      <c r="D459" s="25" t="s">
        <v>1122</v>
      </c>
      <c r="E459" s="162"/>
      <c r="F459" s="134"/>
      <c r="G459" s="101"/>
      <c r="H459" s="119"/>
      <c r="I459" s="144">
        <v>405</v>
      </c>
      <c r="J459" s="130"/>
      <c r="K459" s="104">
        <f t="shared" si="43"/>
        <v>0</v>
      </c>
      <c r="L459" s="117"/>
      <c r="M459" s="150">
        <f t="shared" si="39"/>
        <v>405</v>
      </c>
      <c r="N459" s="122"/>
      <c r="O459" s="117" t="s">
        <v>947</v>
      </c>
      <c r="P459" s="137">
        <f t="shared" si="42"/>
        <v>0</v>
      </c>
    </row>
    <row r="460" spans="1:16" s="105" customFormat="1" ht="15.75" x14ac:dyDescent="0.25">
      <c r="A460" s="106" t="s">
        <v>1257</v>
      </c>
      <c r="B460" s="102"/>
      <c r="C460" s="9" t="s">
        <v>1238</v>
      </c>
      <c r="D460" s="25" t="s">
        <v>1232</v>
      </c>
      <c r="E460" s="162"/>
      <c r="F460" s="134"/>
      <c r="G460" s="101"/>
      <c r="H460" s="119"/>
      <c r="I460" s="144">
        <v>3</v>
      </c>
      <c r="J460" s="130"/>
      <c r="K460" s="104">
        <f t="shared" si="43"/>
        <v>0</v>
      </c>
      <c r="L460" s="117"/>
      <c r="M460" s="150">
        <f t="shared" si="39"/>
        <v>3</v>
      </c>
      <c r="N460" s="122"/>
      <c r="O460" s="117" t="s">
        <v>947</v>
      </c>
      <c r="P460" s="137">
        <f t="shared" si="42"/>
        <v>0</v>
      </c>
    </row>
    <row r="461" spans="1:16" s="105" customFormat="1" ht="15.75" x14ac:dyDescent="0.25">
      <c r="A461" s="106" t="s">
        <v>1258</v>
      </c>
      <c r="B461" s="129">
        <v>45042</v>
      </c>
      <c r="C461" s="9" t="s">
        <v>1242</v>
      </c>
      <c r="D461" s="25" t="s">
        <v>1122</v>
      </c>
      <c r="E461" s="162"/>
      <c r="F461" s="134">
        <v>355.33</v>
      </c>
      <c r="G461" s="101"/>
      <c r="H461" s="119">
        <v>45042</v>
      </c>
      <c r="I461" s="144">
        <v>10</v>
      </c>
      <c r="J461" s="130">
        <v>355.33</v>
      </c>
      <c r="K461" s="104">
        <f t="shared" si="43"/>
        <v>3553.2999999999997</v>
      </c>
      <c r="L461" s="117">
        <v>2</v>
      </c>
      <c r="M461" s="150">
        <f t="shared" si="39"/>
        <v>8</v>
      </c>
      <c r="N461" s="122"/>
      <c r="O461" s="117" t="s">
        <v>947</v>
      </c>
      <c r="P461" s="137">
        <f>+F461*M461</f>
        <v>2842.64</v>
      </c>
    </row>
    <row r="462" spans="1:16" s="105" customFormat="1" ht="15.75" x14ac:dyDescent="0.25">
      <c r="A462" s="106" t="s">
        <v>1259</v>
      </c>
      <c r="B462" s="129">
        <v>45042</v>
      </c>
      <c r="C462" s="9" t="s">
        <v>1243</v>
      </c>
      <c r="D462" s="25" t="s">
        <v>1122</v>
      </c>
      <c r="E462" s="162"/>
      <c r="F462" s="134">
        <v>24.95</v>
      </c>
      <c r="G462" s="101"/>
      <c r="H462" s="119">
        <v>45042</v>
      </c>
      <c r="I462" s="144">
        <v>28</v>
      </c>
      <c r="J462" s="130">
        <v>24.95</v>
      </c>
      <c r="K462" s="104">
        <f t="shared" si="43"/>
        <v>698.6</v>
      </c>
      <c r="L462" s="117">
        <v>3</v>
      </c>
      <c r="M462" s="150">
        <f t="shared" si="39"/>
        <v>25</v>
      </c>
      <c r="N462" s="122"/>
      <c r="O462" s="117" t="s">
        <v>947</v>
      </c>
      <c r="P462" s="137">
        <f t="shared" si="42"/>
        <v>623.75</v>
      </c>
    </row>
    <row r="463" spans="1:16" s="105" customFormat="1" ht="15.75" x14ac:dyDescent="0.25">
      <c r="A463" s="106" t="s">
        <v>1260</v>
      </c>
      <c r="B463" s="129">
        <v>45042</v>
      </c>
      <c r="C463" s="9" t="s">
        <v>1270</v>
      </c>
      <c r="D463" s="25" t="s">
        <v>1122</v>
      </c>
      <c r="E463" s="162"/>
      <c r="F463" s="134">
        <v>29</v>
      </c>
      <c r="G463" s="101"/>
      <c r="H463" s="119">
        <v>45042</v>
      </c>
      <c r="I463" s="144">
        <v>15</v>
      </c>
      <c r="J463" s="130">
        <v>29</v>
      </c>
      <c r="K463" s="104">
        <f t="shared" si="43"/>
        <v>435</v>
      </c>
      <c r="L463" s="117">
        <v>8</v>
      </c>
      <c r="M463" s="150">
        <f t="shared" si="39"/>
        <v>7</v>
      </c>
      <c r="N463" s="122"/>
      <c r="O463" s="117" t="s">
        <v>947</v>
      </c>
      <c r="P463" s="137">
        <f t="shared" si="42"/>
        <v>203</v>
      </c>
    </row>
    <row r="464" spans="1:16" s="105" customFormat="1" ht="15.75" x14ac:dyDescent="0.25">
      <c r="A464" s="106" t="s">
        <v>1261</v>
      </c>
      <c r="B464" s="129">
        <v>45042</v>
      </c>
      <c r="C464" s="9" t="s">
        <v>1244</v>
      </c>
      <c r="D464" s="25" t="s">
        <v>1122</v>
      </c>
      <c r="E464" s="162"/>
      <c r="F464" s="134">
        <v>17</v>
      </c>
      <c r="G464" s="101"/>
      <c r="H464" s="119">
        <v>45042</v>
      </c>
      <c r="I464" s="144">
        <v>36</v>
      </c>
      <c r="J464" s="130">
        <v>17</v>
      </c>
      <c r="K464" s="104">
        <f t="shared" si="43"/>
        <v>612</v>
      </c>
      <c r="L464" s="117"/>
      <c r="M464" s="150">
        <f t="shared" si="39"/>
        <v>36</v>
      </c>
      <c r="N464" s="122"/>
      <c r="O464" s="117" t="s">
        <v>947</v>
      </c>
      <c r="P464" s="137">
        <f t="shared" si="42"/>
        <v>612</v>
      </c>
    </row>
    <row r="465" spans="1:16" s="105" customFormat="1" ht="15.75" x14ac:dyDescent="0.25">
      <c r="A465" s="106" t="s">
        <v>1266</v>
      </c>
      <c r="B465" s="129">
        <v>45042</v>
      </c>
      <c r="C465" s="9" t="s">
        <v>1262</v>
      </c>
      <c r="D465" s="25" t="s">
        <v>1122</v>
      </c>
      <c r="E465" s="162"/>
      <c r="F465" s="134">
        <v>4204</v>
      </c>
      <c r="G465" s="101"/>
      <c r="H465" s="119">
        <v>45042</v>
      </c>
      <c r="I465" s="144">
        <v>2</v>
      </c>
      <c r="J465" s="130">
        <v>4204</v>
      </c>
      <c r="K465" s="104">
        <f t="shared" si="43"/>
        <v>8408</v>
      </c>
      <c r="L465" s="117"/>
      <c r="M465" s="145">
        <f t="shared" si="39"/>
        <v>2</v>
      </c>
      <c r="N465" s="122"/>
      <c r="O465" s="117" t="s">
        <v>947</v>
      </c>
      <c r="P465" s="137">
        <f t="shared" si="42"/>
        <v>8408</v>
      </c>
    </row>
    <row r="466" spans="1:16" s="105" customFormat="1" ht="15.75" x14ac:dyDescent="0.25">
      <c r="A466" s="106" t="s">
        <v>1267</v>
      </c>
      <c r="B466" s="129">
        <v>45042</v>
      </c>
      <c r="C466" s="9" t="s">
        <v>1263</v>
      </c>
      <c r="D466" s="25" t="s">
        <v>1122</v>
      </c>
      <c r="E466" s="162"/>
      <c r="F466" s="134">
        <v>4917.0600000000004</v>
      </c>
      <c r="G466" s="101"/>
      <c r="H466" s="119">
        <v>45042</v>
      </c>
      <c r="I466" s="144">
        <v>2</v>
      </c>
      <c r="J466" s="130">
        <v>4917.0600000000004</v>
      </c>
      <c r="K466" s="104">
        <f t="shared" si="43"/>
        <v>9834.1200000000008</v>
      </c>
      <c r="L466" s="117"/>
      <c r="M466" s="145">
        <f t="shared" si="39"/>
        <v>2</v>
      </c>
      <c r="N466" s="122"/>
      <c r="O466" s="117" t="s">
        <v>947</v>
      </c>
      <c r="P466" s="137">
        <f t="shared" si="42"/>
        <v>9834.1200000000008</v>
      </c>
    </row>
    <row r="467" spans="1:16" s="105" customFormat="1" ht="15.75" x14ac:dyDescent="0.25">
      <c r="A467" s="106" t="s">
        <v>1268</v>
      </c>
      <c r="B467" s="129">
        <v>45042</v>
      </c>
      <c r="C467" s="9" t="s">
        <v>1264</v>
      </c>
      <c r="D467" s="25" t="s">
        <v>1122</v>
      </c>
      <c r="E467" s="162"/>
      <c r="F467" s="134">
        <v>4917.0600000000004</v>
      </c>
      <c r="G467" s="101"/>
      <c r="H467" s="119">
        <v>45042</v>
      </c>
      <c r="I467" s="144">
        <v>2</v>
      </c>
      <c r="J467" s="130">
        <v>4917.0600000000004</v>
      </c>
      <c r="K467" s="104">
        <f t="shared" si="43"/>
        <v>9834.1200000000008</v>
      </c>
      <c r="L467" s="117"/>
      <c r="M467" s="145">
        <f t="shared" si="39"/>
        <v>2</v>
      </c>
      <c r="N467" s="122"/>
      <c r="O467" s="117" t="s">
        <v>947</v>
      </c>
      <c r="P467" s="137">
        <f t="shared" si="42"/>
        <v>9834.1200000000008</v>
      </c>
    </row>
    <row r="468" spans="1:16" s="105" customFormat="1" ht="15.75" x14ac:dyDescent="0.25">
      <c r="A468" s="106" t="s">
        <v>1269</v>
      </c>
      <c r="B468" s="129">
        <v>45042</v>
      </c>
      <c r="C468" s="9" t="s">
        <v>1265</v>
      </c>
      <c r="D468" s="25" t="s">
        <v>1122</v>
      </c>
      <c r="E468" s="162"/>
      <c r="F468" s="134">
        <v>4917.0600000000004</v>
      </c>
      <c r="G468" s="101"/>
      <c r="H468" s="119">
        <v>45042</v>
      </c>
      <c r="I468" s="144">
        <v>2</v>
      </c>
      <c r="J468" s="130">
        <v>4917.0600000000004</v>
      </c>
      <c r="K468" s="104">
        <f t="shared" si="43"/>
        <v>9834.1200000000008</v>
      </c>
      <c r="L468" s="117"/>
      <c r="M468" s="145">
        <f t="shared" si="39"/>
        <v>2</v>
      </c>
      <c r="N468" s="122"/>
      <c r="O468" s="117" t="s">
        <v>947</v>
      </c>
      <c r="P468" s="137">
        <f t="shared" si="42"/>
        <v>9834.1200000000008</v>
      </c>
    </row>
    <row r="469" spans="1:16" s="105" customFormat="1" ht="15.75" x14ac:dyDescent="0.25">
      <c r="A469" s="106" t="s">
        <v>1272</v>
      </c>
      <c r="B469" s="129">
        <v>45051</v>
      </c>
      <c r="C469" s="9" t="s">
        <v>1271</v>
      </c>
      <c r="D469" s="25" t="s">
        <v>1122</v>
      </c>
      <c r="E469" s="162"/>
      <c r="F469" s="134">
        <v>1298</v>
      </c>
      <c r="G469" s="101"/>
      <c r="H469" s="119">
        <v>45051</v>
      </c>
      <c r="I469" s="144">
        <v>3</v>
      </c>
      <c r="J469" s="130">
        <v>1298</v>
      </c>
      <c r="K469" s="118">
        <f t="shared" si="43"/>
        <v>3894</v>
      </c>
      <c r="L469" s="117">
        <v>3</v>
      </c>
      <c r="M469" s="145">
        <f t="shared" si="39"/>
        <v>0</v>
      </c>
      <c r="N469" s="122"/>
      <c r="O469" s="117" t="s">
        <v>947</v>
      </c>
      <c r="P469" s="137">
        <f t="shared" si="42"/>
        <v>0</v>
      </c>
    </row>
    <row r="470" spans="1:16" s="105" customFormat="1" ht="15.75" x14ac:dyDescent="0.25">
      <c r="A470" s="106" t="s">
        <v>1273</v>
      </c>
      <c r="B470" s="102"/>
      <c r="C470" s="9"/>
      <c r="D470" s="25"/>
      <c r="E470" s="162"/>
      <c r="F470" s="134"/>
      <c r="G470" s="101"/>
      <c r="H470" s="119"/>
      <c r="I470" s="144"/>
      <c r="J470" s="130"/>
      <c r="K470" s="118"/>
      <c r="L470" s="117"/>
      <c r="M470" s="145"/>
      <c r="N470" s="122"/>
      <c r="O470" s="117"/>
      <c r="P470" s="137">
        <f t="shared" si="42"/>
        <v>0</v>
      </c>
    </row>
    <row r="471" spans="1:16" s="105" customFormat="1" ht="15.75" x14ac:dyDescent="0.25">
      <c r="A471" s="106" t="s">
        <v>1274</v>
      </c>
      <c r="B471" s="102"/>
      <c r="C471" s="9"/>
      <c r="D471" s="25"/>
      <c r="E471" s="162"/>
      <c r="F471" s="134"/>
      <c r="G471" s="101"/>
      <c r="H471" s="119"/>
      <c r="I471" s="144"/>
      <c r="J471" s="130"/>
      <c r="K471" s="118"/>
      <c r="L471" s="117"/>
      <c r="M471" s="145"/>
      <c r="N471" s="122"/>
      <c r="O471" s="117"/>
      <c r="P471" s="137">
        <f t="shared" si="42"/>
        <v>0</v>
      </c>
    </row>
    <row r="472" spans="1:16" s="105" customFormat="1" ht="15.75" x14ac:dyDescent="0.25">
      <c r="A472" s="106" t="s">
        <v>1275</v>
      </c>
      <c r="B472" s="102"/>
      <c r="C472" s="9"/>
      <c r="D472" s="25"/>
      <c r="E472" s="162"/>
      <c r="F472" s="134"/>
      <c r="G472" s="101"/>
      <c r="H472" s="119"/>
      <c r="I472" s="144"/>
      <c r="J472" s="130"/>
      <c r="K472" s="118"/>
      <c r="L472" s="117"/>
      <c r="M472" s="145"/>
      <c r="N472" s="122"/>
      <c r="O472" s="117"/>
      <c r="P472" s="137">
        <f t="shared" si="42"/>
        <v>0</v>
      </c>
    </row>
    <row r="473" spans="1:16" s="105" customFormat="1" ht="15.75" x14ac:dyDescent="0.25">
      <c r="A473" s="106" t="s">
        <v>1276</v>
      </c>
      <c r="B473" s="102"/>
      <c r="C473" s="9"/>
      <c r="D473" s="25"/>
      <c r="E473" s="162"/>
      <c r="F473" s="134"/>
      <c r="G473" s="101"/>
      <c r="H473" s="119"/>
      <c r="I473" s="144"/>
      <c r="J473" s="130"/>
      <c r="K473" s="104">
        <f t="shared" ref="K473" si="44">+J473*I473</f>
        <v>0</v>
      </c>
      <c r="L473" s="117"/>
      <c r="M473" s="145"/>
      <c r="N473" s="122"/>
      <c r="O473" s="117"/>
      <c r="P473" s="137">
        <f t="shared" ref="P473" si="45">+F473*M473</f>
        <v>0</v>
      </c>
    </row>
    <row r="474" spans="1:16" s="105" customFormat="1" ht="15.75" x14ac:dyDescent="0.25">
      <c r="A474" s="106"/>
      <c r="B474" s="102"/>
      <c r="C474" s="9"/>
      <c r="D474" s="25"/>
      <c r="E474" s="162"/>
      <c r="F474" s="134"/>
      <c r="G474" s="101"/>
      <c r="H474" s="119"/>
      <c r="I474" s="147"/>
      <c r="J474" s="130"/>
      <c r="K474" s="118"/>
      <c r="L474" s="117"/>
      <c r="M474" s="150"/>
      <c r="N474" s="122"/>
      <c r="O474" s="117"/>
      <c r="P474" s="149"/>
    </row>
    <row r="475" spans="1:16" x14ac:dyDescent="0.3">
      <c r="A475" s="69" t="s">
        <v>98</v>
      </c>
      <c r="B475" s="238"/>
      <c r="C475" s="239"/>
      <c r="D475" s="239"/>
      <c r="E475" s="239"/>
      <c r="F475" s="240"/>
      <c r="G475" s="70">
        <f>SUM(G8:G378)</f>
        <v>1539940.1403600003</v>
      </c>
      <c r="H475" s="70"/>
      <c r="I475" s="142"/>
      <c r="J475" s="70">
        <f>SUM(J8:J449)</f>
        <v>319390.70866666664</v>
      </c>
      <c r="K475" s="70">
        <f>SUM(K8:K449)</f>
        <v>2556959.8948000004</v>
      </c>
      <c r="L475" s="70">
        <f>SUM(L8:L449)</f>
        <v>21828</v>
      </c>
      <c r="M475" s="70">
        <f>SUM(M8:M457)</f>
        <v>20748.560000000001</v>
      </c>
      <c r="N475" s="70"/>
      <c r="O475" s="70"/>
      <c r="P475" s="70">
        <f>SUM(P8:P474)</f>
        <v>3450422.1382300025</v>
      </c>
    </row>
    <row r="476" spans="1:16" x14ac:dyDescent="0.3">
      <c r="A476" s="2"/>
      <c r="B476" s="2"/>
      <c r="C476" s="43"/>
      <c r="D476" s="12"/>
      <c r="E476" s="2"/>
      <c r="G476" s="2"/>
      <c r="H476" s="2"/>
      <c r="J476" s="65"/>
      <c r="K476" s="2"/>
      <c r="L476" s="2"/>
      <c r="M476" s="138"/>
      <c r="N476" s="2"/>
      <c r="O476" s="2"/>
      <c r="P476" s="138"/>
    </row>
    <row r="477" spans="1:16" x14ac:dyDescent="0.3">
      <c r="C477" s="96"/>
      <c r="D477" s="96"/>
      <c r="G477" s="63"/>
      <c r="P477" s="143"/>
    </row>
    <row r="478" spans="1:16" x14ac:dyDescent="0.3">
      <c r="A478" s="85" t="s">
        <v>7</v>
      </c>
      <c r="C478" s="96"/>
      <c r="D478" s="96"/>
    </row>
    <row r="479" spans="1:16" x14ac:dyDescent="0.3">
      <c r="C479" s="96"/>
      <c r="D479" s="96"/>
    </row>
    <row r="480" spans="1:16" x14ac:dyDescent="0.3">
      <c r="B480" s="85" t="s">
        <v>531</v>
      </c>
      <c r="C480" s="96"/>
      <c r="D480" s="96"/>
    </row>
    <row r="481" spans="1:4" x14ac:dyDescent="0.3">
      <c r="C481" s="96"/>
      <c r="D481" s="96"/>
    </row>
    <row r="482" spans="1:4" x14ac:dyDescent="0.3">
      <c r="A482" s="97" t="s">
        <v>5</v>
      </c>
      <c r="C482" s="96"/>
      <c r="D482" s="96"/>
    </row>
    <row r="483" spans="1:4" x14ac:dyDescent="0.3">
      <c r="C483" s="96"/>
      <c r="D483" s="96"/>
    </row>
    <row r="484" spans="1:4" x14ac:dyDescent="0.3">
      <c r="A484" s="97"/>
      <c r="C484" s="96"/>
      <c r="D484" s="96"/>
    </row>
    <row r="485" spans="1:4" x14ac:dyDescent="0.3">
      <c r="A485" s="98" t="s">
        <v>924</v>
      </c>
      <c r="C485" s="96"/>
      <c r="D485" s="96"/>
    </row>
    <row r="486" spans="1:4" x14ac:dyDescent="0.3">
      <c r="A486" s="85" t="s">
        <v>925</v>
      </c>
      <c r="C486" s="96"/>
      <c r="D486" s="96"/>
    </row>
    <row r="487" spans="1:4" x14ac:dyDescent="0.3">
      <c r="C487" s="96" t="s">
        <v>506</v>
      </c>
      <c r="D487" s="96"/>
    </row>
    <row r="488" spans="1:4" x14ac:dyDescent="0.3">
      <c r="C488" s="96"/>
      <c r="D488" s="96"/>
    </row>
    <row r="489" spans="1:4" x14ac:dyDescent="0.3">
      <c r="C489" s="96"/>
      <c r="D489" s="96"/>
    </row>
    <row r="490" spans="1:4" x14ac:dyDescent="0.3">
      <c r="C490" s="96"/>
      <c r="D490" s="96"/>
    </row>
    <row r="491" spans="1:4" x14ac:dyDescent="0.3">
      <c r="C491" s="96"/>
      <c r="D491" s="96"/>
    </row>
    <row r="492" spans="1:4" x14ac:dyDescent="0.3">
      <c r="C492" s="96"/>
      <c r="D492" s="96"/>
    </row>
    <row r="493" spans="1:4" x14ac:dyDescent="0.3">
      <c r="C493" s="96"/>
      <c r="D493" s="96"/>
    </row>
    <row r="494" spans="1:4" x14ac:dyDescent="0.3">
      <c r="C494" s="96"/>
      <c r="D494" s="96"/>
    </row>
  </sheetData>
  <autoFilter ref="A7:P473"/>
  <mergeCells count="4">
    <mergeCell ref="A3:G3"/>
    <mergeCell ref="A4:G4"/>
    <mergeCell ref="A5:G5"/>
    <mergeCell ref="B475:F475"/>
  </mergeCells>
  <pageMargins left="0.7" right="0.7" top="0.75" bottom="0.75" header="0.3" footer="0.3"/>
  <pageSetup scale="35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94"/>
  <sheetViews>
    <sheetView workbookViewId="0">
      <pane ySplit="7" topLeftCell="A461" activePane="bottomLeft" state="frozen"/>
      <selection activeCell="B1" sqref="B1"/>
      <selection pane="bottomLeft" activeCell="P476" sqref="P476"/>
    </sheetView>
  </sheetViews>
  <sheetFormatPr baseColWidth="10" defaultColWidth="14.140625" defaultRowHeight="18.75" x14ac:dyDescent="0.3"/>
  <cols>
    <col min="1" max="1" width="17.28515625" style="85" customWidth="1"/>
    <col min="2" max="2" width="17.42578125" style="85" customWidth="1"/>
    <col min="3" max="3" width="43.5703125" style="85" customWidth="1"/>
    <col min="4" max="4" width="15.42578125" style="85" customWidth="1"/>
    <col min="5" max="5" width="14.140625" customWidth="1"/>
    <col min="6" max="6" width="11.42578125" style="174" customWidth="1"/>
    <col min="7" max="7" width="14.140625" customWidth="1"/>
    <col min="8" max="8" width="16.28515625" customWidth="1"/>
    <col min="9" max="9" width="11.28515625" style="138" customWidth="1"/>
    <col min="10" max="10" width="14.140625" style="63"/>
    <col min="13" max="13" width="14.140625" style="139"/>
    <col min="14" max="14" width="14.140625" customWidth="1"/>
    <col min="15" max="15" width="14.140625" style="85"/>
    <col min="16" max="16" width="14.140625" style="139"/>
    <col min="17" max="16384" width="14.140625" style="85"/>
  </cols>
  <sheetData>
    <row r="3" spans="1:16" ht="26.25" x14ac:dyDescent="0.4">
      <c r="A3" s="244" t="s">
        <v>0</v>
      </c>
      <c r="B3" s="244"/>
      <c r="C3" s="244"/>
      <c r="D3" s="244"/>
      <c r="E3" s="234"/>
      <c r="F3" s="234"/>
      <c r="G3" s="234"/>
      <c r="K3" s="63"/>
      <c r="L3" s="63"/>
    </row>
    <row r="4" spans="1:16" x14ac:dyDescent="0.3">
      <c r="A4" s="245" t="s">
        <v>1</v>
      </c>
      <c r="B4" s="246"/>
      <c r="C4" s="246"/>
      <c r="D4" s="246"/>
      <c r="E4" s="236"/>
      <c r="F4" s="236"/>
      <c r="G4" s="236"/>
    </row>
    <row r="5" spans="1:16" x14ac:dyDescent="0.3">
      <c r="A5" s="237" t="s">
        <v>1277</v>
      </c>
      <c r="B5" s="237"/>
      <c r="C5" s="237"/>
      <c r="D5" s="237"/>
      <c r="E5" s="237"/>
      <c r="F5" s="237"/>
      <c r="G5" s="237"/>
    </row>
    <row r="7" spans="1:16" s="179" customFormat="1" ht="47.25" x14ac:dyDescent="0.25">
      <c r="A7" s="175" t="s">
        <v>118</v>
      </c>
      <c r="B7" s="175" t="s">
        <v>1278</v>
      </c>
      <c r="C7" s="175" t="s">
        <v>2</v>
      </c>
      <c r="D7" s="175" t="s">
        <v>1120</v>
      </c>
      <c r="E7" s="175" t="s">
        <v>3</v>
      </c>
      <c r="F7" s="176" t="s">
        <v>117</v>
      </c>
      <c r="G7" s="177" t="s">
        <v>4</v>
      </c>
      <c r="H7" s="177" t="s">
        <v>9</v>
      </c>
      <c r="I7" s="176" t="s">
        <v>915</v>
      </c>
      <c r="J7" s="178" t="s">
        <v>117</v>
      </c>
      <c r="K7" s="175" t="s">
        <v>4</v>
      </c>
      <c r="L7" s="175" t="s">
        <v>929</v>
      </c>
      <c r="M7" s="176" t="s">
        <v>914</v>
      </c>
      <c r="N7" s="175" t="s">
        <v>927</v>
      </c>
      <c r="O7" s="175" t="s">
        <v>944</v>
      </c>
      <c r="P7" s="176" t="s">
        <v>4</v>
      </c>
    </row>
    <row r="8" spans="1:16" s="92" customFormat="1" x14ac:dyDescent="0.3">
      <c r="A8" s="106" t="s">
        <v>11</v>
      </c>
      <c r="B8" s="102">
        <v>44652</v>
      </c>
      <c r="C8" s="25" t="s">
        <v>1220</v>
      </c>
      <c r="D8" s="25" t="s">
        <v>1121</v>
      </c>
      <c r="E8" s="160">
        <f>18*30</f>
        <v>540</v>
      </c>
      <c r="F8" s="134">
        <v>33.799999999999997</v>
      </c>
      <c r="G8" s="50">
        <f>+F8*18</f>
        <v>608.4</v>
      </c>
      <c r="H8" s="103"/>
      <c r="I8" s="141"/>
      <c r="J8" s="104"/>
      <c r="K8" s="103"/>
      <c r="L8" s="103">
        <v>150</v>
      </c>
      <c r="M8" s="151">
        <f>+E8+I8-L8</f>
        <v>390</v>
      </c>
      <c r="N8" s="103"/>
      <c r="O8" s="103" t="s">
        <v>945</v>
      </c>
      <c r="P8" s="137">
        <f>+F8*M8</f>
        <v>13181.999999999998</v>
      </c>
    </row>
    <row r="9" spans="1:16" s="8" customFormat="1" ht="15.75" x14ac:dyDescent="0.25">
      <c r="A9" s="106" t="s">
        <v>120</v>
      </c>
      <c r="B9" s="102">
        <v>44193</v>
      </c>
      <c r="C9" s="25" t="s">
        <v>533</v>
      </c>
      <c r="D9" s="25" t="s">
        <v>1122</v>
      </c>
      <c r="E9" s="160">
        <v>43</v>
      </c>
      <c r="F9" s="134">
        <v>215</v>
      </c>
      <c r="G9" s="50">
        <f>E9*F9</f>
        <v>9245</v>
      </c>
      <c r="H9" s="103"/>
      <c r="I9" s="141"/>
      <c r="J9" s="104"/>
      <c r="K9" s="103"/>
      <c r="L9" s="103">
        <f>1+1+1</f>
        <v>3</v>
      </c>
      <c r="M9" s="141">
        <f t="shared" ref="M9:M72" si="0">+E9+I9-L9</f>
        <v>40</v>
      </c>
      <c r="N9" s="103"/>
      <c r="O9" s="103" t="s">
        <v>946</v>
      </c>
      <c r="P9" s="137">
        <f t="shared" ref="P9:P23" si="1">+F9*M9</f>
        <v>8600</v>
      </c>
    </row>
    <row r="10" spans="1:16" s="8" customFormat="1" ht="14.25" customHeight="1" x14ac:dyDescent="0.25">
      <c r="A10" s="106" t="s">
        <v>12</v>
      </c>
      <c r="B10" s="102">
        <v>45020</v>
      </c>
      <c r="C10" s="25" t="s">
        <v>534</v>
      </c>
      <c r="D10" s="25" t="s">
        <v>1122</v>
      </c>
      <c r="E10" s="160">
        <v>12</v>
      </c>
      <c r="F10" s="134">
        <v>3540</v>
      </c>
      <c r="G10" s="50">
        <f>E10*F10</f>
        <v>42480</v>
      </c>
      <c r="H10" s="103"/>
      <c r="I10" s="141"/>
      <c r="J10" s="104"/>
      <c r="K10" s="103"/>
      <c r="L10" s="103">
        <v>5</v>
      </c>
      <c r="M10" s="141">
        <f t="shared" si="0"/>
        <v>7</v>
      </c>
      <c r="N10" s="103"/>
      <c r="O10" s="103" t="s">
        <v>946</v>
      </c>
      <c r="P10" s="137">
        <f t="shared" si="1"/>
        <v>24780</v>
      </c>
    </row>
    <row r="11" spans="1:16" s="8" customFormat="1" ht="15.75" x14ac:dyDescent="0.25">
      <c r="A11" s="106" t="s">
        <v>121</v>
      </c>
      <c r="B11" s="102">
        <v>44193</v>
      </c>
      <c r="C11" s="25" t="s">
        <v>535</v>
      </c>
      <c r="D11" s="25" t="s">
        <v>1122</v>
      </c>
      <c r="E11" s="161">
        <v>0</v>
      </c>
      <c r="F11" s="134">
        <v>127.12</v>
      </c>
      <c r="G11" s="50">
        <f t="shared" ref="G11:G25" si="2">E11*F11</f>
        <v>0</v>
      </c>
      <c r="H11" s="103"/>
      <c r="I11" s="141"/>
      <c r="J11" s="104"/>
      <c r="K11" s="103"/>
      <c r="L11" s="103"/>
      <c r="M11" s="141">
        <f t="shared" si="0"/>
        <v>0</v>
      </c>
      <c r="N11" s="103"/>
      <c r="O11" s="103" t="s">
        <v>946</v>
      </c>
      <c r="P11" s="137">
        <f t="shared" si="1"/>
        <v>0</v>
      </c>
    </row>
    <row r="12" spans="1:16" s="8" customFormat="1" ht="15.75" x14ac:dyDescent="0.25">
      <c r="A12" s="106" t="s">
        <v>122</v>
      </c>
      <c r="B12" s="102">
        <v>44193</v>
      </c>
      <c r="C12" s="25" t="s">
        <v>838</v>
      </c>
      <c r="D12" s="25" t="s">
        <v>1122</v>
      </c>
      <c r="E12" s="162">
        <v>1</v>
      </c>
      <c r="F12" s="134">
        <v>30</v>
      </c>
      <c r="G12" s="50">
        <f t="shared" si="2"/>
        <v>30</v>
      </c>
      <c r="H12" s="103"/>
      <c r="I12" s="141"/>
      <c r="J12" s="104"/>
      <c r="K12" s="103"/>
      <c r="L12" s="103"/>
      <c r="M12" s="141">
        <f t="shared" si="0"/>
        <v>1</v>
      </c>
      <c r="N12" s="103"/>
      <c r="O12" s="103" t="s">
        <v>946</v>
      </c>
      <c r="P12" s="137">
        <f t="shared" si="1"/>
        <v>30</v>
      </c>
    </row>
    <row r="13" spans="1:16" s="8" customFormat="1" ht="15.75" x14ac:dyDescent="0.25">
      <c r="A13" s="106" t="s">
        <v>123</v>
      </c>
      <c r="B13" s="102">
        <v>44193</v>
      </c>
      <c r="C13" s="25" t="s">
        <v>840</v>
      </c>
      <c r="D13" s="25" t="s">
        <v>1122</v>
      </c>
      <c r="E13" s="160">
        <v>10</v>
      </c>
      <c r="F13" s="134">
        <v>11</v>
      </c>
      <c r="G13" s="50">
        <f t="shared" si="2"/>
        <v>110</v>
      </c>
      <c r="H13" s="103"/>
      <c r="I13" s="141"/>
      <c r="J13" s="104"/>
      <c r="K13" s="103"/>
      <c r="L13" s="103"/>
      <c r="M13" s="141">
        <f t="shared" si="0"/>
        <v>10</v>
      </c>
      <c r="N13" s="103"/>
      <c r="O13" s="103" t="s">
        <v>946</v>
      </c>
      <c r="P13" s="137">
        <f t="shared" si="1"/>
        <v>110</v>
      </c>
    </row>
    <row r="14" spans="1:16" s="8" customFormat="1" ht="15.75" x14ac:dyDescent="0.25">
      <c r="A14" s="106" t="s">
        <v>13</v>
      </c>
      <c r="B14" s="102">
        <v>44193</v>
      </c>
      <c r="C14" s="25" t="s">
        <v>536</v>
      </c>
      <c r="D14" s="25" t="s">
        <v>1122</v>
      </c>
      <c r="E14" s="160">
        <f>49+60+2</f>
        <v>111</v>
      </c>
      <c r="F14" s="134">
        <v>15.84</v>
      </c>
      <c r="G14" s="50">
        <f t="shared" si="2"/>
        <v>1758.24</v>
      </c>
      <c r="H14" s="103"/>
      <c r="I14" s="141"/>
      <c r="J14" s="104"/>
      <c r="K14" s="103"/>
      <c r="L14" s="103"/>
      <c r="M14" s="141">
        <f t="shared" si="0"/>
        <v>111</v>
      </c>
      <c r="N14" s="103"/>
      <c r="O14" s="103" t="s">
        <v>946</v>
      </c>
      <c r="P14" s="137">
        <f t="shared" si="1"/>
        <v>1758.24</v>
      </c>
    </row>
    <row r="15" spans="1:16" s="8" customFormat="1" ht="15.75" x14ac:dyDescent="0.25">
      <c r="A15" s="106" t="s">
        <v>14</v>
      </c>
      <c r="B15" s="102">
        <v>44193</v>
      </c>
      <c r="C15" s="25" t="s">
        <v>537</v>
      </c>
      <c r="D15" s="25" t="s">
        <v>1122</v>
      </c>
      <c r="E15" s="160">
        <v>52</v>
      </c>
      <c r="F15" s="134">
        <v>22.41</v>
      </c>
      <c r="G15" s="50">
        <f t="shared" si="2"/>
        <v>1165.32</v>
      </c>
      <c r="H15" s="103"/>
      <c r="I15" s="141"/>
      <c r="J15" s="104"/>
      <c r="K15" s="103"/>
      <c r="L15" s="103"/>
      <c r="M15" s="141">
        <f t="shared" si="0"/>
        <v>52</v>
      </c>
      <c r="N15" s="103"/>
      <c r="O15" s="103" t="s">
        <v>946</v>
      </c>
      <c r="P15" s="137">
        <f t="shared" si="1"/>
        <v>1165.32</v>
      </c>
    </row>
    <row r="16" spans="1:16" s="8" customFormat="1" ht="15.75" x14ac:dyDescent="0.25">
      <c r="A16" s="106" t="s">
        <v>15</v>
      </c>
      <c r="B16" s="102">
        <v>44193</v>
      </c>
      <c r="C16" s="25" t="s">
        <v>538</v>
      </c>
      <c r="D16" s="25" t="s">
        <v>1122</v>
      </c>
      <c r="E16" s="160">
        <v>42</v>
      </c>
      <c r="F16" s="134">
        <v>5.5</v>
      </c>
      <c r="G16" s="50">
        <f t="shared" si="2"/>
        <v>231</v>
      </c>
      <c r="H16" s="103"/>
      <c r="I16" s="141"/>
      <c r="J16" s="104"/>
      <c r="K16" s="103"/>
      <c r="L16" s="103"/>
      <c r="M16" s="141">
        <f t="shared" si="0"/>
        <v>42</v>
      </c>
      <c r="N16" s="103"/>
      <c r="O16" s="103" t="s">
        <v>946</v>
      </c>
      <c r="P16" s="137">
        <f t="shared" si="1"/>
        <v>231</v>
      </c>
    </row>
    <row r="17" spans="1:16" s="8" customFormat="1" ht="15.75" x14ac:dyDescent="0.25">
      <c r="A17" s="106" t="s">
        <v>124</v>
      </c>
      <c r="B17" s="102">
        <v>44193</v>
      </c>
      <c r="C17" s="25" t="s">
        <v>539</v>
      </c>
      <c r="D17" s="25" t="s">
        <v>1122</v>
      </c>
      <c r="E17" s="160">
        <v>32</v>
      </c>
      <c r="F17" s="134">
        <v>78.099999999999994</v>
      </c>
      <c r="G17" s="50">
        <f t="shared" si="2"/>
        <v>2499.1999999999998</v>
      </c>
      <c r="H17" s="103"/>
      <c r="I17" s="141"/>
      <c r="J17" s="104"/>
      <c r="K17" s="103"/>
      <c r="L17" s="103">
        <v>2</v>
      </c>
      <c r="M17" s="141">
        <f t="shared" si="0"/>
        <v>30</v>
      </c>
      <c r="N17" s="103"/>
      <c r="O17" s="103" t="s">
        <v>946</v>
      </c>
      <c r="P17" s="137">
        <f t="shared" si="1"/>
        <v>2343</v>
      </c>
    </row>
    <row r="18" spans="1:16" s="8" customFormat="1" ht="15.75" x14ac:dyDescent="0.25">
      <c r="A18" s="106" t="s">
        <v>16</v>
      </c>
      <c r="B18" s="102" t="s">
        <v>107</v>
      </c>
      <c r="C18" s="25" t="s">
        <v>540</v>
      </c>
      <c r="D18" s="25" t="s">
        <v>1122</v>
      </c>
      <c r="E18" s="160">
        <v>131</v>
      </c>
      <c r="F18" s="134">
        <v>5.17</v>
      </c>
      <c r="G18" s="50">
        <f t="shared" si="2"/>
        <v>677.27</v>
      </c>
      <c r="H18" s="103"/>
      <c r="I18" s="141"/>
      <c r="J18" s="104"/>
      <c r="K18" s="103"/>
      <c r="L18" s="103"/>
      <c r="M18" s="141">
        <f t="shared" si="0"/>
        <v>131</v>
      </c>
      <c r="N18" s="103"/>
      <c r="O18" s="103" t="s">
        <v>946</v>
      </c>
      <c r="P18" s="137">
        <f t="shared" si="1"/>
        <v>677.27</v>
      </c>
    </row>
    <row r="19" spans="1:16" s="8" customFormat="1" ht="15.75" x14ac:dyDescent="0.25">
      <c r="A19" s="106" t="s">
        <v>17</v>
      </c>
      <c r="B19" s="102" t="s">
        <v>107</v>
      </c>
      <c r="C19" s="25" t="s">
        <v>541</v>
      </c>
      <c r="D19" s="25" t="s">
        <v>1122</v>
      </c>
      <c r="E19" s="160">
        <v>10</v>
      </c>
      <c r="F19" s="171">
        <v>15</v>
      </c>
      <c r="G19" s="50">
        <f t="shared" si="2"/>
        <v>150</v>
      </c>
      <c r="H19" s="103"/>
      <c r="I19" s="141"/>
      <c r="J19" s="104"/>
      <c r="K19" s="103"/>
      <c r="L19" s="103"/>
      <c r="M19" s="141">
        <f t="shared" si="0"/>
        <v>10</v>
      </c>
      <c r="N19" s="103"/>
      <c r="O19" s="103" t="s">
        <v>946</v>
      </c>
      <c r="P19" s="137">
        <f t="shared" si="1"/>
        <v>150</v>
      </c>
    </row>
    <row r="20" spans="1:16" s="8" customFormat="1" ht="15.75" x14ac:dyDescent="0.25">
      <c r="A20" s="106" t="s">
        <v>18</v>
      </c>
      <c r="B20" s="102">
        <v>44193</v>
      </c>
      <c r="C20" s="25" t="s">
        <v>542</v>
      </c>
      <c r="D20" s="25" t="s">
        <v>1122</v>
      </c>
      <c r="E20" s="161">
        <f>4+7+1</f>
        <v>12</v>
      </c>
      <c r="F20" s="134">
        <v>15</v>
      </c>
      <c r="G20" s="50">
        <f t="shared" si="2"/>
        <v>180</v>
      </c>
      <c r="H20" s="103"/>
      <c r="I20" s="141"/>
      <c r="J20" s="104"/>
      <c r="K20" s="103"/>
      <c r="L20" s="103"/>
      <c r="M20" s="141">
        <f t="shared" si="0"/>
        <v>12</v>
      </c>
      <c r="N20" s="103"/>
      <c r="O20" s="103" t="s">
        <v>946</v>
      </c>
      <c r="P20" s="137">
        <f t="shared" si="1"/>
        <v>180</v>
      </c>
    </row>
    <row r="21" spans="1:16" s="8" customFormat="1" ht="15.75" x14ac:dyDescent="0.25">
      <c r="A21" s="106" t="s">
        <v>19</v>
      </c>
      <c r="B21" s="102">
        <v>44193</v>
      </c>
      <c r="C21" s="25" t="s">
        <v>543</v>
      </c>
      <c r="D21" s="25" t="s">
        <v>1122</v>
      </c>
      <c r="E21" s="161">
        <v>8</v>
      </c>
      <c r="F21" s="134">
        <v>15</v>
      </c>
      <c r="G21" s="50">
        <f t="shared" si="2"/>
        <v>120</v>
      </c>
      <c r="H21" s="103"/>
      <c r="I21" s="141"/>
      <c r="J21" s="104"/>
      <c r="K21" s="103"/>
      <c r="L21" s="103"/>
      <c r="M21" s="141">
        <f t="shared" si="0"/>
        <v>8</v>
      </c>
      <c r="N21" s="103"/>
      <c r="O21" s="103" t="s">
        <v>946</v>
      </c>
      <c r="P21" s="137">
        <f t="shared" si="1"/>
        <v>120</v>
      </c>
    </row>
    <row r="22" spans="1:16" s="8" customFormat="1" ht="15.75" x14ac:dyDescent="0.25">
      <c r="A22" s="106" t="s">
        <v>20</v>
      </c>
      <c r="B22" s="102">
        <v>44193</v>
      </c>
      <c r="C22" s="25" t="s">
        <v>835</v>
      </c>
      <c r="D22" s="25" t="s">
        <v>1122</v>
      </c>
      <c r="E22" s="161">
        <v>1</v>
      </c>
      <c r="F22" s="134">
        <v>15</v>
      </c>
      <c r="G22" s="50">
        <f t="shared" si="2"/>
        <v>15</v>
      </c>
      <c r="H22" s="103"/>
      <c r="I22" s="141"/>
      <c r="J22" s="104"/>
      <c r="K22" s="103"/>
      <c r="L22" s="103"/>
      <c r="M22" s="141">
        <f t="shared" si="0"/>
        <v>1</v>
      </c>
      <c r="N22" s="103"/>
      <c r="O22" s="103" t="s">
        <v>946</v>
      </c>
      <c r="P22" s="137">
        <f t="shared" si="1"/>
        <v>15</v>
      </c>
    </row>
    <row r="23" spans="1:16" s="8" customFormat="1" ht="15.75" x14ac:dyDescent="0.25">
      <c r="A23" s="106" t="s">
        <v>21</v>
      </c>
      <c r="B23" s="102" t="s">
        <v>107</v>
      </c>
      <c r="C23" s="25" t="s">
        <v>544</v>
      </c>
      <c r="D23" s="25" t="s">
        <v>1122</v>
      </c>
      <c r="E23" s="161">
        <v>32</v>
      </c>
      <c r="F23" s="171">
        <v>15</v>
      </c>
      <c r="G23" s="50">
        <f t="shared" si="2"/>
        <v>480</v>
      </c>
      <c r="H23" s="103"/>
      <c r="I23" s="141"/>
      <c r="J23" s="104"/>
      <c r="K23" s="103"/>
      <c r="L23" s="103"/>
      <c r="M23" s="141">
        <f t="shared" si="0"/>
        <v>32</v>
      </c>
      <c r="N23" s="103"/>
      <c r="O23" s="103" t="s">
        <v>946</v>
      </c>
      <c r="P23" s="137">
        <f t="shared" si="1"/>
        <v>480</v>
      </c>
    </row>
    <row r="24" spans="1:16" s="8" customFormat="1" ht="15.75" x14ac:dyDescent="0.25">
      <c r="A24" s="106" t="s">
        <v>23</v>
      </c>
      <c r="B24" s="102">
        <v>45020</v>
      </c>
      <c r="C24" s="25" t="s">
        <v>1167</v>
      </c>
      <c r="D24" s="25" t="s">
        <v>1122</v>
      </c>
      <c r="E24" s="161">
        <v>20</v>
      </c>
      <c r="F24" s="171">
        <v>804.76</v>
      </c>
      <c r="G24" s="50">
        <f t="shared" si="2"/>
        <v>16095.2</v>
      </c>
      <c r="H24" s="103"/>
      <c r="I24" s="141"/>
      <c r="J24" s="104"/>
      <c r="K24" s="103"/>
      <c r="L24" s="103">
        <f>1+3+3+3</f>
        <v>10</v>
      </c>
      <c r="M24" s="141">
        <f t="shared" si="0"/>
        <v>10</v>
      </c>
      <c r="N24" s="103"/>
      <c r="O24" s="103" t="s">
        <v>946</v>
      </c>
      <c r="P24" s="137">
        <f>+F24*M24</f>
        <v>8047.6</v>
      </c>
    </row>
    <row r="25" spans="1:16" s="8" customFormat="1" ht="15.75" x14ac:dyDescent="0.25">
      <c r="A25" s="106" t="s">
        <v>24</v>
      </c>
      <c r="B25" s="102">
        <v>44193</v>
      </c>
      <c r="C25" s="25" t="s">
        <v>809</v>
      </c>
      <c r="D25" s="25" t="s">
        <v>1122</v>
      </c>
      <c r="E25" s="161">
        <v>12</v>
      </c>
      <c r="F25" s="171"/>
      <c r="G25" s="50">
        <f t="shared" si="2"/>
        <v>0</v>
      </c>
      <c r="H25" s="103"/>
      <c r="I25" s="141"/>
      <c r="J25" s="104"/>
      <c r="K25" s="103"/>
      <c r="L25" s="103"/>
      <c r="M25" s="141">
        <f t="shared" si="0"/>
        <v>12</v>
      </c>
      <c r="N25" s="103"/>
      <c r="O25" s="103" t="s">
        <v>946</v>
      </c>
      <c r="P25" s="137">
        <f t="shared" ref="P25:P88" si="3">+F25*M25</f>
        <v>0</v>
      </c>
    </row>
    <row r="26" spans="1:16" s="92" customFormat="1" x14ac:dyDescent="0.3">
      <c r="A26" s="106" t="s">
        <v>110</v>
      </c>
      <c r="B26" s="102">
        <v>44193</v>
      </c>
      <c r="C26" s="9" t="s">
        <v>545</v>
      </c>
      <c r="D26" s="25" t="s">
        <v>1122</v>
      </c>
      <c r="E26" s="163">
        <v>10</v>
      </c>
      <c r="F26" s="134">
        <v>225</v>
      </c>
      <c r="G26" s="50">
        <f>E26*F26</f>
        <v>2250</v>
      </c>
      <c r="H26" s="103"/>
      <c r="I26" s="141"/>
      <c r="J26" s="104"/>
      <c r="K26" s="103"/>
      <c r="L26" s="103"/>
      <c r="M26" s="141">
        <f t="shared" si="0"/>
        <v>10</v>
      </c>
      <c r="N26" s="103"/>
      <c r="O26" s="103" t="s">
        <v>947</v>
      </c>
      <c r="P26" s="137">
        <f t="shared" si="3"/>
        <v>2250</v>
      </c>
    </row>
    <row r="27" spans="1:16" s="193" customFormat="1" ht="15.75" x14ac:dyDescent="0.25">
      <c r="A27" s="181" t="s">
        <v>125</v>
      </c>
      <c r="B27" s="182">
        <v>44193</v>
      </c>
      <c r="C27" s="183" t="s">
        <v>546</v>
      </c>
      <c r="D27" s="183" t="s">
        <v>1122</v>
      </c>
      <c r="E27" s="184">
        <v>0</v>
      </c>
      <c r="F27" s="185">
        <v>236</v>
      </c>
      <c r="G27" s="186">
        <f>E27*F27</f>
        <v>0</v>
      </c>
      <c r="H27" s="194">
        <v>45127</v>
      </c>
      <c r="I27" s="190">
        <v>10</v>
      </c>
      <c r="J27" s="189"/>
      <c r="K27" s="190"/>
      <c r="L27" s="190"/>
      <c r="M27" s="190">
        <f t="shared" si="0"/>
        <v>10</v>
      </c>
      <c r="N27" s="190"/>
      <c r="O27" s="190" t="s">
        <v>946</v>
      </c>
      <c r="P27" s="189">
        <f t="shared" si="3"/>
        <v>2360</v>
      </c>
    </row>
    <row r="28" spans="1:16" s="92" customFormat="1" x14ac:dyDescent="0.3">
      <c r="A28" s="106" t="s">
        <v>25</v>
      </c>
      <c r="B28" s="102">
        <v>44193</v>
      </c>
      <c r="C28" s="25" t="s">
        <v>547</v>
      </c>
      <c r="D28" s="25" t="s">
        <v>1122</v>
      </c>
      <c r="E28" s="161">
        <v>4</v>
      </c>
      <c r="F28" s="134">
        <v>470</v>
      </c>
      <c r="G28" s="50">
        <f>E28*F28</f>
        <v>1880</v>
      </c>
      <c r="H28" s="103"/>
      <c r="I28" s="141"/>
      <c r="J28" s="104"/>
      <c r="K28" s="103"/>
      <c r="L28" s="103"/>
      <c r="M28" s="141">
        <f t="shared" si="0"/>
        <v>4</v>
      </c>
      <c r="N28" s="103"/>
      <c r="O28" s="103" t="s">
        <v>945</v>
      </c>
      <c r="P28" s="137">
        <f t="shared" si="3"/>
        <v>1880</v>
      </c>
    </row>
    <row r="29" spans="1:16" s="8" customFormat="1" ht="15.75" x14ac:dyDescent="0.25">
      <c r="A29" s="106" t="s">
        <v>126</v>
      </c>
      <c r="B29" s="102" t="s">
        <v>107</v>
      </c>
      <c r="C29" s="25" t="s">
        <v>807</v>
      </c>
      <c r="D29" s="25" t="s">
        <v>1122</v>
      </c>
      <c r="E29" s="161">
        <v>70</v>
      </c>
      <c r="F29" s="134">
        <v>16.46</v>
      </c>
      <c r="G29" s="50">
        <f>+E29*F29</f>
        <v>1152.2</v>
      </c>
      <c r="H29" s="103"/>
      <c r="I29" s="141"/>
      <c r="J29" s="104"/>
      <c r="K29" s="103"/>
      <c r="L29" s="103"/>
      <c r="M29" s="141">
        <f t="shared" si="0"/>
        <v>70</v>
      </c>
      <c r="N29" s="103"/>
      <c r="O29" s="103" t="s">
        <v>946</v>
      </c>
      <c r="P29" s="137">
        <f t="shared" si="3"/>
        <v>1152.2</v>
      </c>
    </row>
    <row r="30" spans="1:16" s="8" customFormat="1" ht="15.75" x14ac:dyDescent="0.25">
      <c r="A30" s="106" t="s">
        <v>26</v>
      </c>
      <c r="B30" s="102" t="s">
        <v>107</v>
      </c>
      <c r="C30" s="25" t="s">
        <v>549</v>
      </c>
      <c r="D30" s="25" t="s">
        <v>1122</v>
      </c>
      <c r="E30" s="161">
        <v>0</v>
      </c>
      <c r="F30" s="171">
        <v>6.4</v>
      </c>
      <c r="G30" s="50">
        <f>E30*F30</f>
        <v>0</v>
      </c>
      <c r="H30" s="103"/>
      <c r="I30" s="141"/>
      <c r="J30" s="104"/>
      <c r="K30" s="103"/>
      <c r="L30" s="103"/>
      <c r="M30" s="141">
        <f t="shared" si="0"/>
        <v>0</v>
      </c>
      <c r="N30" s="103"/>
      <c r="O30" s="103" t="s">
        <v>946</v>
      </c>
      <c r="P30" s="137">
        <f t="shared" si="3"/>
        <v>0</v>
      </c>
    </row>
    <row r="31" spans="1:16" s="8" customFormat="1" ht="15.75" x14ac:dyDescent="0.25">
      <c r="A31" s="106" t="s">
        <v>27</v>
      </c>
      <c r="B31" s="102">
        <v>44193</v>
      </c>
      <c r="C31" s="25" t="s">
        <v>550</v>
      </c>
      <c r="D31" s="25" t="s">
        <v>1122</v>
      </c>
      <c r="E31" s="161">
        <v>0</v>
      </c>
      <c r="F31" s="134">
        <v>105.93</v>
      </c>
      <c r="G31" s="50">
        <f>E31*F31</f>
        <v>0</v>
      </c>
      <c r="H31" s="103"/>
      <c r="I31" s="141"/>
      <c r="J31" s="104"/>
      <c r="K31" s="103"/>
      <c r="L31" s="103"/>
      <c r="M31" s="141">
        <f t="shared" si="0"/>
        <v>0</v>
      </c>
      <c r="N31" s="103"/>
      <c r="O31" s="103" t="s">
        <v>946</v>
      </c>
      <c r="P31" s="137">
        <f t="shared" si="3"/>
        <v>0</v>
      </c>
    </row>
    <row r="32" spans="1:16" s="8" customFormat="1" ht="15.75" x14ac:dyDescent="0.25">
      <c r="A32" s="106" t="s">
        <v>28</v>
      </c>
      <c r="B32" s="102">
        <v>44193</v>
      </c>
      <c r="C32" s="25" t="s">
        <v>806</v>
      </c>
      <c r="D32" s="25" t="s">
        <v>1122</v>
      </c>
      <c r="E32" s="162">
        <v>2</v>
      </c>
      <c r="F32" s="134">
        <v>160</v>
      </c>
      <c r="G32" s="50">
        <f>E32*F32</f>
        <v>320</v>
      </c>
      <c r="H32" s="103"/>
      <c r="I32" s="141"/>
      <c r="J32" s="104"/>
      <c r="K32" s="103"/>
      <c r="L32" s="103">
        <v>1</v>
      </c>
      <c r="M32" s="141">
        <f t="shared" si="0"/>
        <v>1</v>
      </c>
      <c r="N32" s="103"/>
      <c r="O32" s="103" t="s">
        <v>946</v>
      </c>
      <c r="P32" s="137">
        <f t="shared" si="3"/>
        <v>160</v>
      </c>
    </row>
    <row r="33" spans="1:16" s="92" customFormat="1" x14ac:dyDescent="0.3">
      <c r="A33" s="106" t="s">
        <v>127</v>
      </c>
      <c r="B33" s="102">
        <v>44449</v>
      </c>
      <c r="C33" s="25" t="s">
        <v>551</v>
      </c>
      <c r="D33" s="25" t="s">
        <v>1122</v>
      </c>
      <c r="E33" s="161">
        <v>9</v>
      </c>
      <c r="F33" s="134">
        <v>600</v>
      </c>
      <c r="G33" s="50">
        <f t="shared" ref="G33:G61" si="4">E33*F33</f>
        <v>5400</v>
      </c>
      <c r="H33" s="103"/>
      <c r="I33" s="141"/>
      <c r="J33" s="104"/>
      <c r="K33" s="103"/>
      <c r="L33" s="103">
        <v>1</v>
      </c>
      <c r="M33" s="141">
        <f t="shared" si="0"/>
        <v>8</v>
      </c>
      <c r="N33" s="103"/>
      <c r="O33" s="103" t="s">
        <v>945</v>
      </c>
      <c r="P33" s="137">
        <f t="shared" si="3"/>
        <v>4800</v>
      </c>
    </row>
    <row r="34" spans="1:16" s="8" customFormat="1" ht="15.75" x14ac:dyDescent="0.25">
      <c r="A34" s="106" t="s">
        <v>29</v>
      </c>
      <c r="B34" s="102">
        <v>44193</v>
      </c>
      <c r="C34" s="9" t="s">
        <v>552</v>
      </c>
      <c r="D34" s="25" t="s">
        <v>1122</v>
      </c>
      <c r="E34" s="161">
        <f>20+23</f>
        <v>43</v>
      </c>
      <c r="F34" s="134">
        <v>200</v>
      </c>
      <c r="G34" s="50">
        <f t="shared" si="4"/>
        <v>8600</v>
      </c>
      <c r="H34" s="103"/>
      <c r="I34" s="141"/>
      <c r="J34" s="104"/>
      <c r="K34" s="103"/>
      <c r="L34" s="103"/>
      <c r="M34" s="141">
        <f t="shared" si="0"/>
        <v>43</v>
      </c>
      <c r="N34" s="103"/>
      <c r="O34" s="103" t="s">
        <v>947</v>
      </c>
      <c r="P34" s="137">
        <f t="shared" si="3"/>
        <v>8600</v>
      </c>
    </row>
    <row r="35" spans="1:16" s="8" customFormat="1" ht="15.75" x14ac:dyDescent="0.25">
      <c r="A35" s="106" t="s">
        <v>30</v>
      </c>
      <c r="B35" s="102">
        <v>44193</v>
      </c>
      <c r="C35" s="9" t="s">
        <v>553</v>
      </c>
      <c r="D35" s="25" t="s">
        <v>1122</v>
      </c>
      <c r="E35" s="161">
        <v>9</v>
      </c>
      <c r="F35" s="134">
        <v>200</v>
      </c>
      <c r="G35" s="50">
        <f t="shared" si="4"/>
        <v>1800</v>
      </c>
      <c r="H35" s="103"/>
      <c r="I35" s="141"/>
      <c r="J35" s="104"/>
      <c r="K35" s="103"/>
      <c r="L35" s="103"/>
      <c r="M35" s="141">
        <f t="shared" si="0"/>
        <v>9</v>
      </c>
      <c r="N35" s="103"/>
      <c r="O35" s="103" t="s">
        <v>947</v>
      </c>
      <c r="P35" s="137">
        <f t="shared" si="3"/>
        <v>1800</v>
      </c>
    </row>
    <row r="36" spans="1:16" s="92" customFormat="1" x14ac:dyDescent="0.3">
      <c r="A36" s="106" t="s">
        <v>99</v>
      </c>
      <c r="B36" s="102">
        <v>44193</v>
      </c>
      <c r="C36" s="25" t="s">
        <v>548</v>
      </c>
      <c r="D36" s="25" t="s">
        <v>1122</v>
      </c>
      <c r="E36" s="161">
        <v>36</v>
      </c>
      <c r="F36" s="134">
        <v>75</v>
      </c>
      <c r="G36" s="50">
        <f t="shared" si="4"/>
        <v>2700</v>
      </c>
      <c r="H36" s="103"/>
      <c r="I36" s="141"/>
      <c r="J36" s="134"/>
      <c r="K36" s="108"/>
      <c r="L36" s="103">
        <v>36</v>
      </c>
      <c r="M36" s="141">
        <f t="shared" si="0"/>
        <v>0</v>
      </c>
      <c r="N36" s="103"/>
      <c r="O36" s="103" t="s">
        <v>945</v>
      </c>
      <c r="P36" s="137">
        <f>+F36*M36</f>
        <v>0</v>
      </c>
    </row>
    <row r="37" spans="1:16" s="8" customFormat="1" ht="15.75" x14ac:dyDescent="0.25">
      <c r="A37" s="106" t="s">
        <v>31</v>
      </c>
      <c r="B37" s="102">
        <v>44193</v>
      </c>
      <c r="C37" s="25" t="s">
        <v>554</v>
      </c>
      <c r="D37" s="25" t="s">
        <v>1122</v>
      </c>
      <c r="E37" s="161">
        <v>0</v>
      </c>
      <c r="F37" s="134">
        <v>4.24</v>
      </c>
      <c r="G37" s="50">
        <f t="shared" si="4"/>
        <v>0</v>
      </c>
      <c r="H37" s="103"/>
      <c r="I37" s="141"/>
      <c r="J37" s="104"/>
      <c r="K37" s="103"/>
      <c r="L37" s="103"/>
      <c r="M37" s="141">
        <f t="shared" si="0"/>
        <v>0</v>
      </c>
      <c r="N37" s="103"/>
      <c r="O37" s="103" t="s">
        <v>946</v>
      </c>
      <c r="P37" s="137">
        <f>+F37*M37</f>
        <v>0</v>
      </c>
    </row>
    <row r="38" spans="1:16" s="8" customFormat="1" ht="15.75" x14ac:dyDescent="0.25">
      <c r="A38" s="106" t="s">
        <v>32</v>
      </c>
      <c r="B38" s="102">
        <v>44193</v>
      </c>
      <c r="C38" s="25" t="s">
        <v>555</v>
      </c>
      <c r="D38" s="25" t="s">
        <v>1122</v>
      </c>
      <c r="E38" s="161">
        <v>0</v>
      </c>
      <c r="F38" s="134">
        <v>3.39</v>
      </c>
      <c r="G38" s="50">
        <f t="shared" si="4"/>
        <v>0</v>
      </c>
      <c r="H38" s="103"/>
      <c r="I38" s="141"/>
      <c r="J38" s="104"/>
      <c r="K38" s="103"/>
      <c r="L38" s="103"/>
      <c r="M38" s="141">
        <f t="shared" si="0"/>
        <v>0</v>
      </c>
      <c r="N38" s="103"/>
      <c r="O38" s="103" t="s">
        <v>946</v>
      </c>
      <c r="P38" s="137">
        <f t="shared" si="3"/>
        <v>0</v>
      </c>
    </row>
    <row r="39" spans="1:16" s="8" customFormat="1" ht="15.75" x14ac:dyDescent="0.25">
      <c r="A39" s="106" t="s">
        <v>33</v>
      </c>
      <c r="B39" s="102">
        <v>44193</v>
      </c>
      <c r="C39" s="9" t="s">
        <v>556</v>
      </c>
      <c r="D39" s="25" t="s">
        <v>1122</v>
      </c>
      <c r="E39" s="161">
        <v>23</v>
      </c>
      <c r="F39" s="134">
        <v>1625</v>
      </c>
      <c r="G39" s="50">
        <f t="shared" si="4"/>
        <v>37375</v>
      </c>
      <c r="H39" s="103"/>
      <c r="I39" s="141"/>
      <c r="J39" s="104"/>
      <c r="K39" s="103"/>
      <c r="L39" s="103"/>
      <c r="M39" s="141">
        <f t="shared" si="0"/>
        <v>23</v>
      </c>
      <c r="N39" s="103"/>
      <c r="O39" s="103" t="s">
        <v>946</v>
      </c>
      <c r="P39" s="137">
        <f t="shared" si="3"/>
        <v>37375</v>
      </c>
    </row>
    <row r="40" spans="1:16" s="8" customFormat="1" ht="15.75" x14ac:dyDescent="0.25">
      <c r="A40" s="106" t="s">
        <v>34</v>
      </c>
      <c r="B40" s="102">
        <v>44193</v>
      </c>
      <c r="C40" s="9" t="s">
        <v>557</v>
      </c>
      <c r="D40" s="25" t="s">
        <v>1122</v>
      </c>
      <c r="E40" s="161">
        <v>0</v>
      </c>
      <c r="F40" s="134">
        <v>1625</v>
      </c>
      <c r="G40" s="50">
        <f t="shared" si="4"/>
        <v>0</v>
      </c>
      <c r="H40" s="103"/>
      <c r="I40" s="141"/>
      <c r="J40" s="104"/>
      <c r="K40" s="103"/>
      <c r="L40" s="103"/>
      <c r="M40" s="141">
        <f t="shared" si="0"/>
        <v>0</v>
      </c>
      <c r="N40" s="103"/>
      <c r="O40" s="103" t="s">
        <v>946</v>
      </c>
      <c r="P40" s="137">
        <f t="shared" si="3"/>
        <v>0</v>
      </c>
    </row>
    <row r="41" spans="1:16" s="105" customFormat="1" ht="15.75" x14ac:dyDescent="0.25">
      <c r="A41" s="106" t="s">
        <v>111</v>
      </c>
      <c r="B41" s="129">
        <v>44852</v>
      </c>
      <c r="C41" s="9" t="s">
        <v>558</v>
      </c>
      <c r="D41" s="25" t="s">
        <v>1122</v>
      </c>
      <c r="E41" s="161">
        <v>10</v>
      </c>
      <c r="F41" s="134">
        <v>26</v>
      </c>
      <c r="G41" s="50">
        <f t="shared" si="4"/>
        <v>260</v>
      </c>
      <c r="H41" s="107">
        <v>44852</v>
      </c>
      <c r="I41" s="141">
        <v>10</v>
      </c>
      <c r="J41" s="104">
        <v>26</v>
      </c>
      <c r="K41" s="108">
        <f>+I41*J41</f>
        <v>260</v>
      </c>
      <c r="L41" s="103">
        <v>1</v>
      </c>
      <c r="M41" s="141">
        <f t="shared" si="0"/>
        <v>19</v>
      </c>
      <c r="N41" s="103"/>
      <c r="O41" s="103" t="s">
        <v>947</v>
      </c>
      <c r="P41" s="137">
        <f>+F41*M41</f>
        <v>494</v>
      </c>
    </row>
    <row r="42" spans="1:16" s="8" customFormat="1" ht="15.75" x14ac:dyDescent="0.25">
      <c r="A42" s="106" t="s">
        <v>128</v>
      </c>
      <c r="B42" s="102">
        <v>44488</v>
      </c>
      <c r="C42" s="25" t="s">
        <v>560</v>
      </c>
      <c r="D42" s="25" t="s">
        <v>1122</v>
      </c>
      <c r="E42" s="164">
        <v>13</v>
      </c>
      <c r="F42" s="134">
        <v>40</v>
      </c>
      <c r="G42" s="50">
        <f t="shared" si="4"/>
        <v>520</v>
      </c>
      <c r="H42" s="103"/>
      <c r="I42" s="141"/>
      <c r="J42" s="104"/>
      <c r="K42" s="103"/>
      <c r="L42" s="103"/>
      <c r="M42" s="141">
        <f t="shared" si="0"/>
        <v>13</v>
      </c>
      <c r="N42" s="103"/>
      <c r="O42" s="103" t="s">
        <v>946</v>
      </c>
      <c r="P42" s="137">
        <f t="shared" si="3"/>
        <v>520</v>
      </c>
    </row>
    <row r="43" spans="1:16" s="8" customFormat="1" ht="15.75" x14ac:dyDescent="0.25">
      <c r="A43" s="106" t="s">
        <v>129</v>
      </c>
      <c r="B43" s="102">
        <v>44193</v>
      </c>
      <c r="C43" s="9" t="s">
        <v>772</v>
      </c>
      <c r="D43" s="25" t="s">
        <v>1122</v>
      </c>
      <c r="E43" s="161">
        <v>23</v>
      </c>
      <c r="F43" s="134">
        <v>2.4</v>
      </c>
      <c r="G43" s="50">
        <f t="shared" si="4"/>
        <v>55.199999999999996</v>
      </c>
      <c r="H43" s="103"/>
      <c r="I43" s="141"/>
      <c r="J43" s="104"/>
      <c r="K43" s="103"/>
      <c r="L43" s="103">
        <f>12+2</f>
        <v>14</v>
      </c>
      <c r="M43" s="141">
        <f t="shared" si="0"/>
        <v>9</v>
      </c>
      <c r="N43" s="103"/>
      <c r="O43" s="103" t="s">
        <v>947</v>
      </c>
      <c r="P43" s="137">
        <f t="shared" si="3"/>
        <v>21.599999999999998</v>
      </c>
    </row>
    <row r="44" spans="1:16" s="8" customFormat="1" ht="15.75" x14ac:dyDescent="0.25">
      <c r="A44" s="106" t="s">
        <v>130</v>
      </c>
      <c r="B44" s="102">
        <v>44193</v>
      </c>
      <c r="C44" s="25" t="s">
        <v>562</v>
      </c>
      <c r="D44" s="25" t="s">
        <v>1122</v>
      </c>
      <c r="E44" s="165">
        <v>0</v>
      </c>
      <c r="F44" s="134">
        <v>700</v>
      </c>
      <c r="G44" s="50">
        <f t="shared" si="4"/>
        <v>0</v>
      </c>
      <c r="H44" s="103"/>
      <c r="I44" s="141"/>
      <c r="J44" s="104"/>
      <c r="K44" s="103"/>
      <c r="L44" s="103"/>
      <c r="M44" s="141">
        <f t="shared" si="0"/>
        <v>0</v>
      </c>
      <c r="N44" s="103"/>
      <c r="O44" s="103" t="s">
        <v>946</v>
      </c>
      <c r="P44" s="137">
        <f t="shared" si="3"/>
        <v>0</v>
      </c>
    </row>
    <row r="45" spans="1:16" s="8" customFormat="1" ht="15.75" x14ac:dyDescent="0.25">
      <c r="A45" s="106" t="s">
        <v>35</v>
      </c>
      <c r="B45" s="102">
        <v>44193</v>
      </c>
      <c r="C45" s="9" t="s">
        <v>563</v>
      </c>
      <c r="D45" s="25" t="s">
        <v>1122</v>
      </c>
      <c r="E45" s="161">
        <v>1</v>
      </c>
      <c r="F45" s="134">
        <v>35</v>
      </c>
      <c r="G45" s="50">
        <f t="shared" si="4"/>
        <v>35</v>
      </c>
      <c r="H45" s="103"/>
      <c r="I45" s="141"/>
      <c r="J45" s="104"/>
      <c r="K45" s="103"/>
      <c r="L45" s="103"/>
      <c r="M45" s="141">
        <f t="shared" si="0"/>
        <v>1</v>
      </c>
      <c r="N45" s="103"/>
      <c r="O45" s="103" t="s">
        <v>947</v>
      </c>
      <c r="P45" s="137">
        <f t="shared" si="3"/>
        <v>35</v>
      </c>
    </row>
    <row r="46" spans="1:16" s="92" customFormat="1" x14ac:dyDescent="0.3">
      <c r="A46" s="106" t="s">
        <v>36</v>
      </c>
      <c r="B46" s="102">
        <v>44193</v>
      </c>
      <c r="C46" s="9" t="s">
        <v>564</v>
      </c>
      <c r="D46" s="25" t="s">
        <v>1122</v>
      </c>
      <c r="E46" s="161">
        <v>0</v>
      </c>
      <c r="F46" s="134">
        <v>2719</v>
      </c>
      <c r="G46" s="50">
        <f t="shared" si="4"/>
        <v>0</v>
      </c>
      <c r="H46" s="103"/>
      <c r="I46" s="141"/>
      <c r="J46" s="104"/>
      <c r="K46" s="103"/>
      <c r="L46" s="103"/>
      <c r="M46" s="141">
        <f t="shared" si="0"/>
        <v>0</v>
      </c>
      <c r="N46" s="103"/>
      <c r="O46" s="103" t="s">
        <v>945</v>
      </c>
      <c r="P46" s="137">
        <f t="shared" si="3"/>
        <v>0</v>
      </c>
    </row>
    <row r="47" spans="1:16" s="8" customFormat="1" ht="15.75" x14ac:dyDescent="0.25">
      <c r="A47" s="106" t="s">
        <v>37</v>
      </c>
      <c r="B47" s="102">
        <v>44193</v>
      </c>
      <c r="C47" s="25" t="s">
        <v>797</v>
      </c>
      <c r="D47" s="25" t="s">
        <v>1122</v>
      </c>
      <c r="E47" s="161">
        <v>2</v>
      </c>
      <c r="F47" s="134">
        <v>600</v>
      </c>
      <c r="G47" s="50">
        <f t="shared" si="4"/>
        <v>1200</v>
      </c>
      <c r="H47" s="103"/>
      <c r="I47" s="141"/>
      <c r="J47" s="104"/>
      <c r="K47" s="103"/>
      <c r="L47" s="103"/>
      <c r="M47" s="141">
        <f t="shared" si="0"/>
        <v>2</v>
      </c>
      <c r="N47" s="103"/>
      <c r="O47" s="103" t="s">
        <v>946</v>
      </c>
      <c r="P47" s="137">
        <f t="shared" si="3"/>
        <v>1200</v>
      </c>
    </row>
    <row r="48" spans="1:16" s="8" customFormat="1" ht="15.75" x14ac:dyDescent="0.25">
      <c r="A48" s="106" t="s">
        <v>38</v>
      </c>
      <c r="B48" s="102">
        <v>44678</v>
      </c>
      <c r="C48" s="25" t="s">
        <v>565</v>
      </c>
      <c r="D48" s="25" t="s">
        <v>1122</v>
      </c>
      <c r="E48" s="165">
        <v>5</v>
      </c>
      <c r="F48" s="134">
        <v>1400</v>
      </c>
      <c r="G48" s="50">
        <f t="shared" si="4"/>
        <v>7000</v>
      </c>
      <c r="H48" s="103"/>
      <c r="I48" s="141"/>
      <c r="J48" s="104"/>
      <c r="K48" s="103"/>
      <c r="L48" s="103"/>
      <c r="M48" s="141">
        <f t="shared" si="0"/>
        <v>5</v>
      </c>
      <c r="N48" s="103"/>
      <c r="O48" s="103" t="s">
        <v>946</v>
      </c>
      <c r="P48" s="137">
        <f t="shared" si="3"/>
        <v>7000</v>
      </c>
    </row>
    <row r="49" spans="1:16" s="8" customFormat="1" ht="15.75" x14ac:dyDescent="0.25">
      <c r="A49" s="106" t="s">
        <v>131</v>
      </c>
      <c r="B49" s="102">
        <v>44678</v>
      </c>
      <c r="C49" s="25" t="s">
        <v>567</v>
      </c>
      <c r="D49" s="25" t="s">
        <v>1122</v>
      </c>
      <c r="E49" s="165">
        <v>10</v>
      </c>
      <c r="F49" s="134">
        <v>500</v>
      </c>
      <c r="G49" s="50">
        <f t="shared" si="4"/>
        <v>5000</v>
      </c>
      <c r="H49" s="103"/>
      <c r="I49" s="141"/>
      <c r="J49" s="104"/>
      <c r="K49" s="103"/>
      <c r="L49" s="103"/>
      <c r="M49" s="141">
        <f t="shared" si="0"/>
        <v>10</v>
      </c>
      <c r="N49" s="103"/>
      <c r="O49" s="103" t="s">
        <v>946</v>
      </c>
      <c r="P49" s="137">
        <f t="shared" si="3"/>
        <v>5000</v>
      </c>
    </row>
    <row r="50" spans="1:16" s="8" customFormat="1" ht="15.75" x14ac:dyDescent="0.25">
      <c r="A50" s="106" t="s">
        <v>39</v>
      </c>
      <c r="B50" s="102">
        <v>44678</v>
      </c>
      <c r="C50" s="25" t="s">
        <v>568</v>
      </c>
      <c r="D50" s="25" t="s">
        <v>1122</v>
      </c>
      <c r="E50" s="165">
        <v>6</v>
      </c>
      <c r="F50" s="134">
        <v>5000</v>
      </c>
      <c r="G50" s="50">
        <f t="shared" si="4"/>
        <v>30000</v>
      </c>
      <c r="H50" s="103"/>
      <c r="I50" s="141"/>
      <c r="J50" s="104"/>
      <c r="K50" s="103"/>
      <c r="L50" s="103"/>
      <c r="M50" s="141">
        <f t="shared" si="0"/>
        <v>6</v>
      </c>
      <c r="N50" s="103"/>
      <c r="O50" s="103" t="s">
        <v>946</v>
      </c>
      <c r="P50" s="137">
        <f t="shared" si="3"/>
        <v>30000</v>
      </c>
    </row>
    <row r="51" spans="1:16" s="8" customFormat="1" ht="15.75" x14ac:dyDescent="0.25">
      <c r="A51" s="106" t="s">
        <v>40</v>
      </c>
      <c r="B51" s="102">
        <v>44193</v>
      </c>
      <c r="C51" s="25" t="s">
        <v>803</v>
      </c>
      <c r="D51" s="25" t="s">
        <v>1122</v>
      </c>
      <c r="E51" s="165">
        <v>6</v>
      </c>
      <c r="F51" s="134">
        <v>2600</v>
      </c>
      <c r="G51" s="50">
        <f t="shared" si="4"/>
        <v>15600</v>
      </c>
      <c r="H51" s="103"/>
      <c r="I51" s="141"/>
      <c r="J51" s="104"/>
      <c r="K51" s="103"/>
      <c r="L51" s="103"/>
      <c r="M51" s="141">
        <f t="shared" si="0"/>
        <v>6</v>
      </c>
      <c r="N51" s="103"/>
      <c r="O51" s="103" t="s">
        <v>946</v>
      </c>
      <c r="P51" s="137">
        <f t="shared" si="3"/>
        <v>15600</v>
      </c>
    </row>
    <row r="52" spans="1:16" s="92" customFormat="1" x14ac:dyDescent="0.3">
      <c r="A52" s="106" t="s">
        <v>132</v>
      </c>
      <c r="B52" s="102">
        <v>44193</v>
      </c>
      <c r="C52" s="25" t="s">
        <v>773</v>
      </c>
      <c r="D52" s="25" t="s">
        <v>1122</v>
      </c>
      <c r="E52" s="160">
        <v>2</v>
      </c>
      <c r="F52" s="134">
        <v>325</v>
      </c>
      <c r="G52" s="50">
        <f t="shared" si="4"/>
        <v>650</v>
      </c>
      <c r="H52" s="103"/>
      <c r="I52" s="141"/>
      <c r="J52" s="104"/>
      <c r="K52" s="103"/>
      <c r="L52" s="103">
        <v>2</v>
      </c>
      <c r="M52" s="141">
        <f t="shared" si="0"/>
        <v>0</v>
      </c>
      <c r="N52" s="103"/>
      <c r="O52" s="103" t="s">
        <v>945</v>
      </c>
      <c r="P52" s="137">
        <f t="shared" si="3"/>
        <v>0</v>
      </c>
    </row>
    <row r="53" spans="1:16" s="92" customFormat="1" x14ac:dyDescent="0.3">
      <c r="A53" s="106" t="s">
        <v>41</v>
      </c>
      <c r="B53" s="102">
        <v>44193</v>
      </c>
      <c r="C53" s="25" t="s">
        <v>570</v>
      </c>
      <c r="D53" s="25" t="s">
        <v>1122</v>
      </c>
      <c r="E53" s="160">
        <f>(43*3)+1</f>
        <v>130</v>
      </c>
      <c r="F53" s="134">
        <v>25</v>
      </c>
      <c r="G53" s="50">
        <f t="shared" si="4"/>
        <v>3250</v>
      </c>
      <c r="H53" s="103"/>
      <c r="I53" s="141"/>
      <c r="J53" s="104"/>
      <c r="K53" s="103"/>
      <c r="L53" s="103">
        <f>1+3+1+5+1</f>
        <v>11</v>
      </c>
      <c r="M53" s="141">
        <f t="shared" si="0"/>
        <v>119</v>
      </c>
      <c r="N53" s="103"/>
      <c r="O53" s="103" t="s">
        <v>945</v>
      </c>
      <c r="P53" s="137">
        <f t="shared" si="3"/>
        <v>2975</v>
      </c>
    </row>
    <row r="54" spans="1:16" s="92" customFormat="1" x14ac:dyDescent="0.3">
      <c r="A54" s="106" t="s">
        <v>133</v>
      </c>
      <c r="B54" s="129">
        <v>45019</v>
      </c>
      <c r="C54" s="25" t="s">
        <v>1190</v>
      </c>
      <c r="D54" s="25" t="s">
        <v>1122</v>
      </c>
      <c r="E54" s="160">
        <v>276</v>
      </c>
      <c r="F54" s="134">
        <v>122.19</v>
      </c>
      <c r="G54" s="50">
        <f t="shared" si="4"/>
        <v>33724.44</v>
      </c>
      <c r="H54" s="107">
        <v>45019</v>
      </c>
      <c r="I54" s="141">
        <v>300</v>
      </c>
      <c r="J54" s="104">
        <v>122.19</v>
      </c>
      <c r="K54" s="104">
        <f>+I54*J54</f>
        <v>36657</v>
      </c>
      <c r="L54" s="103">
        <f>124+2+2+2+3+5+4</f>
        <v>142</v>
      </c>
      <c r="M54" s="151">
        <f t="shared" si="0"/>
        <v>434</v>
      </c>
      <c r="N54" s="103"/>
      <c r="O54" s="103" t="s">
        <v>945</v>
      </c>
      <c r="P54" s="137">
        <f t="shared" si="3"/>
        <v>53030.46</v>
      </c>
    </row>
    <row r="55" spans="1:16" s="8" customFormat="1" ht="15.75" x14ac:dyDescent="0.25">
      <c r="A55" s="106" t="s">
        <v>134</v>
      </c>
      <c r="B55" s="129">
        <v>44851</v>
      </c>
      <c r="C55" s="25" t="s">
        <v>572</v>
      </c>
      <c r="D55" s="25" t="s">
        <v>1122</v>
      </c>
      <c r="E55" s="165"/>
      <c r="F55" s="171">
        <v>107.97</v>
      </c>
      <c r="G55" s="50">
        <f t="shared" si="4"/>
        <v>0</v>
      </c>
      <c r="H55" s="107">
        <v>44851</v>
      </c>
      <c r="I55" s="141">
        <v>30</v>
      </c>
      <c r="J55" s="104">
        <v>107.97</v>
      </c>
      <c r="K55" s="104">
        <f>+I55*J55</f>
        <v>3239.1</v>
      </c>
      <c r="L55" s="103">
        <f>2+1+1</f>
        <v>4</v>
      </c>
      <c r="M55" s="141">
        <f t="shared" si="0"/>
        <v>26</v>
      </c>
      <c r="N55" s="103"/>
      <c r="O55" s="103" t="s">
        <v>946</v>
      </c>
      <c r="P55" s="137">
        <f>+F55*M55</f>
        <v>2807.22</v>
      </c>
    </row>
    <row r="56" spans="1:16" s="8" customFormat="1" ht="15.75" x14ac:dyDescent="0.25">
      <c r="A56" s="106" t="s">
        <v>42</v>
      </c>
      <c r="B56" s="102">
        <v>44193</v>
      </c>
      <c r="C56" s="25" t="s">
        <v>573</v>
      </c>
      <c r="D56" s="25" t="s">
        <v>1122</v>
      </c>
      <c r="E56" s="165"/>
      <c r="F56" s="134">
        <v>169.49</v>
      </c>
      <c r="G56" s="50">
        <f t="shared" si="4"/>
        <v>0</v>
      </c>
      <c r="H56" s="103"/>
      <c r="I56" s="141"/>
      <c r="J56" s="104"/>
      <c r="K56" s="103">
        <f t="shared" ref="K56:K65" si="5">+I56*J56</f>
        <v>0</v>
      </c>
      <c r="L56" s="103">
        <v>2</v>
      </c>
      <c r="M56" s="141">
        <f t="shared" si="0"/>
        <v>-2</v>
      </c>
      <c r="N56" s="103"/>
      <c r="O56" s="103" t="s">
        <v>946</v>
      </c>
      <c r="P56" s="137">
        <f t="shared" si="3"/>
        <v>-338.98</v>
      </c>
    </row>
    <row r="57" spans="1:16" s="8" customFormat="1" x14ac:dyDescent="0.25">
      <c r="A57" s="106" t="s">
        <v>109</v>
      </c>
      <c r="B57" s="102">
        <v>44193</v>
      </c>
      <c r="C57" s="25" t="s">
        <v>574</v>
      </c>
      <c r="D57" s="25" t="s">
        <v>1122</v>
      </c>
      <c r="E57" s="160"/>
      <c r="F57" s="134">
        <v>76.27</v>
      </c>
      <c r="G57" s="50">
        <f t="shared" si="4"/>
        <v>0</v>
      </c>
      <c r="H57" s="103"/>
      <c r="I57" s="141"/>
      <c r="J57" s="104"/>
      <c r="K57" s="103">
        <f t="shared" si="5"/>
        <v>0</v>
      </c>
      <c r="L57" s="159"/>
      <c r="M57" s="141">
        <f t="shared" si="0"/>
        <v>0</v>
      </c>
      <c r="N57" s="103"/>
      <c r="O57" s="103" t="s">
        <v>946</v>
      </c>
      <c r="P57" s="137">
        <f t="shared" si="3"/>
        <v>0</v>
      </c>
    </row>
    <row r="58" spans="1:16" s="8" customFormat="1" ht="15.75" x14ac:dyDescent="0.25">
      <c r="A58" s="106" t="s">
        <v>135</v>
      </c>
      <c r="B58" s="102">
        <v>44193</v>
      </c>
      <c r="C58" s="25" t="s">
        <v>575</v>
      </c>
      <c r="D58" s="25" t="s">
        <v>1122</v>
      </c>
      <c r="E58" s="160"/>
      <c r="F58" s="134">
        <v>93.22</v>
      </c>
      <c r="G58" s="50">
        <f t="shared" si="4"/>
        <v>0</v>
      </c>
      <c r="H58" s="103"/>
      <c r="I58" s="141"/>
      <c r="J58" s="104"/>
      <c r="K58" s="103">
        <f t="shared" si="5"/>
        <v>0</v>
      </c>
      <c r="L58" s="103"/>
      <c r="M58" s="141">
        <f t="shared" si="0"/>
        <v>0</v>
      </c>
      <c r="N58" s="103"/>
      <c r="O58" s="103" t="s">
        <v>946</v>
      </c>
      <c r="P58" s="137">
        <f t="shared" si="3"/>
        <v>0</v>
      </c>
    </row>
    <row r="59" spans="1:16" s="8" customFormat="1" ht="15.75" x14ac:dyDescent="0.25">
      <c r="A59" s="106" t="s">
        <v>43</v>
      </c>
      <c r="B59" s="129">
        <v>44851</v>
      </c>
      <c r="C59" s="25" t="s">
        <v>576</v>
      </c>
      <c r="D59" s="25" t="s">
        <v>1122</v>
      </c>
      <c r="E59" s="165"/>
      <c r="F59" s="134">
        <v>171.69</v>
      </c>
      <c r="G59" s="50">
        <f t="shared" si="4"/>
        <v>0</v>
      </c>
      <c r="H59" s="107">
        <v>44851</v>
      </c>
      <c r="I59" s="141">
        <v>30</v>
      </c>
      <c r="J59" s="104">
        <v>171.69</v>
      </c>
      <c r="K59" s="104">
        <f t="shared" si="5"/>
        <v>5150.7</v>
      </c>
      <c r="L59" s="103">
        <v>2</v>
      </c>
      <c r="M59" s="141">
        <f t="shared" si="0"/>
        <v>28</v>
      </c>
      <c r="N59" s="103"/>
      <c r="O59" s="103" t="s">
        <v>946</v>
      </c>
      <c r="P59" s="137">
        <f t="shared" si="3"/>
        <v>4807.32</v>
      </c>
    </row>
    <row r="60" spans="1:16" s="8" customFormat="1" ht="15.75" x14ac:dyDescent="0.25">
      <c r="A60" s="106" t="s">
        <v>45</v>
      </c>
      <c r="B60" s="102">
        <v>44453</v>
      </c>
      <c r="C60" s="9" t="s">
        <v>577</v>
      </c>
      <c r="D60" s="25" t="s">
        <v>1122</v>
      </c>
      <c r="E60" s="106">
        <v>0</v>
      </c>
      <c r="F60" s="134">
        <v>3000</v>
      </c>
      <c r="G60" s="50">
        <f t="shared" si="4"/>
        <v>0</v>
      </c>
      <c r="H60" s="103"/>
      <c r="I60" s="141"/>
      <c r="J60" s="104"/>
      <c r="K60" s="103">
        <f t="shared" si="5"/>
        <v>0</v>
      </c>
      <c r="L60" s="103"/>
      <c r="M60" s="141">
        <f t="shared" si="0"/>
        <v>0</v>
      </c>
      <c r="N60" s="103"/>
      <c r="O60" s="103" t="s">
        <v>946</v>
      </c>
      <c r="P60" s="137">
        <f t="shared" si="3"/>
        <v>0</v>
      </c>
    </row>
    <row r="61" spans="1:16" s="8" customFormat="1" ht="15.75" x14ac:dyDescent="0.25">
      <c r="A61" s="106" t="s">
        <v>46</v>
      </c>
      <c r="B61" s="102">
        <v>44193</v>
      </c>
      <c r="C61" s="25" t="s">
        <v>578</v>
      </c>
      <c r="D61" s="25" t="s">
        <v>1122</v>
      </c>
      <c r="E61" s="165">
        <v>0</v>
      </c>
      <c r="F61" s="134">
        <v>63.56</v>
      </c>
      <c r="G61" s="50">
        <f t="shared" si="4"/>
        <v>0</v>
      </c>
      <c r="H61" s="103"/>
      <c r="I61" s="141"/>
      <c r="J61" s="104"/>
      <c r="K61" s="103">
        <f t="shared" si="5"/>
        <v>0</v>
      </c>
      <c r="L61" s="103"/>
      <c r="M61" s="141">
        <f t="shared" si="0"/>
        <v>0</v>
      </c>
      <c r="N61" s="103"/>
      <c r="O61" s="103" t="s">
        <v>946</v>
      </c>
      <c r="P61" s="137">
        <f t="shared" si="3"/>
        <v>0</v>
      </c>
    </row>
    <row r="62" spans="1:16" s="8" customFormat="1" ht="15.75" x14ac:dyDescent="0.25">
      <c r="A62" s="106" t="s">
        <v>47</v>
      </c>
      <c r="B62" s="102">
        <v>44193</v>
      </c>
      <c r="C62" s="25" t="s">
        <v>819</v>
      </c>
      <c r="D62" s="25" t="s">
        <v>1122</v>
      </c>
      <c r="E62" s="165">
        <v>2</v>
      </c>
      <c r="F62" s="134"/>
      <c r="G62" s="50"/>
      <c r="H62" s="103"/>
      <c r="I62" s="141"/>
      <c r="J62" s="104"/>
      <c r="K62" s="103">
        <f t="shared" si="5"/>
        <v>0</v>
      </c>
      <c r="L62" s="103"/>
      <c r="M62" s="141">
        <f t="shared" si="0"/>
        <v>2</v>
      </c>
      <c r="N62" s="103"/>
      <c r="O62" s="103" t="s">
        <v>946</v>
      </c>
      <c r="P62" s="137">
        <f t="shared" si="3"/>
        <v>0</v>
      </c>
    </row>
    <row r="63" spans="1:16" s="8" customFormat="1" ht="15.75" x14ac:dyDescent="0.25">
      <c r="A63" s="106" t="s">
        <v>48</v>
      </c>
      <c r="B63" s="102">
        <v>44193</v>
      </c>
      <c r="C63" s="25" t="s">
        <v>817</v>
      </c>
      <c r="D63" s="25" t="s">
        <v>1122</v>
      </c>
      <c r="E63" s="165">
        <v>7</v>
      </c>
      <c r="F63" s="134"/>
      <c r="G63" s="50"/>
      <c r="H63" s="103"/>
      <c r="I63" s="141"/>
      <c r="J63" s="104"/>
      <c r="K63" s="103">
        <f t="shared" si="5"/>
        <v>0</v>
      </c>
      <c r="L63" s="103"/>
      <c r="M63" s="141">
        <f t="shared" si="0"/>
        <v>7</v>
      </c>
      <c r="N63" s="103"/>
      <c r="O63" s="103" t="s">
        <v>946</v>
      </c>
      <c r="P63" s="137">
        <f t="shared" si="3"/>
        <v>0</v>
      </c>
    </row>
    <row r="64" spans="1:16" s="8" customFormat="1" ht="15.75" x14ac:dyDescent="0.25">
      <c r="A64" s="106" t="s">
        <v>49</v>
      </c>
      <c r="B64" s="102">
        <v>44193</v>
      </c>
      <c r="C64" s="25" t="s">
        <v>818</v>
      </c>
      <c r="D64" s="25" t="s">
        <v>1122</v>
      </c>
      <c r="E64" s="165">
        <v>8</v>
      </c>
      <c r="F64" s="134"/>
      <c r="G64" s="50"/>
      <c r="H64" s="103"/>
      <c r="I64" s="141"/>
      <c r="J64" s="104"/>
      <c r="K64" s="103">
        <f t="shared" si="5"/>
        <v>0</v>
      </c>
      <c r="L64" s="103"/>
      <c r="M64" s="141">
        <f t="shared" si="0"/>
        <v>8</v>
      </c>
      <c r="N64" s="103"/>
      <c r="O64" s="103" t="s">
        <v>946</v>
      </c>
      <c r="P64" s="137">
        <f t="shared" si="3"/>
        <v>0</v>
      </c>
    </row>
    <row r="65" spans="1:16" s="8" customFormat="1" ht="15.75" x14ac:dyDescent="0.25">
      <c r="A65" s="106" t="s">
        <v>50</v>
      </c>
      <c r="B65" s="106" t="s">
        <v>116</v>
      </c>
      <c r="C65" s="25" t="s">
        <v>720</v>
      </c>
      <c r="D65" s="25" t="s">
        <v>1122</v>
      </c>
      <c r="E65" s="165">
        <v>1</v>
      </c>
      <c r="F65" s="171">
        <v>3000</v>
      </c>
      <c r="G65" s="50">
        <f>E65*F65</f>
        <v>3000</v>
      </c>
      <c r="H65" s="103"/>
      <c r="I65" s="141"/>
      <c r="J65" s="104"/>
      <c r="K65" s="103">
        <f t="shared" si="5"/>
        <v>0</v>
      </c>
      <c r="L65" s="103">
        <v>2</v>
      </c>
      <c r="M65" s="141">
        <f t="shared" si="0"/>
        <v>-1</v>
      </c>
      <c r="N65" s="103"/>
      <c r="O65" s="103" t="s">
        <v>947</v>
      </c>
      <c r="P65" s="137">
        <f t="shared" si="3"/>
        <v>-3000</v>
      </c>
    </row>
    <row r="66" spans="1:16" s="8" customFormat="1" ht="15.75" x14ac:dyDescent="0.25">
      <c r="A66" s="106" t="s">
        <v>51</v>
      </c>
      <c r="B66" s="102">
        <v>44193</v>
      </c>
      <c r="C66" s="25" t="s">
        <v>579</v>
      </c>
      <c r="D66" s="25" t="s">
        <v>1122</v>
      </c>
      <c r="E66" s="165">
        <v>0</v>
      </c>
      <c r="F66" s="134">
        <v>35</v>
      </c>
      <c r="G66" s="50">
        <f t="shared" ref="G66:G87" si="6">E66*F66</f>
        <v>0</v>
      </c>
      <c r="H66" s="103"/>
      <c r="I66" s="141"/>
      <c r="J66" s="104"/>
      <c r="K66" s="103"/>
      <c r="L66" s="103"/>
      <c r="M66" s="141">
        <f t="shared" si="0"/>
        <v>0</v>
      </c>
      <c r="N66" s="103"/>
      <c r="O66" s="103" t="s">
        <v>946</v>
      </c>
      <c r="P66" s="137">
        <f t="shared" si="3"/>
        <v>0</v>
      </c>
    </row>
    <row r="67" spans="1:16" s="8" customFormat="1" ht="15.75" x14ac:dyDescent="0.25">
      <c r="A67" s="106" t="s">
        <v>52</v>
      </c>
      <c r="B67" s="102">
        <v>44193</v>
      </c>
      <c r="C67" s="25" t="s">
        <v>794</v>
      </c>
      <c r="D67" s="25" t="s">
        <v>1122</v>
      </c>
      <c r="E67" s="162">
        <v>1</v>
      </c>
      <c r="F67" s="134">
        <v>97.96</v>
      </c>
      <c r="G67" s="50">
        <f t="shared" si="6"/>
        <v>97.96</v>
      </c>
      <c r="H67" s="103"/>
      <c r="I67" s="141"/>
      <c r="J67" s="104"/>
      <c r="K67" s="103"/>
      <c r="L67" s="103"/>
      <c r="M67" s="150">
        <f t="shared" si="0"/>
        <v>1</v>
      </c>
      <c r="N67" s="103"/>
      <c r="O67" s="103" t="s">
        <v>946</v>
      </c>
      <c r="P67" s="137">
        <f t="shared" si="3"/>
        <v>97.96</v>
      </c>
    </row>
    <row r="68" spans="1:16" s="8" customFormat="1" ht="15.75" x14ac:dyDescent="0.25">
      <c r="A68" s="106" t="s">
        <v>53</v>
      </c>
      <c r="B68" s="102">
        <v>44193</v>
      </c>
      <c r="C68" s="9" t="s">
        <v>580</v>
      </c>
      <c r="D68" s="25" t="s">
        <v>1122</v>
      </c>
      <c r="E68" s="166">
        <v>225</v>
      </c>
      <c r="F68" s="134">
        <v>18</v>
      </c>
      <c r="G68" s="50">
        <f t="shared" si="6"/>
        <v>4050</v>
      </c>
      <c r="H68" s="103"/>
      <c r="I68" s="141"/>
      <c r="J68" s="104"/>
      <c r="K68" s="103"/>
      <c r="L68" s="103"/>
      <c r="M68" s="141">
        <f t="shared" si="0"/>
        <v>225</v>
      </c>
      <c r="N68" s="103"/>
      <c r="O68" s="103" t="s">
        <v>947</v>
      </c>
      <c r="P68" s="137">
        <f t="shared" si="3"/>
        <v>4050</v>
      </c>
    </row>
    <row r="69" spans="1:16" s="8" customFormat="1" ht="15.75" x14ac:dyDescent="0.25">
      <c r="A69" s="106" t="s">
        <v>44</v>
      </c>
      <c r="B69" s="102">
        <v>44193</v>
      </c>
      <c r="C69" s="9" t="s">
        <v>581</v>
      </c>
      <c r="D69" s="25" t="s">
        <v>1122</v>
      </c>
      <c r="E69" s="106">
        <v>0</v>
      </c>
      <c r="F69" s="134">
        <v>114</v>
      </c>
      <c r="G69" s="50">
        <f t="shared" si="6"/>
        <v>0</v>
      </c>
      <c r="H69" s="103"/>
      <c r="I69" s="141"/>
      <c r="J69" s="104"/>
      <c r="K69" s="103"/>
      <c r="L69" s="103"/>
      <c r="M69" s="141">
        <f t="shared" si="0"/>
        <v>0</v>
      </c>
      <c r="N69" s="103"/>
      <c r="O69" s="103" t="s">
        <v>947</v>
      </c>
      <c r="P69" s="137">
        <f t="shared" si="3"/>
        <v>0</v>
      </c>
    </row>
    <row r="70" spans="1:16" s="8" customFormat="1" ht="15.75" x14ac:dyDescent="0.25">
      <c r="A70" s="106" t="s">
        <v>113</v>
      </c>
      <c r="B70" s="102">
        <v>44193</v>
      </c>
      <c r="C70" s="9" t="s">
        <v>582</v>
      </c>
      <c r="D70" s="25" t="s">
        <v>1122</v>
      </c>
      <c r="E70" s="106">
        <v>50</v>
      </c>
      <c r="F70" s="134">
        <v>150</v>
      </c>
      <c r="G70" s="50">
        <f t="shared" si="6"/>
        <v>7500</v>
      </c>
      <c r="H70" s="103"/>
      <c r="I70" s="141"/>
      <c r="J70" s="104"/>
      <c r="K70" s="103"/>
      <c r="L70" s="103"/>
      <c r="M70" s="141">
        <f t="shared" si="0"/>
        <v>50</v>
      </c>
      <c r="N70" s="103"/>
      <c r="O70" s="103" t="s">
        <v>947</v>
      </c>
      <c r="P70" s="137">
        <f t="shared" si="3"/>
        <v>7500</v>
      </c>
    </row>
    <row r="71" spans="1:16" s="8" customFormat="1" ht="15.75" x14ac:dyDescent="0.25">
      <c r="A71" s="106" t="s">
        <v>136</v>
      </c>
      <c r="B71" s="102">
        <v>44193</v>
      </c>
      <c r="C71" s="25" t="s">
        <v>583</v>
      </c>
      <c r="D71" s="25" t="s">
        <v>1122</v>
      </c>
      <c r="E71" s="160">
        <v>0</v>
      </c>
      <c r="F71" s="134">
        <v>105.93</v>
      </c>
      <c r="G71" s="50">
        <f t="shared" si="6"/>
        <v>0</v>
      </c>
      <c r="H71" s="103"/>
      <c r="I71" s="141"/>
      <c r="J71" s="104"/>
      <c r="K71" s="103"/>
      <c r="L71" s="103"/>
      <c r="M71" s="141">
        <f t="shared" si="0"/>
        <v>0</v>
      </c>
      <c r="N71" s="103"/>
      <c r="O71" s="103" t="s">
        <v>946</v>
      </c>
      <c r="P71" s="137">
        <f t="shared" si="3"/>
        <v>0</v>
      </c>
    </row>
    <row r="72" spans="1:16" s="8" customFormat="1" ht="15.75" x14ac:dyDescent="0.25">
      <c r="A72" s="106" t="s">
        <v>137</v>
      </c>
      <c r="B72" s="102">
        <v>44193</v>
      </c>
      <c r="C72" s="25" t="s">
        <v>584</v>
      </c>
      <c r="D72" s="25" t="s">
        <v>1122</v>
      </c>
      <c r="E72" s="160">
        <v>1</v>
      </c>
      <c r="F72" s="134">
        <v>762.71</v>
      </c>
      <c r="G72" s="50">
        <f t="shared" si="6"/>
        <v>762.71</v>
      </c>
      <c r="H72" s="103"/>
      <c r="I72" s="141"/>
      <c r="J72" s="104"/>
      <c r="K72" s="103"/>
      <c r="L72" s="103"/>
      <c r="M72" s="141">
        <f t="shared" si="0"/>
        <v>1</v>
      </c>
      <c r="N72" s="103"/>
      <c r="O72" s="103" t="s">
        <v>946</v>
      </c>
      <c r="P72" s="137">
        <f t="shared" si="3"/>
        <v>762.71</v>
      </c>
    </row>
    <row r="73" spans="1:16" s="8" customFormat="1" ht="15.75" x14ac:dyDescent="0.25">
      <c r="A73" s="106" t="s">
        <v>138</v>
      </c>
      <c r="B73" s="102">
        <v>44193</v>
      </c>
      <c r="C73" s="25" t="s">
        <v>585</v>
      </c>
      <c r="D73" s="25" t="s">
        <v>1122</v>
      </c>
      <c r="E73" s="160">
        <v>0</v>
      </c>
      <c r="F73" s="134">
        <v>338.98</v>
      </c>
      <c r="G73" s="50">
        <f t="shared" si="6"/>
        <v>0</v>
      </c>
      <c r="H73" s="103"/>
      <c r="I73" s="141"/>
      <c r="J73" s="104"/>
      <c r="K73" s="103"/>
      <c r="L73" s="103"/>
      <c r="M73" s="141">
        <f t="shared" ref="M73:M74" si="7">+E73+I73-L73</f>
        <v>0</v>
      </c>
      <c r="N73" s="103"/>
      <c r="O73" s="103" t="s">
        <v>946</v>
      </c>
      <c r="P73" s="137">
        <f t="shared" si="3"/>
        <v>0</v>
      </c>
    </row>
    <row r="74" spans="1:16" s="8" customFormat="1" ht="15.75" x14ac:dyDescent="0.25">
      <c r="A74" s="106" t="s">
        <v>54</v>
      </c>
      <c r="B74" s="102">
        <v>44193</v>
      </c>
      <c r="C74" s="9" t="s">
        <v>586</v>
      </c>
      <c r="D74" s="25" t="s">
        <v>1122</v>
      </c>
      <c r="E74" s="161">
        <v>8</v>
      </c>
      <c r="F74" s="134">
        <v>17.07</v>
      </c>
      <c r="G74" s="50">
        <f t="shared" si="6"/>
        <v>136.56</v>
      </c>
      <c r="H74" s="103"/>
      <c r="I74" s="141"/>
      <c r="J74" s="104"/>
      <c r="K74" s="103"/>
      <c r="L74" s="103"/>
      <c r="M74" s="141">
        <f t="shared" si="7"/>
        <v>8</v>
      </c>
      <c r="N74" s="103"/>
      <c r="O74" s="103" t="s">
        <v>947</v>
      </c>
      <c r="P74" s="137">
        <f t="shared" si="3"/>
        <v>136.56</v>
      </c>
    </row>
    <row r="75" spans="1:16" s="92" customFormat="1" x14ac:dyDescent="0.3">
      <c r="A75" s="106" t="s">
        <v>55</v>
      </c>
      <c r="B75" s="129">
        <v>45019</v>
      </c>
      <c r="C75" s="25" t="s">
        <v>587</v>
      </c>
      <c r="D75" s="25" t="s">
        <v>1122</v>
      </c>
      <c r="E75" s="161">
        <v>129</v>
      </c>
      <c r="F75" s="134">
        <v>172.08</v>
      </c>
      <c r="G75" s="50">
        <f t="shared" si="6"/>
        <v>22198.320000000003</v>
      </c>
      <c r="H75" s="107">
        <v>45019</v>
      </c>
      <c r="I75" s="141">
        <f>6*4</f>
        <v>24</v>
      </c>
      <c r="J75" s="104">
        <v>172.08</v>
      </c>
      <c r="K75" s="108">
        <f>+I75*J75</f>
        <v>4129.92</v>
      </c>
      <c r="L75" s="103">
        <v>130</v>
      </c>
      <c r="M75" s="151">
        <f>+E75+I75-L75</f>
        <v>23</v>
      </c>
      <c r="N75" s="103"/>
      <c r="O75" s="103" t="s">
        <v>945</v>
      </c>
      <c r="P75" s="137">
        <f t="shared" si="3"/>
        <v>3957.84</v>
      </c>
    </row>
    <row r="76" spans="1:16" s="92" customFormat="1" x14ac:dyDescent="0.3">
      <c r="A76" s="106" t="s">
        <v>56</v>
      </c>
      <c r="B76" s="106" t="s">
        <v>106</v>
      </c>
      <c r="C76" s="25" t="s">
        <v>774</v>
      </c>
      <c r="D76" s="25" t="s">
        <v>1122</v>
      </c>
      <c r="E76" s="161">
        <v>67</v>
      </c>
      <c r="F76" s="171">
        <v>50</v>
      </c>
      <c r="G76" s="50">
        <f t="shared" si="6"/>
        <v>3350</v>
      </c>
      <c r="H76" s="103"/>
      <c r="I76" s="141"/>
      <c r="J76" s="104"/>
      <c r="K76" s="103"/>
      <c r="L76" s="103">
        <f>2+4+1+2+1+2+1+1+1+2</f>
        <v>17</v>
      </c>
      <c r="M76" s="141">
        <f t="shared" ref="M76:M82" si="8">+E76+I76-L76</f>
        <v>50</v>
      </c>
      <c r="N76" s="103"/>
      <c r="O76" s="103" t="s">
        <v>945</v>
      </c>
      <c r="P76" s="137">
        <f t="shared" si="3"/>
        <v>2500</v>
      </c>
    </row>
    <row r="77" spans="1:16" s="92" customFormat="1" x14ac:dyDescent="0.3">
      <c r="A77" s="106" t="s">
        <v>100</v>
      </c>
      <c r="B77" s="102">
        <v>44488</v>
      </c>
      <c r="C77" s="25" t="s">
        <v>589</v>
      </c>
      <c r="D77" s="25" t="s">
        <v>1122</v>
      </c>
      <c r="E77" s="161">
        <v>3</v>
      </c>
      <c r="F77" s="134">
        <v>2200</v>
      </c>
      <c r="G77" s="50">
        <f t="shared" si="6"/>
        <v>6600</v>
      </c>
      <c r="H77" s="103"/>
      <c r="I77" s="141"/>
      <c r="J77" s="104"/>
      <c r="K77" s="103"/>
      <c r="L77" s="103"/>
      <c r="M77" s="141">
        <f t="shared" si="8"/>
        <v>3</v>
      </c>
      <c r="N77" s="103"/>
      <c r="O77" s="103" t="s">
        <v>945</v>
      </c>
      <c r="P77" s="137">
        <f t="shared" si="3"/>
        <v>6600</v>
      </c>
    </row>
    <row r="78" spans="1:16" s="8" customFormat="1" ht="15.75" x14ac:dyDescent="0.25">
      <c r="A78" s="106" t="s">
        <v>57</v>
      </c>
      <c r="B78" s="102">
        <v>44193</v>
      </c>
      <c r="C78" s="9" t="s">
        <v>590</v>
      </c>
      <c r="D78" s="25" t="s">
        <v>1122</v>
      </c>
      <c r="E78" s="161">
        <v>0</v>
      </c>
      <c r="F78" s="134">
        <v>402.54</v>
      </c>
      <c r="G78" s="50">
        <f t="shared" si="6"/>
        <v>0</v>
      </c>
      <c r="H78" s="103"/>
      <c r="I78" s="141"/>
      <c r="J78" s="104"/>
      <c r="K78" s="103"/>
      <c r="L78" s="103"/>
      <c r="M78" s="141">
        <f t="shared" si="8"/>
        <v>0</v>
      </c>
      <c r="N78" s="103"/>
      <c r="O78" s="103" t="s">
        <v>946</v>
      </c>
      <c r="P78" s="137">
        <f t="shared" si="3"/>
        <v>0</v>
      </c>
    </row>
    <row r="79" spans="1:16" s="8" customFormat="1" ht="15.75" x14ac:dyDescent="0.25">
      <c r="A79" s="106" t="s">
        <v>139</v>
      </c>
      <c r="B79" s="102">
        <v>44193</v>
      </c>
      <c r="C79" s="9" t="s">
        <v>591</v>
      </c>
      <c r="D79" s="25" t="s">
        <v>1122</v>
      </c>
      <c r="E79" s="161">
        <v>11</v>
      </c>
      <c r="F79" s="134">
        <v>37.74</v>
      </c>
      <c r="G79" s="50">
        <f t="shared" si="6"/>
        <v>415.14000000000004</v>
      </c>
      <c r="H79" s="103"/>
      <c r="I79" s="141"/>
      <c r="J79" s="104"/>
      <c r="K79" s="103"/>
      <c r="L79" s="103"/>
      <c r="M79" s="141">
        <f t="shared" si="8"/>
        <v>11</v>
      </c>
      <c r="N79" s="103"/>
      <c r="O79" s="103" t="s">
        <v>946</v>
      </c>
      <c r="P79" s="137">
        <f t="shared" si="3"/>
        <v>415.14000000000004</v>
      </c>
    </row>
    <row r="80" spans="1:16" s="105" customFormat="1" ht="15.75" x14ac:dyDescent="0.25">
      <c r="A80" s="106" t="s">
        <v>140</v>
      </c>
      <c r="B80" s="129">
        <v>45042</v>
      </c>
      <c r="C80" s="9" t="s">
        <v>592</v>
      </c>
      <c r="D80" s="25" t="s">
        <v>1122</v>
      </c>
      <c r="E80" s="161">
        <v>10</v>
      </c>
      <c r="F80" s="134">
        <v>68.06</v>
      </c>
      <c r="G80" s="50">
        <f t="shared" si="6"/>
        <v>680.6</v>
      </c>
      <c r="H80" s="107">
        <v>45042</v>
      </c>
      <c r="I80" s="141">
        <v>10</v>
      </c>
      <c r="J80" s="104">
        <v>68.06</v>
      </c>
      <c r="K80" s="103">
        <f>+J80*I80</f>
        <v>680.6</v>
      </c>
      <c r="L80" s="103">
        <v>5</v>
      </c>
      <c r="M80" s="151">
        <f t="shared" si="8"/>
        <v>15</v>
      </c>
      <c r="N80" s="103" t="s">
        <v>1037</v>
      </c>
      <c r="O80" s="103" t="s">
        <v>947</v>
      </c>
      <c r="P80" s="137">
        <f>+F80*M80</f>
        <v>1020.9000000000001</v>
      </c>
    </row>
    <row r="81" spans="1:16" s="8" customFormat="1" ht="15.75" x14ac:dyDescent="0.25">
      <c r="A81" s="106" t="s">
        <v>141</v>
      </c>
      <c r="B81" s="102">
        <v>44193</v>
      </c>
      <c r="C81" s="9" t="s">
        <v>593</v>
      </c>
      <c r="D81" s="25" t="s">
        <v>1122</v>
      </c>
      <c r="E81" s="161">
        <v>6</v>
      </c>
      <c r="F81" s="134">
        <v>4740</v>
      </c>
      <c r="G81" s="50">
        <f t="shared" si="6"/>
        <v>28440</v>
      </c>
      <c r="H81" s="103"/>
      <c r="I81" s="141"/>
      <c r="J81" s="104"/>
      <c r="K81" s="103"/>
      <c r="L81" s="103"/>
      <c r="M81" s="141">
        <f t="shared" si="8"/>
        <v>6</v>
      </c>
      <c r="N81" s="103"/>
      <c r="O81" s="103" t="s">
        <v>947</v>
      </c>
      <c r="P81" s="137">
        <f t="shared" si="3"/>
        <v>28440</v>
      </c>
    </row>
    <row r="82" spans="1:16" s="8" customFormat="1" ht="15.75" x14ac:dyDescent="0.25">
      <c r="A82" s="106" t="s">
        <v>58</v>
      </c>
      <c r="B82" s="102">
        <v>44193</v>
      </c>
      <c r="C82" s="9" t="s">
        <v>594</v>
      </c>
      <c r="D82" s="25" t="s">
        <v>1122</v>
      </c>
      <c r="E82" s="161">
        <v>1</v>
      </c>
      <c r="F82" s="134">
        <v>2535</v>
      </c>
      <c r="G82" s="50">
        <f t="shared" si="6"/>
        <v>2535</v>
      </c>
      <c r="H82" s="103"/>
      <c r="I82" s="141"/>
      <c r="J82" s="104"/>
      <c r="K82" s="103"/>
      <c r="L82" s="103">
        <v>1</v>
      </c>
      <c r="M82" s="141">
        <f t="shared" si="8"/>
        <v>0</v>
      </c>
      <c r="N82" s="103"/>
      <c r="O82" s="103" t="s">
        <v>947</v>
      </c>
      <c r="P82" s="137">
        <f t="shared" si="3"/>
        <v>0</v>
      </c>
    </row>
    <row r="83" spans="1:16" s="8" customFormat="1" ht="15.75" x14ac:dyDescent="0.25">
      <c r="A83" s="106" t="s">
        <v>59</v>
      </c>
      <c r="B83" s="102">
        <v>44193</v>
      </c>
      <c r="C83" s="9" t="s">
        <v>595</v>
      </c>
      <c r="D83" s="25" t="s">
        <v>1122</v>
      </c>
      <c r="E83" s="161">
        <v>0</v>
      </c>
      <c r="F83" s="134">
        <v>211.86</v>
      </c>
      <c r="G83" s="50">
        <f t="shared" si="6"/>
        <v>0</v>
      </c>
      <c r="H83" s="103"/>
      <c r="I83" s="141"/>
      <c r="J83" s="104"/>
      <c r="K83" s="103"/>
      <c r="L83" s="103"/>
      <c r="M83" s="141">
        <f>+E83+I83-L83</f>
        <v>0</v>
      </c>
      <c r="N83" s="103"/>
      <c r="O83" s="103" t="s">
        <v>947</v>
      </c>
      <c r="P83" s="137">
        <f t="shared" si="3"/>
        <v>0</v>
      </c>
    </row>
    <row r="84" spans="1:16" s="8" customFormat="1" ht="15.75" x14ac:dyDescent="0.25">
      <c r="A84" s="106" t="s">
        <v>60</v>
      </c>
      <c r="B84" s="102">
        <v>44193</v>
      </c>
      <c r="C84" s="9" t="s">
        <v>596</v>
      </c>
      <c r="D84" s="25" t="s">
        <v>1122</v>
      </c>
      <c r="E84" s="161">
        <v>0</v>
      </c>
      <c r="F84" s="134">
        <v>70</v>
      </c>
      <c r="G84" s="50">
        <f t="shared" si="6"/>
        <v>0</v>
      </c>
      <c r="H84" s="103"/>
      <c r="I84" s="141"/>
      <c r="J84" s="104"/>
      <c r="K84" s="103"/>
      <c r="L84" s="103"/>
      <c r="M84" s="141">
        <f t="shared" ref="M84:M96" si="9">+E84+I84-L84</f>
        <v>0</v>
      </c>
      <c r="N84" s="103"/>
      <c r="O84" s="103" t="s">
        <v>947</v>
      </c>
      <c r="P84" s="137">
        <f t="shared" si="3"/>
        <v>0</v>
      </c>
    </row>
    <row r="85" spans="1:16" s="8" customFormat="1" ht="15.75" x14ac:dyDescent="0.25">
      <c r="A85" s="106" t="s">
        <v>61</v>
      </c>
      <c r="B85" s="102">
        <v>44193</v>
      </c>
      <c r="C85" s="25" t="s">
        <v>597</v>
      </c>
      <c r="D85" s="25" t="s">
        <v>1122</v>
      </c>
      <c r="E85" s="161">
        <v>2</v>
      </c>
      <c r="F85" s="134">
        <v>148.31</v>
      </c>
      <c r="G85" s="50">
        <f t="shared" si="6"/>
        <v>296.62</v>
      </c>
      <c r="H85" s="103"/>
      <c r="I85" s="141"/>
      <c r="J85" s="104"/>
      <c r="K85" s="103"/>
      <c r="L85" s="103"/>
      <c r="M85" s="141">
        <f t="shared" si="9"/>
        <v>2</v>
      </c>
      <c r="N85" s="103"/>
      <c r="O85" s="103" t="s">
        <v>947</v>
      </c>
      <c r="P85" s="137">
        <f t="shared" si="3"/>
        <v>296.62</v>
      </c>
    </row>
    <row r="86" spans="1:16" s="8" customFormat="1" ht="15.75" x14ac:dyDescent="0.25">
      <c r="A86" s="106" t="s">
        <v>62</v>
      </c>
      <c r="B86" s="102">
        <v>45042</v>
      </c>
      <c r="C86" s="9" t="s">
        <v>598</v>
      </c>
      <c r="D86" s="25" t="s">
        <v>1122</v>
      </c>
      <c r="E86" s="161">
        <v>24</v>
      </c>
      <c r="F86" s="134">
        <v>200</v>
      </c>
      <c r="G86" s="50">
        <f t="shared" si="6"/>
        <v>4800</v>
      </c>
      <c r="H86" s="103"/>
      <c r="I86" s="141">
        <v>5</v>
      </c>
      <c r="J86" s="108">
        <v>259.60000000000002</v>
      </c>
      <c r="K86" s="108">
        <f>+J86*I86</f>
        <v>1298</v>
      </c>
      <c r="L86" s="103">
        <v>25</v>
      </c>
      <c r="M86" s="151">
        <f t="shared" si="9"/>
        <v>4</v>
      </c>
      <c r="N86" s="103"/>
      <c r="O86" s="103" t="s">
        <v>947</v>
      </c>
      <c r="P86" s="137">
        <f t="shared" si="3"/>
        <v>800</v>
      </c>
    </row>
    <row r="87" spans="1:16" s="105" customFormat="1" ht="15.75" x14ac:dyDescent="0.25">
      <c r="A87" s="106" t="s">
        <v>63</v>
      </c>
      <c r="B87" s="129">
        <v>44852</v>
      </c>
      <c r="C87" s="9" t="s">
        <v>599</v>
      </c>
      <c r="D87" s="25" t="s">
        <v>1122</v>
      </c>
      <c r="E87" s="161">
        <v>0</v>
      </c>
      <c r="F87" s="134">
        <v>65</v>
      </c>
      <c r="G87" s="50">
        <f t="shared" si="6"/>
        <v>0</v>
      </c>
      <c r="H87" s="107">
        <v>44852</v>
      </c>
      <c r="I87" s="141">
        <v>10</v>
      </c>
      <c r="J87" s="104">
        <v>46</v>
      </c>
      <c r="K87" s="108">
        <f>+J87*I87</f>
        <v>460</v>
      </c>
      <c r="L87" s="103">
        <v>10</v>
      </c>
      <c r="M87" s="141">
        <f t="shared" si="9"/>
        <v>0</v>
      </c>
      <c r="N87" s="103" t="s">
        <v>1037</v>
      </c>
      <c r="O87" s="103" t="s">
        <v>947</v>
      </c>
      <c r="P87" s="137">
        <f t="shared" si="3"/>
        <v>0</v>
      </c>
    </row>
    <row r="88" spans="1:16" s="92" customFormat="1" x14ac:dyDescent="0.3">
      <c r="A88" s="106" t="s">
        <v>64</v>
      </c>
      <c r="B88" s="102">
        <v>44193</v>
      </c>
      <c r="C88" s="25" t="s">
        <v>850</v>
      </c>
      <c r="D88" s="25" t="s">
        <v>1122</v>
      </c>
      <c r="E88" s="162">
        <v>1</v>
      </c>
      <c r="F88" s="134"/>
      <c r="G88" s="50"/>
      <c r="H88" s="103"/>
      <c r="I88" s="141"/>
      <c r="J88" s="104"/>
      <c r="K88" s="103"/>
      <c r="L88" s="103"/>
      <c r="M88" s="141">
        <f t="shared" si="9"/>
        <v>1</v>
      </c>
      <c r="N88" s="103"/>
      <c r="O88" s="103" t="s">
        <v>506</v>
      </c>
      <c r="P88" s="137">
        <f t="shared" si="3"/>
        <v>0</v>
      </c>
    </row>
    <row r="89" spans="1:16" s="105" customFormat="1" ht="15.75" x14ac:dyDescent="0.25">
      <c r="A89" s="106" t="s">
        <v>65</v>
      </c>
      <c r="B89" s="129">
        <v>44852</v>
      </c>
      <c r="C89" s="9" t="s">
        <v>851</v>
      </c>
      <c r="D89" s="25" t="s">
        <v>1122</v>
      </c>
      <c r="E89" s="161">
        <v>6</v>
      </c>
      <c r="F89" s="134">
        <v>7.09</v>
      </c>
      <c r="G89" s="50">
        <f>E89*F89</f>
        <v>42.54</v>
      </c>
      <c r="H89" s="107">
        <v>44852</v>
      </c>
      <c r="I89" s="141">
        <f>10*12</f>
        <v>120</v>
      </c>
      <c r="J89" s="104">
        <v>7.09</v>
      </c>
      <c r="K89" s="103">
        <f>+J89*I89</f>
        <v>850.8</v>
      </c>
      <c r="L89" s="103"/>
      <c r="M89" s="141">
        <f t="shared" si="9"/>
        <v>126</v>
      </c>
      <c r="N89" s="103" t="s">
        <v>1037</v>
      </c>
      <c r="O89" s="108" t="s">
        <v>947</v>
      </c>
      <c r="P89" s="137">
        <f t="shared" ref="P89:P152" si="10">+F89*M89</f>
        <v>893.34</v>
      </c>
    </row>
    <row r="90" spans="1:16" s="8" customFormat="1" ht="15.75" x14ac:dyDescent="0.25">
      <c r="A90" s="106" t="s">
        <v>66</v>
      </c>
      <c r="B90" s="102">
        <v>44547</v>
      </c>
      <c r="C90" s="9" t="s">
        <v>775</v>
      </c>
      <c r="D90" s="25" t="s">
        <v>1122</v>
      </c>
      <c r="E90" s="161">
        <v>10</v>
      </c>
      <c r="F90" s="134">
        <v>155</v>
      </c>
      <c r="G90" s="50">
        <f>E90*F90</f>
        <v>1550</v>
      </c>
      <c r="H90" s="103"/>
      <c r="I90" s="141"/>
      <c r="J90" s="104"/>
      <c r="K90" s="103"/>
      <c r="L90" s="103">
        <v>1</v>
      </c>
      <c r="M90" s="141">
        <f t="shared" si="9"/>
        <v>9</v>
      </c>
      <c r="N90" s="103"/>
      <c r="O90" s="103" t="s">
        <v>947</v>
      </c>
      <c r="P90" s="137">
        <f t="shared" si="10"/>
        <v>1395</v>
      </c>
    </row>
    <row r="91" spans="1:16" s="92" customFormat="1" x14ac:dyDescent="0.3">
      <c r="A91" s="106" t="s">
        <v>68</v>
      </c>
      <c r="B91" s="102">
        <v>44453</v>
      </c>
      <c r="C91" s="25" t="s">
        <v>603</v>
      </c>
      <c r="D91" s="25" t="s">
        <v>1122</v>
      </c>
      <c r="E91" s="160">
        <v>4</v>
      </c>
      <c r="F91" s="134">
        <v>7500</v>
      </c>
      <c r="G91" s="50">
        <f>E91*F91</f>
        <v>30000</v>
      </c>
      <c r="H91" s="103"/>
      <c r="I91" s="141"/>
      <c r="J91" s="104"/>
      <c r="K91" s="103"/>
      <c r="L91" s="103"/>
      <c r="M91" s="141">
        <f t="shared" si="9"/>
        <v>4</v>
      </c>
      <c r="N91" s="103"/>
      <c r="O91" s="103" t="s">
        <v>945</v>
      </c>
      <c r="P91" s="137">
        <f t="shared" si="10"/>
        <v>30000</v>
      </c>
    </row>
    <row r="92" spans="1:16" s="92" customFormat="1" x14ac:dyDescent="0.3">
      <c r="A92" s="106" t="s">
        <v>67</v>
      </c>
      <c r="B92" s="102">
        <v>44659</v>
      </c>
      <c r="C92" s="25" t="s">
        <v>776</v>
      </c>
      <c r="D92" s="25" t="s">
        <v>1122</v>
      </c>
      <c r="E92" s="160">
        <v>108</v>
      </c>
      <c r="F92" s="134">
        <v>156.66667000000001</v>
      </c>
      <c r="G92" s="50">
        <f>E92*F92</f>
        <v>16920.000360000002</v>
      </c>
      <c r="H92" s="103"/>
      <c r="I92" s="141"/>
      <c r="J92" s="104"/>
      <c r="K92" s="103"/>
      <c r="L92" s="103">
        <f>44+14+19+1+1+1+1+1</f>
        <v>82</v>
      </c>
      <c r="M92" s="151">
        <f t="shared" si="9"/>
        <v>26</v>
      </c>
      <c r="N92" s="103"/>
      <c r="O92" s="103" t="s">
        <v>945</v>
      </c>
      <c r="P92" s="137">
        <f t="shared" si="10"/>
        <v>4073.3334200000004</v>
      </c>
    </row>
    <row r="93" spans="1:16" s="8" customFormat="1" ht="15.75" x14ac:dyDescent="0.25">
      <c r="A93" s="106" t="s">
        <v>69</v>
      </c>
      <c r="B93" s="102">
        <v>44193</v>
      </c>
      <c r="C93" s="25" t="s">
        <v>844</v>
      </c>
      <c r="D93" s="25" t="s">
        <v>1122</v>
      </c>
      <c r="E93" s="160">
        <v>20</v>
      </c>
      <c r="F93" s="134">
        <v>30.5</v>
      </c>
      <c r="G93" s="50">
        <f>E93*F93</f>
        <v>610</v>
      </c>
      <c r="H93" s="103"/>
      <c r="I93" s="141"/>
      <c r="J93" s="104"/>
      <c r="K93" s="103"/>
      <c r="L93" s="103"/>
      <c r="M93" s="141">
        <f t="shared" si="9"/>
        <v>20</v>
      </c>
      <c r="N93" s="103"/>
      <c r="O93" s="103" t="s">
        <v>946</v>
      </c>
      <c r="P93" s="137">
        <f t="shared" si="10"/>
        <v>610</v>
      </c>
    </row>
    <row r="94" spans="1:16" s="8" customFormat="1" ht="15.75" x14ac:dyDescent="0.25">
      <c r="A94" s="106" t="s">
        <v>103</v>
      </c>
      <c r="B94" s="102">
        <v>44193</v>
      </c>
      <c r="C94" s="25" t="s">
        <v>789</v>
      </c>
      <c r="D94" s="25" t="s">
        <v>1122</v>
      </c>
      <c r="E94" s="160">
        <f>21+8+14</f>
        <v>43</v>
      </c>
      <c r="F94" s="134">
        <v>11.24</v>
      </c>
      <c r="G94" s="50">
        <f t="shared" ref="G94:G132" si="11">E94*F94</f>
        <v>483.32</v>
      </c>
      <c r="H94" s="103"/>
      <c r="I94" s="141"/>
      <c r="J94" s="104"/>
      <c r="K94" s="103"/>
      <c r="L94" s="103">
        <v>3</v>
      </c>
      <c r="M94" s="141">
        <f t="shared" si="9"/>
        <v>40</v>
      </c>
      <c r="N94" s="103"/>
      <c r="O94" s="103" t="s">
        <v>946</v>
      </c>
      <c r="P94" s="137">
        <f t="shared" si="10"/>
        <v>449.6</v>
      </c>
    </row>
    <row r="95" spans="1:16" s="8" customFormat="1" ht="15.75" x14ac:dyDescent="0.25">
      <c r="A95" s="106" t="s">
        <v>104</v>
      </c>
      <c r="B95" s="102">
        <v>44193</v>
      </c>
      <c r="C95" s="25" t="s">
        <v>788</v>
      </c>
      <c r="D95" s="25" t="s">
        <v>1122</v>
      </c>
      <c r="E95" s="160">
        <f>16+6+7+2</f>
        <v>31</v>
      </c>
      <c r="F95" s="134">
        <v>11.24</v>
      </c>
      <c r="G95" s="50">
        <f t="shared" si="11"/>
        <v>348.44</v>
      </c>
      <c r="H95" s="103"/>
      <c r="I95" s="141"/>
      <c r="J95" s="104"/>
      <c r="K95" s="103"/>
      <c r="L95" s="103"/>
      <c r="M95" s="141">
        <f t="shared" si="9"/>
        <v>31</v>
      </c>
      <c r="N95" s="103"/>
      <c r="O95" s="103" t="s">
        <v>946</v>
      </c>
      <c r="P95" s="137">
        <f t="shared" si="10"/>
        <v>348.44</v>
      </c>
    </row>
    <row r="96" spans="1:16" s="8" customFormat="1" ht="15.75" x14ac:dyDescent="0.25">
      <c r="A96" s="106" t="s">
        <v>142</v>
      </c>
      <c r="B96" s="102">
        <v>44193</v>
      </c>
      <c r="C96" s="25" t="s">
        <v>604</v>
      </c>
      <c r="D96" s="25" t="s">
        <v>1122</v>
      </c>
      <c r="E96" s="160">
        <v>28</v>
      </c>
      <c r="F96" s="134">
        <v>45</v>
      </c>
      <c r="G96" s="50">
        <f t="shared" si="11"/>
        <v>1260</v>
      </c>
      <c r="H96" s="103"/>
      <c r="I96" s="141"/>
      <c r="J96" s="104"/>
      <c r="K96" s="103"/>
      <c r="L96" s="103"/>
      <c r="M96" s="141">
        <f t="shared" si="9"/>
        <v>28</v>
      </c>
      <c r="N96" s="103"/>
      <c r="O96" s="103" t="s">
        <v>946</v>
      </c>
      <c r="P96" s="137">
        <f t="shared" si="10"/>
        <v>1260</v>
      </c>
    </row>
    <row r="97" spans="1:16" s="8" customFormat="1" ht="15.75" x14ac:dyDescent="0.25">
      <c r="A97" s="106" t="s">
        <v>70</v>
      </c>
      <c r="B97" s="102">
        <v>44193</v>
      </c>
      <c r="C97" s="25" t="s">
        <v>605</v>
      </c>
      <c r="D97" s="25" t="s">
        <v>1122</v>
      </c>
      <c r="E97" s="160">
        <v>4</v>
      </c>
      <c r="F97" s="134">
        <v>40</v>
      </c>
      <c r="G97" s="50">
        <f t="shared" si="11"/>
        <v>160</v>
      </c>
      <c r="H97" s="103"/>
      <c r="I97" s="141"/>
      <c r="J97" s="104"/>
      <c r="K97" s="103"/>
      <c r="L97" s="103"/>
      <c r="M97" s="141">
        <f>+E97+I97-L97</f>
        <v>4</v>
      </c>
      <c r="N97" s="103"/>
      <c r="O97" s="103" t="s">
        <v>946</v>
      </c>
      <c r="P97" s="137">
        <f t="shared" si="10"/>
        <v>160</v>
      </c>
    </row>
    <row r="98" spans="1:16" s="8" customFormat="1" ht="15.75" x14ac:dyDescent="0.25">
      <c r="A98" s="106" t="s">
        <v>71</v>
      </c>
      <c r="B98" s="102">
        <v>44193</v>
      </c>
      <c r="C98" s="25" t="s">
        <v>606</v>
      </c>
      <c r="D98" s="25" t="s">
        <v>1122</v>
      </c>
      <c r="E98" s="160">
        <v>39</v>
      </c>
      <c r="F98" s="134">
        <v>45</v>
      </c>
      <c r="G98" s="50">
        <f t="shared" si="11"/>
        <v>1755</v>
      </c>
      <c r="H98" s="103"/>
      <c r="I98" s="141"/>
      <c r="J98" s="104"/>
      <c r="K98" s="103"/>
      <c r="L98" s="103"/>
      <c r="M98" s="141">
        <f t="shared" ref="M98:M109" si="12">+E98+I98-L98</f>
        <v>39</v>
      </c>
      <c r="N98" s="103"/>
      <c r="O98" s="103" t="s">
        <v>946</v>
      </c>
      <c r="P98" s="137">
        <f t="shared" si="10"/>
        <v>1755</v>
      </c>
    </row>
    <row r="99" spans="1:16" s="8" customFormat="1" ht="15.75" x14ac:dyDescent="0.25">
      <c r="A99" s="106" t="s">
        <v>72</v>
      </c>
      <c r="B99" s="102">
        <v>44193</v>
      </c>
      <c r="C99" s="25" t="s">
        <v>846</v>
      </c>
      <c r="D99" s="25" t="s">
        <v>1122</v>
      </c>
      <c r="E99" s="160">
        <v>1</v>
      </c>
      <c r="F99" s="134">
        <v>47</v>
      </c>
      <c r="G99" s="50">
        <f t="shared" si="11"/>
        <v>47</v>
      </c>
      <c r="H99" s="103"/>
      <c r="I99" s="141"/>
      <c r="J99" s="104"/>
      <c r="K99" s="103"/>
      <c r="L99" s="103"/>
      <c r="M99" s="141">
        <f t="shared" si="12"/>
        <v>1</v>
      </c>
      <c r="N99" s="103"/>
      <c r="O99" s="103" t="s">
        <v>946</v>
      </c>
      <c r="P99" s="137">
        <f t="shared" si="10"/>
        <v>47</v>
      </c>
    </row>
    <row r="100" spans="1:16" s="8" customFormat="1" ht="15.75" x14ac:dyDescent="0.25">
      <c r="A100" s="106" t="s">
        <v>73</v>
      </c>
      <c r="B100" s="102">
        <v>44193</v>
      </c>
      <c r="C100" s="25" t="s">
        <v>607</v>
      </c>
      <c r="D100" s="25" t="s">
        <v>1122</v>
      </c>
      <c r="E100" s="160">
        <v>1</v>
      </c>
      <c r="F100" s="134">
        <v>40</v>
      </c>
      <c r="G100" s="50">
        <f t="shared" si="11"/>
        <v>40</v>
      </c>
      <c r="H100" s="103"/>
      <c r="I100" s="141"/>
      <c r="J100" s="104"/>
      <c r="K100" s="103"/>
      <c r="L100" s="103"/>
      <c r="M100" s="141">
        <f t="shared" si="12"/>
        <v>1</v>
      </c>
      <c r="N100" s="103"/>
      <c r="O100" s="103" t="s">
        <v>946</v>
      </c>
      <c r="P100" s="137">
        <f t="shared" si="10"/>
        <v>40</v>
      </c>
    </row>
    <row r="101" spans="1:16" s="8" customFormat="1" ht="15.75" x14ac:dyDescent="0.25">
      <c r="A101" s="106" t="s">
        <v>74</v>
      </c>
      <c r="B101" s="102">
        <v>44193</v>
      </c>
      <c r="C101" s="25" t="s">
        <v>608</v>
      </c>
      <c r="D101" s="25" t="s">
        <v>1122</v>
      </c>
      <c r="E101" s="165">
        <v>2</v>
      </c>
      <c r="F101" s="134">
        <v>12.21</v>
      </c>
      <c r="G101" s="50">
        <f t="shared" si="11"/>
        <v>24.42</v>
      </c>
      <c r="H101" s="103"/>
      <c r="I101" s="141"/>
      <c r="J101" s="104"/>
      <c r="K101" s="103"/>
      <c r="L101" s="103"/>
      <c r="M101" s="141">
        <f t="shared" si="12"/>
        <v>2</v>
      </c>
      <c r="N101" s="103"/>
      <c r="O101" s="103" t="s">
        <v>946</v>
      </c>
      <c r="P101" s="137">
        <f t="shared" si="10"/>
        <v>24.42</v>
      </c>
    </row>
    <row r="102" spans="1:16" s="8" customFormat="1" ht="15.75" x14ac:dyDescent="0.25">
      <c r="A102" s="106" t="s">
        <v>101</v>
      </c>
      <c r="B102" s="102">
        <v>44193</v>
      </c>
      <c r="C102" s="25" t="s">
        <v>609</v>
      </c>
      <c r="D102" s="25" t="s">
        <v>1122</v>
      </c>
      <c r="E102" s="165">
        <v>0</v>
      </c>
      <c r="F102" s="134">
        <v>4</v>
      </c>
      <c r="G102" s="50">
        <f t="shared" si="11"/>
        <v>0</v>
      </c>
      <c r="H102" s="103"/>
      <c r="I102" s="141"/>
      <c r="J102" s="104"/>
      <c r="K102" s="103"/>
      <c r="L102" s="103"/>
      <c r="M102" s="141">
        <f t="shared" si="12"/>
        <v>0</v>
      </c>
      <c r="N102" s="103"/>
      <c r="O102" s="103" t="s">
        <v>946</v>
      </c>
      <c r="P102" s="137">
        <f t="shared" si="10"/>
        <v>0</v>
      </c>
    </row>
    <row r="103" spans="1:16" s="8" customFormat="1" ht="15.75" x14ac:dyDescent="0.25">
      <c r="A103" s="106" t="s">
        <v>75</v>
      </c>
      <c r="B103" s="102">
        <v>44193</v>
      </c>
      <c r="C103" s="25" t="s">
        <v>610</v>
      </c>
      <c r="D103" s="25" t="s">
        <v>1122</v>
      </c>
      <c r="E103" s="165">
        <f>13+7+29</f>
        <v>49</v>
      </c>
      <c r="F103" s="134">
        <v>5.05</v>
      </c>
      <c r="G103" s="50">
        <f t="shared" si="11"/>
        <v>247.45</v>
      </c>
      <c r="H103" s="103"/>
      <c r="I103" s="141"/>
      <c r="J103" s="104"/>
      <c r="K103" s="103"/>
      <c r="L103" s="103"/>
      <c r="M103" s="141">
        <f t="shared" si="12"/>
        <v>49</v>
      </c>
      <c r="N103" s="103"/>
      <c r="O103" s="103" t="s">
        <v>946</v>
      </c>
      <c r="P103" s="137">
        <f t="shared" si="10"/>
        <v>247.45</v>
      </c>
    </row>
    <row r="104" spans="1:16" s="8" customFormat="1" ht="15.75" x14ac:dyDescent="0.25">
      <c r="A104" s="106" t="s">
        <v>102</v>
      </c>
      <c r="B104" s="102">
        <v>44193</v>
      </c>
      <c r="C104" s="25" t="s">
        <v>611</v>
      </c>
      <c r="D104" s="25" t="s">
        <v>1122</v>
      </c>
      <c r="E104" s="165">
        <v>0</v>
      </c>
      <c r="F104" s="134">
        <v>42.95</v>
      </c>
      <c r="G104" s="50">
        <f t="shared" si="11"/>
        <v>0</v>
      </c>
      <c r="H104" s="103"/>
      <c r="I104" s="141"/>
      <c r="J104" s="104"/>
      <c r="K104" s="103"/>
      <c r="L104" s="103"/>
      <c r="M104" s="141">
        <f t="shared" si="12"/>
        <v>0</v>
      </c>
      <c r="N104" s="103"/>
      <c r="O104" s="103" t="s">
        <v>946</v>
      </c>
      <c r="P104" s="137">
        <f t="shared" si="10"/>
        <v>0</v>
      </c>
    </row>
    <row r="105" spans="1:16" s="8" customFormat="1" ht="15.75" x14ac:dyDescent="0.25">
      <c r="A105" s="106" t="s">
        <v>143</v>
      </c>
      <c r="B105" s="102">
        <v>44193</v>
      </c>
      <c r="C105" s="25" t="s">
        <v>612</v>
      </c>
      <c r="D105" s="25" t="s">
        <v>1122</v>
      </c>
      <c r="E105" s="161">
        <v>11</v>
      </c>
      <c r="F105" s="134">
        <v>19.95</v>
      </c>
      <c r="G105" s="50">
        <f t="shared" si="11"/>
        <v>219.45</v>
      </c>
      <c r="H105" s="103"/>
      <c r="I105" s="141"/>
      <c r="J105" s="104"/>
      <c r="K105" s="103"/>
      <c r="L105" s="103"/>
      <c r="M105" s="141">
        <f t="shared" si="12"/>
        <v>11</v>
      </c>
      <c r="N105" s="103"/>
      <c r="O105" s="103" t="s">
        <v>946</v>
      </c>
      <c r="P105" s="137">
        <f t="shared" si="10"/>
        <v>219.45</v>
      </c>
    </row>
    <row r="106" spans="1:16" s="8" customFormat="1" ht="15.75" x14ac:dyDescent="0.25">
      <c r="A106" s="106" t="s">
        <v>334</v>
      </c>
      <c r="B106" s="102">
        <v>44193</v>
      </c>
      <c r="C106" s="25" t="s">
        <v>613</v>
      </c>
      <c r="D106" s="25" t="s">
        <v>1122</v>
      </c>
      <c r="E106" s="161">
        <f>6+7</f>
        <v>13</v>
      </c>
      <c r="F106" s="134">
        <v>5.78</v>
      </c>
      <c r="G106" s="50">
        <f t="shared" si="11"/>
        <v>75.14</v>
      </c>
      <c r="H106" s="103"/>
      <c r="I106" s="141"/>
      <c r="J106" s="104"/>
      <c r="K106" s="103"/>
      <c r="L106" s="103"/>
      <c r="M106" s="141">
        <f t="shared" si="12"/>
        <v>13</v>
      </c>
      <c r="N106" s="103"/>
      <c r="O106" s="103" t="s">
        <v>946</v>
      </c>
      <c r="P106" s="137">
        <f t="shared" si="10"/>
        <v>75.14</v>
      </c>
    </row>
    <row r="107" spans="1:16" s="8" customFormat="1" ht="15.75" x14ac:dyDescent="0.25">
      <c r="A107" s="106" t="s">
        <v>335</v>
      </c>
      <c r="B107" s="102">
        <v>44193</v>
      </c>
      <c r="C107" s="25" t="s">
        <v>849</v>
      </c>
      <c r="D107" s="25" t="s">
        <v>1122</v>
      </c>
      <c r="E107" s="161">
        <v>1</v>
      </c>
      <c r="F107" s="134"/>
      <c r="G107" s="50">
        <f t="shared" si="11"/>
        <v>0</v>
      </c>
      <c r="H107" s="103"/>
      <c r="I107" s="141"/>
      <c r="J107" s="104"/>
      <c r="K107" s="103"/>
      <c r="L107" s="103"/>
      <c r="M107" s="141">
        <f t="shared" si="12"/>
        <v>1</v>
      </c>
      <c r="N107" s="103"/>
      <c r="O107" s="103" t="s">
        <v>946</v>
      </c>
      <c r="P107" s="137">
        <f t="shared" si="10"/>
        <v>0</v>
      </c>
    </row>
    <row r="108" spans="1:16" s="8" customFormat="1" ht="15.75" x14ac:dyDescent="0.25">
      <c r="A108" s="106" t="s">
        <v>336</v>
      </c>
      <c r="B108" s="102">
        <v>44193</v>
      </c>
      <c r="C108" s="25" t="s">
        <v>821</v>
      </c>
      <c r="D108" s="25" t="s">
        <v>1122</v>
      </c>
      <c r="E108" s="161">
        <v>9</v>
      </c>
      <c r="F108" s="134">
        <v>77.540000000000006</v>
      </c>
      <c r="G108" s="50">
        <f t="shared" si="11"/>
        <v>697.86</v>
      </c>
      <c r="H108" s="103"/>
      <c r="I108" s="141"/>
      <c r="J108" s="104"/>
      <c r="K108" s="103"/>
      <c r="L108" s="103"/>
      <c r="M108" s="141">
        <f t="shared" si="12"/>
        <v>9</v>
      </c>
      <c r="N108" s="103"/>
      <c r="O108" s="103" t="s">
        <v>946</v>
      </c>
      <c r="P108" s="137">
        <f t="shared" si="10"/>
        <v>697.86</v>
      </c>
    </row>
    <row r="109" spans="1:16" s="8" customFormat="1" ht="15.75" x14ac:dyDescent="0.25">
      <c r="A109" s="106" t="s">
        <v>337</v>
      </c>
      <c r="B109" s="102">
        <v>44193</v>
      </c>
      <c r="C109" s="25" t="s">
        <v>820</v>
      </c>
      <c r="D109" s="25" t="s">
        <v>1122</v>
      </c>
      <c r="E109" s="161">
        <v>21</v>
      </c>
      <c r="F109" s="134">
        <v>719.2</v>
      </c>
      <c r="G109" s="50">
        <f t="shared" si="11"/>
        <v>15103.2</v>
      </c>
      <c r="H109" s="103"/>
      <c r="I109" s="141"/>
      <c r="J109" s="104"/>
      <c r="K109" s="103"/>
      <c r="L109" s="103"/>
      <c r="M109" s="141">
        <f t="shared" si="12"/>
        <v>21</v>
      </c>
      <c r="N109" s="103"/>
      <c r="O109" s="103" t="s">
        <v>946</v>
      </c>
      <c r="P109" s="137">
        <f t="shared" si="10"/>
        <v>15103.2</v>
      </c>
    </row>
    <row r="110" spans="1:16" s="8" customFormat="1" ht="15.75" x14ac:dyDescent="0.25">
      <c r="A110" s="106" t="s">
        <v>338</v>
      </c>
      <c r="B110" s="102">
        <v>44193</v>
      </c>
      <c r="C110" s="25" t="s">
        <v>823</v>
      </c>
      <c r="D110" s="25" t="s">
        <v>1122</v>
      </c>
      <c r="E110" s="161">
        <v>3</v>
      </c>
      <c r="F110" s="134">
        <v>51</v>
      </c>
      <c r="G110" s="50">
        <f t="shared" si="11"/>
        <v>153</v>
      </c>
      <c r="H110" s="103"/>
      <c r="I110" s="141"/>
      <c r="J110" s="104"/>
      <c r="K110" s="103"/>
      <c r="L110" s="103"/>
      <c r="M110" s="141">
        <f>+E110+I110-L110</f>
        <v>3</v>
      </c>
      <c r="N110" s="103"/>
      <c r="O110" s="103" t="s">
        <v>946</v>
      </c>
      <c r="P110" s="137">
        <f t="shared" si="10"/>
        <v>153</v>
      </c>
    </row>
    <row r="111" spans="1:16" s="8" customFormat="1" ht="15.75" x14ac:dyDescent="0.25">
      <c r="A111" s="106" t="s">
        <v>339</v>
      </c>
      <c r="B111" s="102">
        <v>44193</v>
      </c>
      <c r="C111" s="25" t="s">
        <v>822</v>
      </c>
      <c r="D111" s="25" t="s">
        <v>1122</v>
      </c>
      <c r="E111" s="161">
        <v>12</v>
      </c>
      <c r="F111" s="134">
        <v>66.11</v>
      </c>
      <c r="G111" s="50">
        <f t="shared" si="11"/>
        <v>793.31999999999994</v>
      </c>
      <c r="H111" s="103"/>
      <c r="I111" s="141"/>
      <c r="J111" s="104"/>
      <c r="K111" s="103"/>
      <c r="L111" s="103"/>
      <c r="M111" s="141">
        <f t="shared" ref="M111:M175" si="13">+E111+I111-L111</f>
        <v>12</v>
      </c>
      <c r="N111" s="103"/>
      <c r="O111" s="103" t="s">
        <v>946</v>
      </c>
      <c r="P111" s="137">
        <f t="shared" si="10"/>
        <v>793.31999999999994</v>
      </c>
    </row>
    <row r="112" spans="1:16" s="8" customFormat="1" ht="15.75" x14ac:dyDescent="0.25">
      <c r="A112" s="106" t="s">
        <v>340</v>
      </c>
      <c r="B112" s="102">
        <v>44193</v>
      </c>
      <c r="C112" s="25" t="s">
        <v>802</v>
      </c>
      <c r="D112" s="25" t="s">
        <v>1122</v>
      </c>
      <c r="E112" s="161">
        <v>2</v>
      </c>
      <c r="F112" s="134">
        <v>70</v>
      </c>
      <c r="G112" s="50">
        <f t="shared" si="11"/>
        <v>140</v>
      </c>
      <c r="H112" s="103"/>
      <c r="I112" s="141"/>
      <c r="J112" s="104"/>
      <c r="K112" s="103"/>
      <c r="L112" s="103"/>
      <c r="M112" s="141">
        <f t="shared" si="13"/>
        <v>2</v>
      </c>
      <c r="N112" s="103"/>
      <c r="O112" s="103" t="s">
        <v>946</v>
      </c>
      <c r="P112" s="137">
        <f t="shared" si="10"/>
        <v>140</v>
      </c>
    </row>
    <row r="113" spans="1:16" s="8" customFormat="1" ht="15.75" x14ac:dyDescent="0.25">
      <c r="A113" s="106" t="s">
        <v>341</v>
      </c>
      <c r="B113" s="102">
        <v>44193</v>
      </c>
      <c r="C113" s="25" t="s">
        <v>804</v>
      </c>
      <c r="D113" s="25" t="s">
        <v>1122</v>
      </c>
      <c r="E113" s="161">
        <v>6</v>
      </c>
      <c r="F113" s="134">
        <v>450</v>
      </c>
      <c r="G113" s="50">
        <f t="shared" si="11"/>
        <v>2700</v>
      </c>
      <c r="H113" s="103"/>
      <c r="I113" s="141"/>
      <c r="J113" s="104"/>
      <c r="K113" s="103"/>
      <c r="L113" s="103">
        <v>1</v>
      </c>
      <c r="M113" s="141">
        <f t="shared" si="13"/>
        <v>5</v>
      </c>
      <c r="N113" s="103"/>
      <c r="O113" s="103" t="s">
        <v>946</v>
      </c>
      <c r="P113" s="137">
        <f t="shared" si="10"/>
        <v>2250</v>
      </c>
    </row>
    <row r="114" spans="1:16" s="8" customFormat="1" ht="15.75" x14ac:dyDescent="0.25">
      <c r="A114" s="106" t="s">
        <v>342</v>
      </c>
      <c r="B114" s="102">
        <v>44193</v>
      </c>
      <c r="C114" s="25" t="s">
        <v>801</v>
      </c>
      <c r="D114" s="25" t="s">
        <v>1122</v>
      </c>
      <c r="E114" s="161">
        <v>2</v>
      </c>
      <c r="F114" s="134">
        <v>719.2</v>
      </c>
      <c r="G114" s="50">
        <f t="shared" si="11"/>
        <v>1438.4</v>
      </c>
      <c r="H114" s="103"/>
      <c r="I114" s="141"/>
      <c r="J114" s="104"/>
      <c r="K114" s="103"/>
      <c r="L114" s="103">
        <v>2</v>
      </c>
      <c r="M114" s="141">
        <f t="shared" si="13"/>
        <v>0</v>
      </c>
      <c r="N114" s="103"/>
      <c r="O114" s="103" t="s">
        <v>946</v>
      </c>
      <c r="P114" s="137">
        <f t="shared" si="10"/>
        <v>0</v>
      </c>
    </row>
    <row r="115" spans="1:16" s="8" customFormat="1" ht="15.75" x14ac:dyDescent="0.25">
      <c r="A115" s="106" t="s">
        <v>343</v>
      </c>
      <c r="B115" s="102">
        <v>44193</v>
      </c>
      <c r="C115" s="25" t="s">
        <v>616</v>
      </c>
      <c r="D115" s="25" t="s">
        <v>1122</v>
      </c>
      <c r="E115" s="165">
        <v>0</v>
      </c>
      <c r="F115" s="134">
        <v>2950</v>
      </c>
      <c r="G115" s="50">
        <f t="shared" si="11"/>
        <v>0</v>
      </c>
      <c r="H115" s="103"/>
      <c r="I115" s="141"/>
      <c r="J115" s="104"/>
      <c r="K115" s="103"/>
      <c r="L115" s="103"/>
      <c r="M115" s="141">
        <f t="shared" si="13"/>
        <v>0</v>
      </c>
      <c r="N115" s="103"/>
      <c r="O115" s="103" t="s">
        <v>946</v>
      </c>
      <c r="P115" s="137">
        <f t="shared" si="10"/>
        <v>0</v>
      </c>
    </row>
    <row r="116" spans="1:16" s="8" customFormat="1" ht="15.75" x14ac:dyDescent="0.25">
      <c r="A116" s="106" t="s">
        <v>344</v>
      </c>
      <c r="B116" s="102">
        <v>44193</v>
      </c>
      <c r="C116" s="25" t="s">
        <v>617</v>
      </c>
      <c r="D116" s="25" t="s">
        <v>1122</v>
      </c>
      <c r="E116" s="165">
        <v>5</v>
      </c>
      <c r="F116" s="134">
        <v>29</v>
      </c>
      <c r="G116" s="50">
        <f t="shared" si="11"/>
        <v>145</v>
      </c>
      <c r="H116" s="103"/>
      <c r="I116" s="141"/>
      <c r="J116" s="104"/>
      <c r="K116" s="103"/>
      <c r="L116" s="103">
        <v>4</v>
      </c>
      <c r="M116" s="141">
        <f t="shared" si="13"/>
        <v>1</v>
      </c>
      <c r="N116" s="103"/>
      <c r="O116" s="103" t="s">
        <v>946</v>
      </c>
      <c r="P116" s="137">
        <f t="shared" si="10"/>
        <v>29</v>
      </c>
    </row>
    <row r="117" spans="1:16" s="8" customFormat="1" ht="15.75" x14ac:dyDescent="0.25">
      <c r="A117" s="106" t="s">
        <v>345</v>
      </c>
      <c r="B117" s="102">
        <v>45042</v>
      </c>
      <c r="C117" s="9" t="s">
        <v>618</v>
      </c>
      <c r="D117" s="25" t="s">
        <v>1122</v>
      </c>
      <c r="E117" s="161">
        <f>12*4</f>
        <v>48</v>
      </c>
      <c r="F117" s="171">
        <v>22</v>
      </c>
      <c r="G117" s="50">
        <f t="shared" si="11"/>
        <v>1056</v>
      </c>
      <c r="H117" s="103"/>
      <c r="I117" s="141"/>
      <c r="J117" s="104"/>
      <c r="K117" s="103"/>
      <c r="L117" s="103">
        <v>1</v>
      </c>
      <c r="M117" s="151">
        <f t="shared" si="13"/>
        <v>47</v>
      </c>
      <c r="N117" s="103"/>
      <c r="O117" s="103" t="s">
        <v>947</v>
      </c>
      <c r="P117" s="137">
        <f t="shared" si="10"/>
        <v>1034</v>
      </c>
    </row>
    <row r="118" spans="1:16" s="92" customFormat="1" x14ac:dyDescent="0.3">
      <c r="A118" s="106" t="s">
        <v>346</v>
      </c>
      <c r="B118" s="102">
        <v>44193</v>
      </c>
      <c r="C118" s="25" t="s">
        <v>619</v>
      </c>
      <c r="D118" s="25" t="s">
        <v>1122</v>
      </c>
      <c r="E118" s="165">
        <v>12</v>
      </c>
      <c r="F118" s="134">
        <v>155</v>
      </c>
      <c r="G118" s="50">
        <f t="shared" si="11"/>
        <v>1860</v>
      </c>
      <c r="H118" s="103"/>
      <c r="I118" s="141"/>
      <c r="J118" s="104"/>
      <c r="K118" s="103"/>
      <c r="L118" s="103">
        <f>2+1+1+1+1+1+1+1+3</f>
        <v>12</v>
      </c>
      <c r="M118" s="141">
        <f t="shared" si="13"/>
        <v>0</v>
      </c>
      <c r="N118" s="103"/>
      <c r="O118" s="103" t="s">
        <v>945</v>
      </c>
      <c r="P118" s="137">
        <f t="shared" si="10"/>
        <v>0</v>
      </c>
    </row>
    <row r="119" spans="1:16" s="92" customFormat="1" x14ac:dyDescent="0.3">
      <c r="A119" s="106" t="s">
        <v>347</v>
      </c>
      <c r="B119" s="102">
        <v>44777</v>
      </c>
      <c r="C119" s="25" t="s">
        <v>620</v>
      </c>
      <c r="D119" s="25" t="s">
        <v>1122</v>
      </c>
      <c r="E119" s="165">
        <v>90</v>
      </c>
      <c r="F119" s="134">
        <v>71.95</v>
      </c>
      <c r="G119" s="50">
        <f t="shared" si="11"/>
        <v>6475.5</v>
      </c>
      <c r="H119" s="103"/>
      <c r="I119" s="141"/>
      <c r="J119" s="104"/>
      <c r="K119" s="103"/>
      <c r="L119" s="103">
        <v>90</v>
      </c>
      <c r="M119" s="141">
        <f t="shared" si="13"/>
        <v>0</v>
      </c>
      <c r="N119" s="103"/>
      <c r="O119" s="103" t="s">
        <v>945</v>
      </c>
      <c r="P119" s="137">
        <f t="shared" si="10"/>
        <v>0</v>
      </c>
    </row>
    <row r="120" spans="1:16" s="8" customFormat="1" ht="15.75" x14ac:dyDescent="0.25">
      <c r="A120" s="106" t="s">
        <v>348</v>
      </c>
      <c r="B120" s="102">
        <v>44193</v>
      </c>
      <c r="C120" s="25" t="s">
        <v>626</v>
      </c>
      <c r="D120" s="25" t="s">
        <v>1122</v>
      </c>
      <c r="E120" s="165">
        <v>0</v>
      </c>
      <c r="F120" s="134">
        <v>190.68</v>
      </c>
      <c r="G120" s="50">
        <f t="shared" si="11"/>
        <v>0</v>
      </c>
      <c r="H120" s="103"/>
      <c r="I120" s="141"/>
      <c r="J120" s="104"/>
      <c r="K120" s="103"/>
      <c r="L120" s="103"/>
      <c r="M120" s="141">
        <f t="shared" si="13"/>
        <v>0</v>
      </c>
      <c r="N120" s="103"/>
      <c r="O120" s="103" t="s">
        <v>946</v>
      </c>
      <c r="P120" s="137">
        <f t="shared" si="10"/>
        <v>0</v>
      </c>
    </row>
    <row r="121" spans="1:16" s="92" customFormat="1" x14ac:dyDescent="0.3">
      <c r="A121" s="106" t="s">
        <v>349</v>
      </c>
      <c r="B121" s="167">
        <v>44851</v>
      </c>
      <c r="C121" s="25" t="s">
        <v>621</v>
      </c>
      <c r="D121" s="25" t="s">
        <v>1122</v>
      </c>
      <c r="E121" s="165">
        <v>1</v>
      </c>
      <c r="F121" s="134">
        <v>1187.08</v>
      </c>
      <c r="G121" s="50">
        <f t="shared" si="11"/>
        <v>1187.08</v>
      </c>
      <c r="H121" s="124">
        <v>44851</v>
      </c>
      <c r="I121" s="141">
        <v>20</v>
      </c>
      <c r="J121" s="126">
        <v>1187.08</v>
      </c>
      <c r="K121" s="127">
        <f>+I121*J121</f>
        <v>23741.599999999999</v>
      </c>
      <c r="L121" s="103">
        <v>12</v>
      </c>
      <c r="M121" s="151">
        <f t="shared" si="13"/>
        <v>9</v>
      </c>
      <c r="N121" s="103"/>
      <c r="O121" s="103" t="s">
        <v>945</v>
      </c>
      <c r="P121" s="137">
        <f t="shared" si="10"/>
        <v>10683.72</v>
      </c>
    </row>
    <row r="122" spans="1:16" s="92" customFormat="1" x14ac:dyDescent="0.3">
      <c r="A122" s="106" t="s">
        <v>350</v>
      </c>
      <c r="B122" s="102">
        <v>44193</v>
      </c>
      <c r="C122" s="25" t="s">
        <v>622</v>
      </c>
      <c r="D122" s="25" t="s">
        <v>1122</v>
      </c>
      <c r="E122" s="165">
        <v>0</v>
      </c>
      <c r="F122" s="134">
        <v>1400</v>
      </c>
      <c r="G122" s="50">
        <f t="shared" si="11"/>
        <v>0</v>
      </c>
      <c r="H122" s="103"/>
      <c r="I122" s="141"/>
      <c r="J122" s="104"/>
      <c r="K122" s="103"/>
      <c r="L122" s="103"/>
      <c r="M122" s="141">
        <f t="shared" si="13"/>
        <v>0</v>
      </c>
      <c r="N122" s="103"/>
      <c r="O122" s="103" t="s">
        <v>945</v>
      </c>
      <c r="P122" s="137">
        <f t="shared" si="10"/>
        <v>0</v>
      </c>
    </row>
    <row r="123" spans="1:16" s="92" customFormat="1" x14ac:dyDescent="0.3">
      <c r="A123" s="106" t="s">
        <v>351</v>
      </c>
      <c r="B123" s="102">
        <v>44456</v>
      </c>
      <c r="C123" s="25" t="s">
        <v>623</v>
      </c>
      <c r="D123" s="25" t="s">
        <v>1122</v>
      </c>
      <c r="E123" s="165">
        <v>13</v>
      </c>
      <c r="F123" s="134">
        <v>1099</v>
      </c>
      <c r="G123" s="50">
        <f t="shared" si="11"/>
        <v>14287</v>
      </c>
      <c r="H123" s="103"/>
      <c r="I123" s="141"/>
      <c r="J123" s="104"/>
      <c r="K123" s="103"/>
      <c r="L123" s="103">
        <v>7</v>
      </c>
      <c r="M123" s="151">
        <f t="shared" si="13"/>
        <v>6</v>
      </c>
      <c r="N123" s="103"/>
      <c r="O123" s="103" t="s">
        <v>945</v>
      </c>
      <c r="P123" s="137">
        <f t="shared" si="10"/>
        <v>6594</v>
      </c>
    </row>
    <row r="124" spans="1:16" s="92" customFormat="1" x14ac:dyDescent="0.3">
      <c r="A124" s="106" t="s">
        <v>352</v>
      </c>
      <c r="B124" s="102">
        <v>44456</v>
      </c>
      <c r="C124" s="25" t="s">
        <v>767</v>
      </c>
      <c r="D124" s="25" t="s">
        <v>1122</v>
      </c>
      <c r="E124" s="165">
        <v>18</v>
      </c>
      <c r="F124" s="134">
        <v>4000</v>
      </c>
      <c r="G124" s="50">
        <f t="shared" si="11"/>
        <v>72000</v>
      </c>
      <c r="H124" s="103"/>
      <c r="I124" s="141"/>
      <c r="J124" s="104"/>
      <c r="K124" s="103"/>
      <c r="L124" s="103">
        <f>4+4+3</f>
        <v>11</v>
      </c>
      <c r="M124" s="141">
        <f t="shared" si="13"/>
        <v>7</v>
      </c>
      <c r="N124" s="103"/>
      <c r="O124" s="103" t="s">
        <v>945</v>
      </c>
      <c r="P124" s="137">
        <f t="shared" si="10"/>
        <v>28000</v>
      </c>
    </row>
    <row r="125" spans="1:16" s="92" customFormat="1" x14ac:dyDescent="0.3">
      <c r="A125" s="106" t="s">
        <v>353</v>
      </c>
      <c r="B125" s="102">
        <v>44193</v>
      </c>
      <c r="C125" s="25" t="s">
        <v>625</v>
      </c>
      <c r="D125" s="25" t="s">
        <v>1122</v>
      </c>
      <c r="E125" s="165">
        <v>5</v>
      </c>
      <c r="F125" s="134">
        <v>1400</v>
      </c>
      <c r="G125" s="50">
        <f t="shared" si="11"/>
        <v>7000</v>
      </c>
      <c r="H125" s="103"/>
      <c r="I125" s="141"/>
      <c r="J125" s="104"/>
      <c r="K125" s="103"/>
      <c r="L125" s="103"/>
      <c r="M125" s="141">
        <f t="shared" si="13"/>
        <v>5</v>
      </c>
      <c r="N125" s="103"/>
      <c r="O125" s="103" t="s">
        <v>945</v>
      </c>
      <c r="P125" s="137">
        <f t="shared" si="10"/>
        <v>7000</v>
      </c>
    </row>
    <row r="126" spans="1:16" s="8" customFormat="1" ht="15.75" x14ac:dyDescent="0.25">
      <c r="A126" s="106" t="s">
        <v>354</v>
      </c>
      <c r="B126" s="106" t="s">
        <v>106</v>
      </c>
      <c r="C126" s="28" t="s">
        <v>627</v>
      </c>
      <c r="D126" s="25" t="s">
        <v>1122</v>
      </c>
      <c r="E126" s="168">
        <v>100</v>
      </c>
      <c r="F126" s="172">
        <v>28</v>
      </c>
      <c r="G126" s="50">
        <f t="shared" si="11"/>
        <v>2800</v>
      </c>
      <c r="H126" s="103"/>
      <c r="I126" s="141"/>
      <c r="J126" s="104"/>
      <c r="K126" s="103"/>
      <c r="L126" s="103"/>
      <c r="M126" s="141">
        <f t="shared" si="13"/>
        <v>100</v>
      </c>
      <c r="N126" s="103"/>
      <c r="O126" s="103" t="s">
        <v>947</v>
      </c>
      <c r="P126" s="137">
        <f t="shared" si="10"/>
        <v>2800</v>
      </c>
    </row>
    <row r="127" spans="1:16" s="8" customFormat="1" ht="15.75" x14ac:dyDescent="0.25">
      <c r="A127" s="106" t="s">
        <v>355</v>
      </c>
      <c r="B127" s="106" t="s">
        <v>114</v>
      </c>
      <c r="C127" s="25" t="s">
        <v>80</v>
      </c>
      <c r="D127" s="25" t="s">
        <v>1122</v>
      </c>
      <c r="E127" s="165">
        <v>0</v>
      </c>
      <c r="F127" s="171">
        <v>85</v>
      </c>
      <c r="G127" s="50">
        <f t="shared" si="11"/>
        <v>0</v>
      </c>
      <c r="H127" s="103"/>
      <c r="I127" s="141"/>
      <c r="J127" s="104"/>
      <c r="K127" s="103"/>
      <c r="L127" s="103"/>
      <c r="M127" s="141">
        <f t="shared" si="13"/>
        <v>0</v>
      </c>
      <c r="N127" s="103"/>
      <c r="O127" s="103" t="s">
        <v>946</v>
      </c>
      <c r="P127" s="137">
        <f t="shared" si="10"/>
        <v>0</v>
      </c>
    </row>
    <row r="128" spans="1:16" s="8" customFormat="1" ht="15.75" x14ac:dyDescent="0.25">
      <c r="A128" s="106" t="s">
        <v>356</v>
      </c>
      <c r="B128" s="102">
        <v>44193</v>
      </c>
      <c r="C128" s="9" t="s">
        <v>628</v>
      </c>
      <c r="D128" s="25" t="s">
        <v>1122</v>
      </c>
      <c r="E128" s="166">
        <v>1</v>
      </c>
      <c r="F128" s="134">
        <v>550</v>
      </c>
      <c r="G128" s="50">
        <f t="shared" si="11"/>
        <v>550</v>
      </c>
      <c r="H128" s="103"/>
      <c r="I128" s="141"/>
      <c r="J128" s="104"/>
      <c r="K128" s="103"/>
      <c r="L128" s="103"/>
      <c r="M128" s="141">
        <f t="shared" si="13"/>
        <v>1</v>
      </c>
      <c r="N128" s="103"/>
      <c r="O128" s="103" t="s">
        <v>946</v>
      </c>
      <c r="P128" s="137">
        <f t="shared" si="10"/>
        <v>550</v>
      </c>
    </row>
    <row r="129" spans="1:16" s="92" customFormat="1" x14ac:dyDescent="0.3">
      <c r="A129" s="106" t="s">
        <v>357</v>
      </c>
      <c r="B129" s="102">
        <v>44193</v>
      </c>
      <c r="C129" s="9" t="s">
        <v>629</v>
      </c>
      <c r="D129" s="25" t="s">
        <v>1122</v>
      </c>
      <c r="E129" s="106">
        <v>0</v>
      </c>
      <c r="F129" s="134">
        <v>60</v>
      </c>
      <c r="G129" s="50">
        <f t="shared" si="11"/>
        <v>0</v>
      </c>
      <c r="H129" s="103"/>
      <c r="I129" s="141"/>
      <c r="J129" s="104"/>
      <c r="K129" s="103"/>
      <c r="L129" s="103"/>
      <c r="M129" s="141">
        <f t="shared" si="13"/>
        <v>0</v>
      </c>
      <c r="N129" s="103"/>
      <c r="O129" s="103" t="s">
        <v>945</v>
      </c>
      <c r="P129" s="137">
        <f t="shared" si="10"/>
        <v>0</v>
      </c>
    </row>
    <row r="130" spans="1:16" s="92" customFormat="1" x14ac:dyDescent="0.3">
      <c r="A130" s="106" t="s">
        <v>358</v>
      </c>
      <c r="B130" s="102">
        <v>45019</v>
      </c>
      <c r="C130" s="25" t="s">
        <v>631</v>
      </c>
      <c r="D130" s="25" t="s">
        <v>1122</v>
      </c>
      <c r="E130" s="165">
        <f>7*12</f>
        <v>84</v>
      </c>
      <c r="F130" s="134">
        <v>115.53</v>
      </c>
      <c r="G130" s="50">
        <f t="shared" si="11"/>
        <v>9704.52</v>
      </c>
      <c r="H130" s="103"/>
      <c r="I130" s="141"/>
      <c r="J130" s="104"/>
      <c r="K130" s="103"/>
      <c r="L130" s="103">
        <f>2+1+2+1+1+1+1+1+1</f>
        <v>11</v>
      </c>
      <c r="M130" s="151">
        <f>+E130+I130-L130</f>
        <v>73</v>
      </c>
      <c r="N130" s="103"/>
      <c r="O130" s="103" t="s">
        <v>945</v>
      </c>
      <c r="P130" s="137">
        <f t="shared" si="10"/>
        <v>8433.69</v>
      </c>
    </row>
    <row r="131" spans="1:16" s="92" customFormat="1" x14ac:dyDescent="0.3">
      <c r="A131" s="106" t="s">
        <v>359</v>
      </c>
      <c r="B131" s="102">
        <v>44656</v>
      </c>
      <c r="C131" s="25" t="s">
        <v>632</v>
      </c>
      <c r="D131" s="25" t="s">
        <v>1122</v>
      </c>
      <c r="E131" s="165">
        <v>12</v>
      </c>
      <c r="F131" s="134">
        <v>128.62</v>
      </c>
      <c r="G131" s="50">
        <f t="shared" si="11"/>
        <v>1543.44</v>
      </c>
      <c r="H131" s="103"/>
      <c r="I131" s="141"/>
      <c r="J131" s="104"/>
      <c r="K131" s="103"/>
      <c r="L131" s="103">
        <v>12</v>
      </c>
      <c r="M131" s="141">
        <f t="shared" si="13"/>
        <v>0</v>
      </c>
      <c r="N131" s="103"/>
      <c r="O131" s="103" t="s">
        <v>945</v>
      </c>
      <c r="P131" s="137">
        <f t="shared" si="10"/>
        <v>0</v>
      </c>
    </row>
    <row r="132" spans="1:16" s="92" customFormat="1" x14ac:dyDescent="0.3">
      <c r="A132" s="106" t="s">
        <v>360</v>
      </c>
      <c r="B132" s="102">
        <v>44659</v>
      </c>
      <c r="C132" s="25" t="s">
        <v>633</v>
      </c>
      <c r="D132" s="25" t="s">
        <v>1122</v>
      </c>
      <c r="E132" s="160">
        <v>41</v>
      </c>
      <c r="F132" s="134">
        <v>325</v>
      </c>
      <c r="G132" s="50">
        <f t="shared" si="11"/>
        <v>13325</v>
      </c>
      <c r="H132" s="103"/>
      <c r="I132" s="141"/>
      <c r="J132" s="104"/>
      <c r="K132" s="103"/>
      <c r="L132" s="103"/>
      <c r="M132" s="141">
        <f t="shared" si="13"/>
        <v>41</v>
      </c>
      <c r="N132" s="103"/>
      <c r="O132" s="103" t="s">
        <v>945</v>
      </c>
      <c r="P132" s="137">
        <f t="shared" si="10"/>
        <v>13325</v>
      </c>
    </row>
    <row r="133" spans="1:16" s="8" customFormat="1" ht="15.75" x14ac:dyDescent="0.25">
      <c r="A133" s="106" t="s">
        <v>361</v>
      </c>
      <c r="B133" s="102"/>
      <c r="C133" s="25" t="s">
        <v>861</v>
      </c>
      <c r="D133" s="25" t="s">
        <v>1122</v>
      </c>
      <c r="E133" s="162">
        <f>8+48</f>
        <v>56</v>
      </c>
      <c r="F133" s="134"/>
      <c r="G133" s="50">
        <f t="shared" ref="G133:G138" si="14">+E133*F133</f>
        <v>0</v>
      </c>
      <c r="H133" s="103"/>
      <c r="I133" s="141"/>
      <c r="J133" s="104"/>
      <c r="K133" s="103"/>
      <c r="L133" s="103"/>
      <c r="M133" s="141">
        <f t="shared" si="13"/>
        <v>56</v>
      </c>
      <c r="N133" s="103"/>
      <c r="O133" s="103" t="s">
        <v>947</v>
      </c>
      <c r="P133" s="137">
        <f t="shared" si="10"/>
        <v>0</v>
      </c>
    </row>
    <row r="134" spans="1:16" s="8" customFormat="1" ht="15.75" x14ac:dyDescent="0.25">
      <c r="A134" s="106" t="s">
        <v>362</v>
      </c>
      <c r="B134" s="102"/>
      <c r="C134" s="25" t="s">
        <v>862</v>
      </c>
      <c r="D134" s="25" t="s">
        <v>1122</v>
      </c>
      <c r="E134" s="162">
        <v>74</v>
      </c>
      <c r="F134" s="134"/>
      <c r="G134" s="50">
        <f t="shared" si="14"/>
        <v>0</v>
      </c>
      <c r="H134" s="103"/>
      <c r="I134" s="141"/>
      <c r="J134" s="104"/>
      <c r="K134" s="103"/>
      <c r="L134" s="103"/>
      <c r="M134" s="141">
        <f t="shared" si="13"/>
        <v>74</v>
      </c>
      <c r="N134" s="103"/>
      <c r="O134" s="103" t="s">
        <v>947</v>
      </c>
      <c r="P134" s="137">
        <f t="shared" si="10"/>
        <v>0</v>
      </c>
    </row>
    <row r="135" spans="1:16" s="8" customFormat="1" ht="15.75" x14ac:dyDescent="0.25">
      <c r="A135" s="106" t="s">
        <v>363</v>
      </c>
      <c r="B135" s="102"/>
      <c r="C135" s="25" t="s">
        <v>863</v>
      </c>
      <c r="D135" s="25" t="s">
        <v>1122</v>
      </c>
      <c r="E135" s="162">
        <f>79+33+106</f>
        <v>218</v>
      </c>
      <c r="F135" s="134"/>
      <c r="G135" s="50">
        <f t="shared" si="14"/>
        <v>0</v>
      </c>
      <c r="H135" s="103"/>
      <c r="I135" s="141"/>
      <c r="J135" s="104"/>
      <c r="K135" s="103"/>
      <c r="L135" s="103"/>
      <c r="M135" s="141">
        <f t="shared" si="13"/>
        <v>218</v>
      </c>
      <c r="N135" s="103"/>
      <c r="O135" s="103" t="s">
        <v>947</v>
      </c>
      <c r="P135" s="137">
        <f t="shared" si="10"/>
        <v>0</v>
      </c>
    </row>
    <row r="136" spans="1:16" s="8" customFormat="1" ht="15.75" x14ac:dyDescent="0.25">
      <c r="A136" s="106" t="s">
        <v>364</v>
      </c>
      <c r="B136" s="102"/>
      <c r="C136" s="25" t="s">
        <v>864</v>
      </c>
      <c r="D136" s="25" t="s">
        <v>1122</v>
      </c>
      <c r="E136" s="162">
        <v>46</v>
      </c>
      <c r="F136" s="134"/>
      <c r="G136" s="50">
        <f t="shared" si="14"/>
        <v>0</v>
      </c>
      <c r="H136" s="103"/>
      <c r="I136" s="141"/>
      <c r="J136" s="104"/>
      <c r="K136" s="103"/>
      <c r="L136" s="103"/>
      <c r="M136" s="141">
        <f t="shared" si="13"/>
        <v>46</v>
      </c>
      <c r="N136" s="103"/>
      <c r="O136" s="103" t="s">
        <v>947</v>
      </c>
      <c r="P136" s="137">
        <f t="shared" si="10"/>
        <v>0</v>
      </c>
    </row>
    <row r="137" spans="1:16" s="8" customFormat="1" ht="15.75" x14ac:dyDescent="0.25">
      <c r="A137" s="106" t="s">
        <v>365</v>
      </c>
      <c r="B137" s="102"/>
      <c r="C137" s="25" t="s">
        <v>865</v>
      </c>
      <c r="D137" s="25" t="s">
        <v>1122</v>
      </c>
      <c r="E137" s="162">
        <v>41</v>
      </c>
      <c r="F137" s="134"/>
      <c r="G137" s="50">
        <f t="shared" si="14"/>
        <v>0</v>
      </c>
      <c r="H137" s="103"/>
      <c r="I137" s="141"/>
      <c r="J137" s="104"/>
      <c r="K137" s="103"/>
      <c r="L137" s="103"/>
      <c r="M137" s="141">
        <f t="shared" si="13"/>
        <v>41</v>
      </c>
      <c r="N137" s="103"/>
      <c r="O137" s="103" t="s">
        <v>947</v>
      </c>
      <c r="P137" s="137">
        <f t="shared" si="10"/>
        <v>0</v>
      </c>
    </row>
    <row r="138" spans="1:16" s="8" customFormat="1" ht="15.75" x14ac:dyDescent="0.25">
      <c r="A138" s="106" t="s">
        <v>366</v>
      </c>
      <c r="B138" s="102"/>
      <c r="C138" s="25" t="s">
        <v>866</v>
      </c>
      <c r="D138" s="25" t="s">
        <v>1122</v>
      </c>
      <c r="E138" s="162">
        <f>34+1</f>
        <v>35</v>
      </c>
      <c r="F138" s="134"/>
      <c r="G138" s="50">
        <f t="shared" si="14"/>
        <v>0</v>
      </c>
      <c r="H138" s="103"/>
      <c r="I138" s="141"/>
      <c r="J138" s="104"/>
      <c r="K138" s="103"/>
      <c r="L138" s="103"/>
      <c r="M138" s="141">
        <f t="shared" si="13"/>
        <v>35</v>
      </c>
      <c r="N138" s="103"/>
      <c r="O138" s="103" t="s">
        <v>947</v>
      </c>
      <c r="P138" s="137">
        <f t="shared" si="10"/>
        <v>0</v>
      </c>
    </row>
    <row r="139" spans="1:16" s="92" customFormat="1" x14ac:dyDescent="0.3">
      <c r="A139" s="106" t="s">
        <v>367</v>
      </c>
      <c r="B139" s="129">
        <v>44748</v>
      </c>
      <c r="C139" s="25" t="s">
        <v>719</v>
      </c>
      <c r="D139" s="25" t="s">
        <v>1122</v>
      </c>
      <c r="E139" s="165"/>
      <c r="F139" s="171">
        <v>161.66999999999999</v>
      </c>
      <c r="G139" s="50">
        <f>E139*F139</f>
        <v>0</v>
      </c>
      <c r="H139" s="107">
        <v>44748</v>
      </c>
      <c r="I139" s="137">
        <f>3*6</f>
        <v>18</v>
      </c>
      <c r="J139" s="104">
        <v>161.66666666666666</v>
      </c>
      <c r="K139" s="108">
        <f>+I139*J139</f>
        <v>2910</v>
      </c>
      <c r="L139" s="103">
        <v>18</v>
      </c>
      <c r="M139" s="141">
        <f t="shared" si="13"/>
        <v>0</v>
      </c>
      <c r="N139" s="103"/>
      <c r="O139" s="103" t="s">
        <v>945</v>
      </c>
      <c r="P139" s="137">
        <f t="shared" si="10"/>
        <v>0</v>
      </c>
    </row>
    <row r="140" spans="1:16" s="8" customFormat="1" ht="15.75" x14ac:dyDescent="0.25">
      <c r="A140" s="106" t="s">
        <v>368</v>
      </c>
      <c r="B140" s="102">
        <v>44193</v>
      </c>
      <c r="C140" s="25" t="s">
        <v>813</v>
      </c>
      <c r="D140" s="25" t="s">
        <v>1122</v>
      </c>
      <c r="E140" s="165">
        <v>8</v>
      </c>
      <c r="F140" s="134">
        <v>1375</v>
      </c>
      <c r="G140" s="50">
        <f>E140*F140</f>
        <v>11000</v>
      </c>
      <c r="H140" s="103"/>
      <c r="I140" s="141"/>
      <c r="J140" s="104"/>
      <c r="K140" s="103"/>
      <c r="L140" s="103"/>
      <c r="M140" s="141">
        <f t="shared" si="13"/>
        <v>8</v>
      </c>
      <c r="N140" s="103"/>
      <c r="O140" s="103" t="s">
        <v>946</v>
      </c>
      <c r="P140" s="137">
        <f t="shared" si="10"/>
        <v>11000</v>
      </c>
    </row>
    <row r="141" spans="1:16" s="8" customFormat="1" ht="15.75" x14ac:dyDescent="0.25">
      <c r="A141" s="106" t="s">
        <v>369</v>
      </c>
      <c r="B141" s="106" t="s">
        <v>114</v>
      </c>
      <c r="C141" s="25" t="s">
        <v>642</v>
      </c>
      <c r="D141" s="25" t="s">
        <v>1122</v>
      </c>
      <c r="E141" s="165">
        <v>8</v>
      </c>
      <c r="F141" s="134">
        <v>1375</v>
      </c>
      <c r="G141" s="50">
        <f>E141*F141</f>
        <v>11000</v>
      </c>
      <c r="H141" s="103"/>
      <c r="I141" s="141"/>
      <c r="J141" s="104"/>
      <c r="K141" s="103"/>
      <c r="L141" s="103">
        <v>1</v>
      </c>
      <c r="M141" s="141">
        <f t="shared" si="13"/>
        <v>7</v>
      </c>
      <c r="N141" s="103"/>
      <c r="O141" s="103" t="s">
        <v>946</v>
      </c>
      <c r="P141" s="137">
        <f t="shared" si="10"/>
        <v>9625</v>
      </c>
    </row>
    <row r="142" spans="1:16" s="8" customFormat="1" ht="15.75" x14ac:dyDescent="0.25">
      <c r="A142" s="106" t="s">
        <v>370</v>
      </c>
      <c r="B142" s="102"/>
      <c r="C142" s="25" t="s">
        <v>833</v>
      </c>
      <c r="D142" s="25" t="s">
        <v>1122</v>
      </c>
      <c r="E142" s="165">
        <v>7</v>
      </c>
      <c r="F142" s="134"/>
      <c r="G142" s="50"/>
      <c r="H142" s="103"/>
      <c r="I142" s="141"/>
      <c r="J142" s="104"/>
      <c r="K142" s="103"/>
      <c r="L142" s="103"/>
      <c r="M142" s="141">
        <f t="shared" si="13"/>
        <v>7</v>
      </c>
      <c r="N142" s="103"/>
      <c r="O142" s="103" t="s">
        <v>946</v>
      </c>
      <c r="P142" s="137">
        <f t="shared" si="10"/>
        <v>0</v>
      </c>
    </row>
    <row r="143" spans="1:16" s="8" customFormat="1" ht="15.75" x14ac:dyDescent="0.25">
      <c r="A143" s="106" t="s">
        <v>371</v>
      </c>
      <c r="B143" s="102">
        <v>44193</v>
      </c>
      <c r="C143" s="25" t="s">
        <v>643</v>
      </c>
      <c r="D143" s="25" t="s">
        <v>1122</v>
      </c>
      <c r="E143" s="165">
        <v>4</v>
      </c>
      <c r="F143" s="134">
        <v>1375</v>
      </c>
      <c r="G143" s="50">
        <f>E143*F143</f>
        <v>5500</v>
      </c>
      <c r="H143" s="103"/>
      <c r="I143" s="141"/>
      <c r="J143" s="104"/>
      <c r="K143" s="103"/>
      <c r="L143" s="103"/>
      <c r="M143" s="141">
        <f t="shared" si="13"/>
        <v>4</v>
      </c>
      <c r="N143" s="103"/>
      <c r="O143" s="103" t="s">
        <v>946</v>
      </c>
      <c r="P143" s="137">
        <f t="shared" si="10"/>
        <v>5500</v>
      </c>
    </row>
    <row r="144" spans="1:16" s="8" customFormat="1" ht="15.75" x14ac:dyDescent="0.25">
      <c r="A144" s="106" t="s">
        <v>372</v>
      </c>
      <c r="B144" s="106"/>
      <c r="C144" s="25" t="s">
        <v>816</v>
      </c>
      <c r="D144" s="25" t="s">
        <v>1122</v>
      </c>
      <c r="E144" s="165">
        <v>2</v>
      </c>
      <c r="F144" s="134"/>
      <c r="G144" s="50"/>
      <c r="H144" s="103"/>
      <c r="I144" s="141"/>
      <c r="J144" s="104"/>
      <c r="K144" s="103"/>
      <c r="L144" s="103"/>
      <c r="M144" s="141">
        <f t="shared" si="13"/>
        <v>2</v>
      </c>
      <c r="N144" s="103"/>
      <c r="O144" s="103" t="s">
        <v>946</v>
      </c>
      <c r="P144" s="137">
        <f t="shared" si="10"/>
        <v>0</v>
      </c>
    </row>
    <row r="145" spans="1:16" s="8" customFormat="1" ht="15.75" x14ac:dyDescent="0.25">
      <c r="A145" s="106" t="s">
        <v>373</v>
      </c>
      <c r="B145" s="102"/>
      <c r="C145" s="25" t="s">
        <v>829</v>
      </c>
      <c r="D145" s="25" t="s">
        <v>1122</v>
      </c>
      <c r="E145" s="165">
        <v>2</v>
      </c>
      <c r="F145" s="134"/>
      <c r="G145" s="50"/>
      <c r="H145" s="103"/>
      <c r="I145" s="141"/>
      <c r="J145" s="104"/>
      <c r="K145" s="103"/>
      <c r="L145" s="103"/>
      <c r="M145" s="151">
        <f t="shared" si="13"/>
        <v>2</v>
      </c>
      <c r="N145" s="103"/>
      <c r="O145" s="103" t="s">
        <v>946</v>
      </c>
      <c r="P145" s="137">
        <f t="shared" si="10"/>
        <v>0</v>
      </c>
    </row>
    <row r="146" spans="1:16" s="8" customFormat="1" ht="15.75" x14ac:dyDescent="0.25">
      <c r="A146" s="106" t="s">
        <v>374</v>
      </c>
      <c r="B146" s="106" t="s">
        <v>106</v>
      </c>
      <c r="C146" s="25" t="s">
        <v>635</v>
      </c>
      <c r="D146" s="25" t="s">
        <v>1122</v>
      </c>
      <c r="E146" s="165">
        <v>8</v>
      </c>
      <c r="F146" s="134">
        <v>1375</v>
      </c>
      <c r="G146" s="50">
        <f>E146*F146</f>
        <v>11000</v>
      </c>
      <c r="H146" s="103"/>
      <c r="I146" s="141"/>
      <c r="J146" s="104"/>
      <c r="K146" s="103"/>
      <c r="L146" s="103">
        <v>2</v>
      </c>
      <c r="M146" s="141">
        <f t="shared" si="13"/>
        <v>6</v>
      </c>
      <c r="N146" s="103"/>
      <c r="O146" s="103" t="s">
        <v>946</v>
      </c>
      <c r="P146" s="137">
        <f t="shared" si="10"/>
        <v>8250</v>
      </c>
    </row>
    <row r="147" spans="1:16" s="8" customFormat="1" ht="15.75" x14ac:dyDescent="0.25">
      <c r="A147" s="106" t="s">
        <v>375</v>
      </c>
      <c r="B147" s="102">
        <v>45020</v>
      </c>
      <c r="C147" s="25" t="s">
        <v>636</v>
      </c>
      <c r="D147" s="25" t="s">
        <v>1122</v>
      </c>
      <c r="E147" s="164">
        <v>30</v>
      </c>
      <c r="F147" s="134">
        <v>436.6</v>
      </c>
      <c r="G147" s="50">
        <f>E147*F147</f>
        <v>13098</v>
      </c>
      <c r="H147" s="103"/>
      <c r="I147" s="141"/>
      <c r="J147" s="104"/>
      <c r="K147" s="103"/>
      <c r="L147" s="103">
        <v>8</v>
      </c>
      <c r="M147" s="141">
        <f t="shared" si="13"/>
        <v>22</v>
      </c>
      <c r="N147" s="103"/>
      <c r="O147" s="103" t="s">
        <v>946</v>
      </c>
      <c r="P147" s="137">
        <f t="shared" si="10"/>
        <v>9605.2000000000007</v>
      </c>
    </row>
    <row r="148" spans="1:16" s="8" customFormat="1" ht="15.75" x14ac:dyDescent="0.25">
      <c r="A148" s="106" t="s">
        <v>376</v>
      </c>
      <c r="B148" s="102"/>
      <c r="C148" s="25" t="s">
        <v>831</v>
      </c>
      <c r="D148" s="25" t="s">
        <v>1122</v>
      </c>
      <c r="E148" s="165">
        <f>25+28</f>
        <v>53</v>
      </c>
      <c r="F148" s="134"/>
      <c r="G148" s="50"/>
      <c r="H148" s="103"/>
      <c r="I148" s="141"/>
      <c r="J148" s="104"/>
      <c r="K148" s="103"/>
      <c r="L148" s="103">
        <v>10</v>
      </c>
      <c r="M148" s="141">
        <f t="shared" si="13"/>
        <v>43</v>
      </c>
      <c r="N148" s="103"/>
      <c r="O148" s="103" t="s">
        <v>946</v>
      </c>
      <c r="P148" s="137">
        <f t="shared" si="10"/>
        <v>0</v>
      </c>
    </row>
    <row r="149" spans="1:16" s="8" customFormat="1" ht="15.75" x14ac:dyDescent="0.25">
      <c r="A149" s="106" t="s">
        <v>377</v>
      </c>
      <c r="B149" s="102"/>
      <c r="C149" s="25" t="s">
        <v>832</v>
      </c>
      <c r="D149" s="25" t="s">
        <v>1122</v>
      </c>
      <c r="E149" s="165">
        <v>5</v>
      </c>
      <c r="F149" s="134"/>
      <c r="G149" s="50"/>
      <c r="H149" s="103"/>
      <c r="I149" s="141"/>
      <c r="J149" s="104"/>
      <c r="K149" s="103"/>
      <c r="L149" s="103"/>
      <c r="M149" s="141">
        <f t="shared" si="13"/>
        <v>5</v>
      </c>
      <c r="N149" s="103"/>
      <c r="O149" s="103" t="s">
        <v>946</v>
      </c>
      <c r="P149" s="137">
        <f t="shared" si="10"/>
        <v>0</v>
      </c>
    </row>
    <row r="150" spans="1:16" s="8" customFormat="1" ht="15.75" x14ac:dyDescent="0.25">
      <c r="A150" s="106" t="s">
        <v>378</v>
      </c>
      <c r="B150" s="106" t="s">
        <v>106</v>
      </c>
      <c r="C150" s="25" t="s">
        <v>812</v>
      </c>
      <c r="D150" s="25" t="s">
        <v>1122</v>
      </c>
      <c r="E150" s="165">
        <v>3</v>
      </c>
      <c r="F150" s="134">
        <v>1180</v>
      </c>
      <c r="G150" s="50">
        <f>E150*F150</f>
        <v>3540</v>
      </c>
      <c r="H150" s="103"/>
      <c r="I150" s="141"/>
      <c r="J150" s="104"/>
      <c r="K150" s="103"/>
      <c r="L150" s="103"/>
      <c r="M150" s="141">
        <f t="shared" si="13"/>
        <v>3</v>
      </c>
      <c r="N150" s="103"/>
      <c r="O150" s="103" t="s">
        <v>946</v>
      </c>
      <c r="P150" s="137">
        <f t="shared" si="10"/>
        <v>3540</v>
      </c>
    </row>
    <row r="151" spans="1:16" s="8" customFormat="1" ht="15.75" x14ac:dyDescent="0.25">
      <c r="A151" s="106" t="s">
        <v>379</v>
      </c>
      <c r="B151" s="102">
        <v>44193</v>
      </c>
      <c r="C151" s="25" t="s">
        <v>637</v>
      </c>
      <c r="D151" s="25" t="s">
        <v>1122</v>
      </c>
      <c r="E151" s="164">
        <v>9</v>
      </c>
      <c r="F151" s="134">
        <v>1180</v>
      </c>
      <c r="G151" s="50">
        <f>E151*F151</f>
        <v>10620</v>
      </c>
      <c r="H151" s="103"/>
      <c r="I151" s="141"/>
      <c r="J151" s="104"/>
      <c r="K151" s="103"/>
      <c r="L151" s="103"/>
      <c r="M151" s="141">
        <f t="shared" si="13"/>
        <v>9</v>
      </c>
      <c r="N151" s="103"/>
      <c r="O151" s="103" t="s">
        <v>946</v>
      </c>
      <c r="P151" s="137">
        <f t="shared" si="10"/>
        <v>10620</v>
      </c>
    </row>
    <row r="152" spans="1:16" s="8" customFormat="1" ht="15.75" x14ac:dyDescent="0.25">
      <c r="A152" s="106" t="s">
        <v>380</v>
      </c>
      <c r="B152" s="102"/>
      <c r="C152" s="25" t="s">
        <v>834</v>
      </c>
      <c r="D152" s="25" t="s">
        <v>1122</v>
      </c>
      <c r="E152" s="165">
        <v>1</v>
      </c>
      <c r="F152" s="134"/>
      <c r="G152" s="50"/>
      <c r="H152" s="103"/>
      <c r="I152" s="141"/>
      <c r="J152" s="104"/>
      <c r="K152" s="103"/>
      <c r="L152" s="103"/>
      <c r="M152" s="151">
        <f t="shared" si="13"/>
        <v>1</v>
      </c>
      <c r="N152" s="103"/>
      <c r="O152" s="103" t="s">
        <v>946</v>
      </c>
      <c r="P152" s="137">
        <f t="shared" si="10"/>
        <v>0</v>
      </c>
    </row>
    <row r="153" spans="1:16" s="8" customFormat="1" ht="15.75" x14ac:dyDescent="0.25">
      <c r="A153" s="106" t="s">
        <v>381</v>
      </c>
      <c r="B153" s="106" t="s">
        <v>106</v>
      </c>
      <c r="C153" s="25" t="s">
        <v>639</v>
      </c>
      <c r="D153" s="25" t="s">
        <v>1122</v>
      </c>
      <c r="E153" s="165">
        <v>8</v>
      </c>
      <c r="F153" s="171">
        <v>1375</v>
      </c>
      <c r="G153" s="50">
        <f t="shared" ref="G153:G165" si="15">E153*F153</f>
        <v>11000</v>
      </c>
      <c r="H153" s="103"/>
      <c r="I153" s="141"/>
      <c r="J153" s="104"/>
      <c r="K153" s="103"/>
      <c r="L153" s="103"/>
      <c r="M153" s="151">
        <f t="shared" si="13"/>
        <v>8</v>
      </c>
      <c r="N153" s="103"/>
      <c r="O153" s="103" t="s">
        <v>946</v>
      </c>
      <c r="P153" s="137">
        <f t="shared" ref="P153:P216" si="16">+F153*M153</f>
        <v>11000</v>
      </c>
    </row>
    <row r="154" spans="1:16" s="8" customFormat="1" ht="15.75" x14ac:dyDescent="0.25">
      <c r="A154" s="106" t="s">
        <v>382</v>
      </c>
      <c r="B154" s="102">
        <v>44193</v>
      </c>
      <c r="C154" s="25" t="s">
        <v>638</v>
      </c>
      <c r="D154" s="25" t="s">
        <v>1122</v>
      </c>
      <c r="E154" s="165">
        <v>4</v>
      </c>
      <c r="F154" s="134">
        <v>1294.3699999999999</v>
      </c>
      <c r="G154" s="50">
        <f t="shared" si="15"/>
        <v>5177.4799999999996</v>
      </c>
      <c r="H154" s="103"/>
      <c r="I154" s="141"/>
      <c r="J154" s="104"/>
      <c r="K154" s="103"/>
      <c r="L154" s="103"/>
      <c r="M154" s="141">
        <f t="shared" si="13"/>
        <v>4</v>
      </c>
      <c r="N154" s="103"/>
      <c r="O154" s="103" t="s">
        <v>946</v>
      </c>
      <c r="P154" s="137">
        <f t="shared" si="16"/>
        <v>5177.4799999999996</v>
      </c>
    </row>
    <row r="155" spans="1:16" s="8" customFormat="1" ht="15.75" x14ac:dyDescent="0.25">
      <c r="A155" s="106" t="s">
        <v>383</v>
      </c>
      <c r="B155" s="106" t="s">
        <v>114</v>
      </c>
      <c r="C155" s="25" t="s">
        <v>640</v>
      </c>
      <c r="D155" s="25" t="s">
        <v>1122</v>
      </c>
      <c r="E155" s="165">
        <v>4</v>
      </c>
      <c r="F155" s="172">
        <v>2600</v>
      </c>
      <c r="G155" s="50">
        <f t="shared" si="15"/>
        <v>10400</v>
      </c>
      <c r="H155" s="103"/>
      <c r="I155" s="141"/>
      <c r="J155" s="104"/>
      <c r="K155" s="103"/>
      <c r="L155" s="103"/>
      <c r="M155" s="141">
        <f t="shared" si="13"/>
        <v>4</v>
      </c>
      <c r="N155" s="103"/>
      <c r="O155" s="103" t="s">
        <v>946</v>
      </c>
      <c r="P155" s="137">
        <f t="shared" si="16"/>
        <v>10400</v>
      </c>
    </row>
    <row r="156" spans="1:16" s="8" customFormat="1" ht="15.75" x14ac:dyDescent="0.25">
      <c r="A156" s="106" t="s">
        <v>384</v>
      </c>
      <c r="B156" s="102">
        <v>44193</v>
      </c>
      <c r="C156" s="25" t="s">
        <v>830</v>
      </c>
      <c r="D156" s="25" t="s">
        <v>1122</v>
      </c>
      <c r="E156" s="165">
        <v>2</v>
      </c>
      <c r="F156" s="134">
        <v>2600</v>
      </c>
      <c r="G156" s="50">
        <f t="shared" si="15"/>
        <v>5200</v>
      </c>
      <c r="H156" s="103"/>
      <c r="I156" s="141"/>
      <c r="J156" s="104"/>
      <c r="K156" s="103"/>
      <c r="L156" s="103">
        <v>2</v>
      </c>
      <c r="M156" s="141">
        <f t="shared" si="13"/>
        <v>0</v>
      </c>
      <c r="N156" s="103"/>
      <c r="O156" s="103" t="s">
        <v>946</v>
      </c>
      <c r="P156" s="137">
        <f t="shared" si="16"/>
        <v>0</v>
      </c>
    </row>
    <row r="157" spans="1:16" s="105" customFormat="1" ht="15.75" x14ac:dyDescent="0.25">
      <c r="A157" s="106" t="s">
        <v>385</v>
      </c>
      <c r="B157" s="129">
        <v>44852</v>
      </c>
      <c r="C157" s="9" t="s">
        <v>951</v>
      </c>
      <c r="D157" s="25" t="s">
        <v>1122</v>
      </c>
      <c r="E157" s="166">
        <v>46</v>
      </c>
      <c r="F157" s="134">
        <v>5.07</v>
      </c>
      <c r="G157" s="50">
        <f t="shared" si="15"/>
        <v>233.22000000000003</v>
      </c>
      <c r="H157" s="107">
        <v>44852</v>
      </c>
      <c r="I157" s="141">
        <f>10*100</f>
        <v>1000</v>
      </c>
      <c r="J157" s="104">
        <v>5.07</v>
      </c>
      <c r="K157" s="108">
        <f>+I157*J157</f>
        <v>5070</v>
      </c>
      <c r="L157" s="103">
        <f>12+100+15+819</f>
        <v>946</v>
      </c>
      <c r="M157" s="151">
        <f t="shared" si="13"/>
        <v>100</v>
      </c>
      <c r="N157" s="103" t="s">
        <v>1037</v>
      </c>
      <c r="O157" s="103" t="s">
        <v>947</v>
      </c>
      <c r="P157" s="137">
        <f t="shared" si="16"/>
        <v>507</v>
      </c>
    </row>
    <row r="158" spans="1:16" s="8" customFormat="1" ht="15.75" x14ac:dyDescent="0.25">
      <c r="A158" s="106" t="s">
        <v>386</v>
      </c>
      <c r="B158" s="102">
        <v>44193</v>
      </c>
      <c r="C158" s="9" t="s">
        <v>647</v>
      </c>
      <c r="D158" s="25" t="s">
        <v>1122</v>
      </c>
      <c r="E158" s="166">
        <v>15</v>
      </c>
      <c r="F158" s="134">
        <v>4.55</v>
      </c>
      <c r="G158" s="50">
        <f t="shared" si="15"/>
        <v>68.25</v>
      </c>
      <c r="H158" s="103"/>
      <c r="I158" s="141"/>
      <c r="J158" s="104"/>
      <c r="K158" s="103"/>
      <c r="L158" s="103"/>
      <c r="M158" s="141">
        <f t="shared" si="13"/>
        <v>15</v>
      </c>
      <c r="N158" s="103"/>
      <c r="O158" s="103" t="s">
        <v>947</v>
      </c>
      <c r="P158" s="137">
        <f t="shared" si="16"/>
        <v>68.25</v>
      </c>
    </row>
    <row r="159" spans="1:16" s="8" customFormat="1" ht="15.75" x14ac:dyDescent="0.25">
      <c r="A159" s="106" t="s">
        <v>387</v>
      </c>
      <c r="B159" s="102">
        <v>44193</v>
      </c>
      <c r="C159" s="25" t="s">
        <v>645</v>
      </c>
      <c r="D159" s="25" t="s">
        <v>1122</v>
      </c>
      <c r="E159" s="166">
        <v>820</v>
      </c>
      <c r="F159" s="134">
        <v>7.5</v>
      </c>
      <c r="G159" s="50">
        <f t="shared" si="15"/>
        <v>6150</v>
      </c>
      <c r="H159" s="103"/>
      <c r="I159" s="141"/>
      <c r="J159" s="104"/>
      <c r="K159" s="103"/>
      <c r="L159" s="103"/>
      <c r="M159" s="141">
        <f t="shared" si="13"/>
        <v>820</v>
      </c>
      <c r="N159" s="103"/>
      <c r="O159" s="103" t="s">
        <v>947</v>
      </c>
      <c r="P159" s="137">
        <f t="shared" si="16"/>
        <v>6150</v>
      </c>
    </row>
    <row r="160" spans="1:16" s="92" customFormat="1" x14ac:dyDescent="0.3">
      <c r="A160" s="106" t="s">
        <v>388</v>
      </c>
      <c r="B160" s="102">
        <v>44659</v>
      </c>
      <c r="C160" s="25" t="s">
        <v>854</v>
      </c>
      <c r="D160" s="25" t="s">
        <v>1122</v>
      </c>
      <c r="E160" s="161">
        <f>30*100</f>
        <v>3000</v>
      </c>
      <c r="F160" s="134">
        <v>3.4</v>
      </c>
      <c r="G160" s="50">
        <f t="shared" si="15"/>
        <v>10200</v>
      </c>
      <c r="H160" s="103"/>
      <c r="I160" s="141"/>
      <c r="J160" s="104"/>
      <c r="K160" s="103"/>
      <c r="L160" s="103">
        <v>3000</v>
      </c>
      <c r="M160" s="151">
        <f t="shared" si="13"/>
        <v>0</v>
      </c>
      <c r="N160" s="103"/>
      <c r="O160" s="103" t="s">
        <v>945</v>
      </c>
      <c r="P160" s="137">
        <f t="shared" si="16"/>
        <v>0</v>
      </c>
    </row>
    <row r="161" spans="1:16" s="92" customFormat="1" x14ac:dyDescent="0.3">
      <c r="A161" s="106" t="s">
        <v>389</v>
      </c>
      <c r="B161" s="129">
        <v>45130</v>
      </c>
      <c r="C161" s="25" t="s">
        <v>648</v>
      </c>
      <c r="D161" s="25" t="s">
        <v>1122</v>
      </c>
      <c r="E161" s="162">
        <v>100</v>
      </c>
      <c r="F161" s="134">
        <v>3.72</v>
      </c>
      <c r="G161" s="50">
        <f t="shared" si="15"/>
        <v>372</v>
      </c>
      <c r="H161" s="107">
        <v>45130</v>
      </c>
      <c r="I161" s="144">
        <f>20*100</f>
        <v>2000</v>
      </c>
      <c r="J161" s="104">
        <v>3.72</v>
      </c>
      <c r="K161" s="108">
        <f>+I161*J161</f>
        <v>7440</v>
      </c>
      <c r="L161" s="103"/>
      <c r="M161" s="151">
        <f>+E161+I161-L161</f>
        <v>2100</v>
      </c>
      <c r="N161" s="103"/>
      <c r="O161" s="103" t="s">
        <v>945</v>
      </c>
      <c r="P161" s="137">
        <f>+F161*M161</f>
        <v>7812</v>
      </c>
    </row>
    <row r="162" spans="1:16" s="92" customFormat="1" x14ac:dyDescent="0.3">
      <c r="A162" s="106" t="s">
        <v>390</v>
      </c>
      <c r="B162" s="129">
        <v>44778</v>
      </c>
      <c r="C162" s="25" t="s">
        <v>855</v>
      </c>
      <c r="D162" s="25" t="s">
        <v>1122</v>
      </c>
      <c r="E162" s="162">
        <f>25*100</f>
        <v>2500</v>
      </c>
      <c r="F162" s="134">
        <v>4.8899999999999997</v>
      </c>
      <c r="G162" s="50">
        <f t="shared" si="15"/>
        <v>12225</v>
      </c>
      <c r="H162" s="107">
        <v>44778</v>
      </c>
      <c r="I162" s="144">
        <f>10*100</f>
        <v>1000</v>
      </c>
      <c r="J162" s="104">
        <v>4.8899999999999997</v>
      </c>
      <c r="K162" s="108">
        <f>+I162*J162</f>
        <v>4890</v>
      </c>
      <c r="L162" s="103">
        <v>3500</v>
      </c>
      <c r="M162" s="151">
        <f t="shared" si="13"/>
        <v>0</v>
      </c>
      <c r="N162" s="103" t="s">
        <v>943</v>
      </c>
      <c r="O162" s="103" t="s">
        <v>945</v>
      </c>
      <c r="P162" s="137">
        <f t="shared" si="16"/>
        <v>0</v>
      </c>
    </row>
    <row r="163" spans="1:16" s="92" customFormat="1" x14ac:dyDescent="0.3">
      <c r="A163" s="106" t="s">
        <v>391</v>
      </c>
      <c r="B163" s="129">
        <v>45019</v>
      </c>
      <c r="C163" s="25" t="s">
        <v>651</v>
      </c>
      <c r="D163" s="25" t="s">
        <v>1122</v>
      </c>
      <c r="E163" s="162">
        <f>60*100</f>
        <v>6000</v>
      </c>
      <c r="F163" s="134">
        <v>9.56</v>
      </c>
      <c r="G163" s="50">
        <f t="shared" si="15"/>
        <v>57360</v>
      </c>
      <c r="H163" s="107">
        <v>45019</v>
      </c>
      <c r="I163" s="144">
        <v>700</v>
      </c>
      <c r="J163" s="104">
        <v>9.56</v>
      </c>
      <c r="K163" s="108">
        <f t="shared" ref="K163:K166" si="17">+I163*J163</f>
        <v>6692</v>
      </c>
      <c r="L163" s="103">
        <f>100+100+100+3600+100+200</f>
        <v>4200</v>
      </c>
      <c r="M163" s="152">
        <f t="shared" si="13"/>
        <v>2500</v>
      </c>
      <c r="N163" s="103"/>
      <c r="O163" s="103" t="s">
        <v>945</v>
      </c>
      <c r="P163" s="137">
        <f t="shared" si="16"/>
        <v>23900</v>
      </c>
    </row>
    <row r="164" spans="1:16" s="92" customFormat="1" x14ac:dyDescent="0.3">
      <c r="A164" s="106" t="s">
        <v>392</v>
      </c>
      <c r="B164" s="129">
        <v>45019</v>
      </c>
      <c r="C164" s="25" t="s">
        <v>652</v>
      </c>
      <c r="D164" s="25" t="s">
        <v>1122</v>
      </c>
      <c r="E164" s="162">
        <v>3700</v>
      </c>
      <c r="F164" s="134">
        <v>10.51</v>
      </c>
      <c r="G164" s="50">
        <f t="shared" si="15"/>
        <v>38887</v>
      </c>
      <c r="H164" s="107">
        <v>45127</v>
      </c>
      <c r="I164" s="144">
        <v>1000</v>
      </c>
      <c r="J164" s="104">
        <v>10.51</v>
      </c>
      <c r="K164" s="108">
        <f t="shared" si="17"/>
        <v>10510</v>
      </c>
      <c r="L164" s="103">
        <v>3100</v>
      </c>
      <c r="M164" s="151">
        <f t="shared" si="13"/>
        <v>1600</v>
      </c>
      <c r="N164" s="103"/>
      <c r="O164" s="103" t="s">
        <v>945</v>
      </c>
      <c r="P164" s="137">
        <f t="shared" si="16"/>
        <v>16816</v>
      </c>
    </row>
    <row r="165" spans="1:16" s="92" customFormat="1" x14ac:dyDescent="0.3">
      <c r="A165" s="106" t="s">
        <v>393</v>
      </c>
      <c r="B165" s="102">
        <v>44193</v>
      </c>
      <c r="C165" s="25" t="s">
        <v>786</v>
      </c>
      <c r="D165" s="25" t="s">
        <v>1122</v>
      </c>
      <c r="E165" s="165">
        <f>4+8</f>
        <v>12</v>
      </c>
      <c r="F165" s="134">
        <v>150</v>
      </c>
      <c r="G165" s="50">
        <f t="shared" si="15"/>
        <v>1800</v>
      </c>
      <c r="H165" s="103"/>
      <c r="I165" s="144"/>
      <c r="J165" s="104"/>
      <c r="K165" s="108">
        <f t="shared" si="17"/>
        <v>0</v>
      </c>
      <c r="L165" s="103">
        <v>5</v>
      </c>
      <c r="M165" s="151">
        <f t="shared" si="13"/>
        <v>7</v>
      </c>
      <c r="N165" s="103"/>
      <c r="O165" s="103" t="s">
        <v>945</v>
      </c>
      <c r="P165" s="137">
        <f t="shared" si="16"/>
        <v>1050</v>
      </c>
    </row>
    <row r="166" spans="1:16" s="8" customFormat="1" ht="15.75" x14ac:dyDescent="0.25">
      <c r="A166" s="106" t="s">
        <v>394</v>
      </c>
      <c r="B166" s="102"/>
      <c r="C166" s="25" t="s">
        <v>827</v>
      </c>
      <c r="D166" s="25" t="s">
        <v>1122</v>
      </c>
      <c r="E166" s="162">
        <v>2</v>
      </c>
      <c r="F166" s="134"/>
      <c r="G166" s="50"/>
      <c r="H166" s="103"/>
      <c r="I166" s="144">
        <v>10</v>
      </c>
      <c r="J166" s="104"/>
      <c r="K166" s="108">
        <f t="shared" si="17"/>
        <v>0</v>
      </c>
      <c r="L166" s="103"/>
      <c r="M166" s="141">
        <f t="shared" si="13"/>
        <v>12</v>
      </c>
      <c r="N166" s="103"/>
      <c r="O166" s="103" t="s">
        <v>946</v>
      </c>
      <c r="P166" s="137">
        <f t="shared" si="16"/>
        <v>0</v>
      </c>
    </row>
    <row r="167" spans="1:16" s="8" customFormat="1" ht="15.75" x14ac:dyDescent="0.25">
      <c r="A167" s="106" t="s">
        <v>395</v>
      </c>
      <c r="B167" s="102"/>
      <c r="C167" s="25" t="s">
        <v>828</v>
      </c>
      <c r="D167" s="25" t="s">
        <v>1122</v>
      </c>
      <c r="E167" s="162">
        <v>1</v>
      </c>
      <c r="F167" s="134"/>
      <c r="G167" s="50"/>
      <c r="H167" s="103"/>
      <c r="I167" s="144"/>
      <c r="J167" s="104"/>
      <c r="K167" s="103"/>
      <c r="L167" s="103"/>
      <c r="M167" s="141">
        <f t="shared" si="13"/>
        <v>1</v>
      </c>
      <c r="N167" s="103"/>
      <c r="O167" s="103" t="s">
        <v>946</v>
      </c>
      <c r="P167" s="137">
        <f t="shared" si="16"/>
        <v>0</v>
      </c>
    </row>
    <row r="168" spans="1:16" s="92" customFormat="1" x14ac:dyDescent="0.3">
      <c r="A168" s="106" t="s">
        <v>396</v>
      </c>
      <c r="B168" s="102">
        <v>44193</v>
      </c>
      <c r="C168" s="25" t="s">
        <v>653</v>
      </c>
      <c r="D168" s="25" t="s">
        <v>1122</v>
      </c>
      <c r="E168" s="162">
        <v>50</v>
      </c>
      <c r="F168" s="134">
        <v>575</v>
      </c>
      <c r="G168" s="50">
        <f t="shared" ref="G168:G198" si="18">E168*F168</f>
        <v>28750</v>
      </c>
      <c r="H168" s="103"/>
      <c r="I168" s="144"/>
      <c r="J168" s="104"/>
      <c r="K168" s="103"/>
      <c r="L168" s="103">
        <f>1+1</f>
        <v>2</v>
      </c>
      <c r="M168" s="141">
        <f t="shared" si="13"/>
        <v>48</v>
      </c>
      <c r="N168" s="103"/>
      <c r="O168" s="103" t="s">
        <v>945</v>
      </c>
      <c r="P168" s="137">
        <f t="shared" si="16"/>
        <v>27600</v>
      </c>
    </row>
    <row r="169" spans="1:16" s="105" customFormat="1" ht="15.75" x14ac:dyDescent="0.25">
      <c r="A169" s="106" t="s">
        <v>397</v>
      </c>
      <c r="B169" s="129">
        <v>45042</v>
      </c>
      <c r="C169" s="25" t="s">
        <v>655</v>
      </c>
      <c r="D169" s="25" t="s">
        <v>1122</v>
      </c>
      <c r="E169" s="165">
        <v>20</v>
      </c>
      <c r="F169" s="134">
        <v>8.08</v>
      </c>
      <c r="G169" s="50">
        <f t="shared" si="18"/>
        <v>161.6</v>
      </c>
      <c r="H169" s="107">
        <v>44851</v>
      </c>
      <c r="I169" s="144">
        <v>5.56</v>
      </c>
      <c r="J169" s="104">
        <v>8.08</v>
      </c>
      <c r="K169" s="104">
        <f>+J169*I169</f>
        <v>44.924799999999998</v>
      </c>
      <c r="L169" s="103">
        <v>3</v>
      </c>
      <c r="M169" s="157">
        <f>+E169+I169-L169</f>
        <v>22.56</v>
      </c>
      <c r="N169" s="103" t="s">
        <v>1037</v>
      </c>
      <c r="O169" s="103" t="s">
        <v>947</v>
      </c>
      <c r="P169" s="137">
        <f t="shared" si="16"/>
        <v>182.28479999999999</v>
      </c>
    </row>
    <row r="170" spans="1:16" s="8" customFormat="1" ht="15.75" x14ac:dyDescent="0.25">
      <c r="A170" s="106" t="s">
        <v>398</v>
      </c>
      <c r="B170" s="129">
        <v>45022</v>
      </c>
      <c r="C170" s="9" t="s">
        <v>1241</v>
      </c>
      <c r="D170" s="25" t="s">
        <v>1122</v>
      </c>
      <c r="E170" s="165">
        <v>15</v>
      </c>
      <c r="F170" s="134">
        <v>275</v>
      </c>
      <c r="G170" s="50">
        <f t="shared" si="18"/>
        <v>4125</v>
      </c>
      <c r="H170" s="107">
        <v>45022</v>
      </c>
      <c r="I170" s="144">
        <v>10</v>
      </c>
      <c r="J170" s="104">
        <v>168</v>
      </c>
      <c r="K170" s="104">
        <f t="shared" ref="K170:K173" si="19">+J170*I170</f>
        <v>1680</v>
      </c>
      <c r="L170" s="103">
        <f>17+1+1</f>
        <v>19</v>
      </c>
      <c r="M170" s="151">
        <f t="shared" si="13"/>
        <v>6</v>
      </c>
      <c r="N170" s="103"/>
      <c r="O170" s="103" t="s">
        <v>947</v>
      </c>
      <c r="P170" s="137">
        <f t="shared" si="16"/>
        <v>1650</v>
      </c>
    </row>
    <row r="171" spans="1:16" s="8" customFormat="1" ht="15.75" x14ac:dyDescent="0.25">
      <c r="A171" s="106" t="s">
        <v>399</v>
      </c>
      <c r="B171" s="102">
        <v>44193</v>
      </c>
      <c r="C171" s="9" t="s">
        <v>658</v>
      </c>
      <c r="D171" s="25" t="s">
        <v>1122</v>
      </c>
      <c r="E171" s="161">
        <v>2</v>
      </c>
      <c r="F171" s="134">
        <v>50</v>
      </c>
      <c r="G171" s="50">
        <f t="shared" si="18"/>
        <v>100</v>
      </c>
      <c r="H171" s="103"/>
      <c r="I171" s="144"/>
      <c r="J171" s="104"/>
      <c r="K171" s="104">
        <f t="shared" si="19"/>
        <v>0</v>
      </c>
      <c r="L171" s="103">
        <v>1</v>
      </c>
      <c r="M171" s="151">
        <f t="shared" si="13"/>
        <v>1</v>
      </c>
      <c r="N171" s="103"/>
      <c r="O171" s="103" t="s">
        <v>947</v>
      </c>
      <c r="P171" s="137">
        <f t="shared" si="16"/>
        <v>50</v>
      </c>
    </row>
    <row r="172" spans="1:16" s="8" customFormat="1" ht="15.75" x14ac:dyDescent="0.25">
      <c r="A172" s="106" t="s">
        <v>400</v>
      </c>
      <c r="B172" s="129">
        <v>45042</v>
      </c>
      <c r="C172" s="9" t="s">
        <v>657</v>
      </c>
      <c r="D172" s="25" t="s">
        <v>1122</v>
      </c>
      <c r="E172" s="161">
        <f>20+9</f>
        <v>29</v>
      </c>
      <c r="F172" s="134">
        <v>50</v>
      </c>
      <c r="G172" s="50">
        <f t="shared" si="18"/>
        <v>1450</v>
      </c>
      <c r="H172" s="107">
        <v>45042</v>
      </c>
      <c r="I172" s="144">
        <v>10</v>
      </c>
      <c r="J172" s="104">
        <v>44.55</v>
      </c>
      <c r="K172" s="104">
        <f t="shared" si="19"/>
        <v>445.5</v>
      </c>
      <c r="L172" s="103">
        <v>14</v>
      </c>
      <c r="M172" s="151">
        <f t="shared" si="13"/>
        <v>25</v>
      </c>
      <c r="N172" s="103"/>
      <c r="O172" s="103" t="s">
        <v>947</v>
      </c>
      <c r="P172" s="137">
        <f t="shared" si="16"/>
        <v>1250</v>
      </c>
    </row>
    <row r="173" spans="1:16" s="92" customFormat="1" x14ac:dyDescent="0.3">
      <c r="A173" s="106" t="s">
        <v>401</v>
      </c>
      <c r="B173" s="102">
        <v>44193</v>
      </c>
      <c r="C173" s="25" t="s">
        <v>660</v>
      </c>
      <c r="D173" s="25" t="s">
        <v>1122</v>
      </c>
      <c r="E173" s="161">
        <v>35</v>
      </c>
      <c r="F173" s="134">
        <v>7</v>
      </c>
      <c r="G173" s="50">
        <f t="shared" si="18"/>
        <v>245</v>
      </c>
      <c r="H173" s="103"/>
      <c r="I173" s="144"/>
      <c r="J173" s="104"/>
      <c r="K173" s="104">
        <f t="shared" si="19"/>
        <v>0</v>
      </c>
      <c r="L173" s="103"/>
      <c r="M173" s="141">
        <f t="shared" si="13"/>
        <v>35</v>
      </c>
      <c r="N173" s="103"/>
      <c r="O173" s="103" t="s">
        <v>945</v>
      </c>
      <c r="P173" s="137">
        <f t="shared" si="16"/>
        <v>245</v>
      </c>
    </row>
    <row r="174" spans="1:16" s="92" customFormat="1" x14ac:dyDescent="0.3">
      <c r="A174" s="106" t="s">
        <v>402</v>
      </c>
      <c r="B174" s="102">
        <v>44193</v>
      </c>
      <c r="C174" s="25" t="s">
        <v>659</v>
      </c>
      <c r="D174" s="25" t="s">
        <v>1122</v>
      </c>
      <c r="E174" s="161">
        <v>34</v>
      </c>
      <c r="F174" s="134">
        <v>125</v>
      </c>
      <c r="G174" s="50">
        <f t="shared" si="18"/>
        <v>4250</v>
      </c>
      <c r="H174" s="103"/>
      <c r="I174" s="144"/>
      <c r="J174" s="104"/>
      <c r="K174" s="103"/>
      <c r="L174" s="103">
        <v>1</v>
      </c>
      <c r="M174" s="141">
        <f t="shared" si="13"/>
        <v>33</v>
      </c>
      <c r="N174" s="103"/>
      <c r="O174" s="103" t="s">
        <v>945</v>
      </c>
      <c r="P174" s="137">
        <f t="shared" si="16"/>
        <v>4125</v>
      </c>
    </row>
    <row r="175" spans="1:16" s="92" customFormat="1" x14ac:dyDescent="0.3">
      <c r="A175" s="106" t="s">
        <v>403</v>
      </c>
      <c r="B175" s="102">
        <v>44193</v>
      </c>
      <c r="C175" s="25" t="s">
        <v>661</v>
      </c>
      <c r="D175" s="25" t="s">
        <v>1122</v>
      </c>
      <c r="E175" s="161">
        <v>106</v>
      </c>
      <c r="F175" s="134">
        <v>7</v>
      </c>
      <c r="G175" s="50">
        <f t="shared" si="18"/>
        <v>742</v>
      </c>
      <c r="H175" s="103"/>
      <c r="I175" s="144"/>
      <c r="J175" s="104"/>
      <c r="K175" s="103"/>
      <c r="L175" s="103">
        <v>5</v>
      </c>
      <c r="M175" s="141">
        <f t="shared" si="13"/>
        <v>101</v>
      </c>
      <c r="N175" s="103"/>
      <c r="O175" s="103" t="s">
        <v>945</v>
      </c>
      <c r="P175" s="137">
        <f t="shared" si="16"/>
        <v>707</v>
      </c>
    </row>
    <row r="176" spans="1:16" s="92" customFormat="1" x14ac:dyDescent="0.3">
      <c r="A176" s="106" t="s">
        <v>404</v>
      </c>
      <c r="B176" s="102">
        <v>44456</v>
      </c>
      <c r="C176" s="25" t="s">
        <v>662</v>
      </c>
      <c r="D176" s="25" t="s">
        <v>1122</v>
      </c>
      <c r="E176" s="161">
        <v>27</v>
      </c>
      <c r="F176" s="134">
        <v>7</v>
      </c>
      <c r="G176" s="50">
        <f t="shared" si="18"/>
        <v>189</v>
      </c>
      <c r="H176" s="103"/>
      <c r="I176" s="144"/>
      <c r="J176" s="104"/>
      <c r="K176" s="103"/>
      <c r="L176" s="103"/>
      <c r="M176" s="141">
        <f t="shared" ref="M176:M239" si="20">+E176+I176-L176</f>
        <v>27</v>
      </c>
      <c r="N176" s="103"/>
      <c r="O176" s="103" t="s">
        <v>945</v>
      </c>
      <c r="P176" s="137">
        <f t="shared" si="16"/>
        <v>189</v>
      </c>
    </row>
    <row r="177" spans="1:17" s="8" customFormat="1" ht="15.75" x14ac:dyDescent="0.25">
      <c r="A177" s="106" t="s">
        <v>405</v>
      </c>
      <c r="B177" s="102">
        <v>44193</v>
      </c>
      <c r="C177" s="25" t="s">
        <v>800</v>
      </c>
      <c r="D177" s="25" t="s">
        <v>1122</v>
      </c>
      <c r="E177" s="165">
        <f>6+6</f>
        <v>12</v>
      </c>
      <c r="F177" s="134">
        <v>135</v>
      </c>
      <c r="G177" s="50">
        <f t="shared" si="18"/>
        <v>1620</v>
      </c>
      <c r="H177" s="103"/>
      <c r="I177" s="144"/>
      <c r="J177" s="104"/>
      <c r="K177" s="103"/>
      <c r="L177" s="103"/>
      <c r="M177" s="141">
        <f t="shared" si="20"/>
        <v>12</v>
      </c>
      <c r="N177" s="103"/>
      <c r="O177" s="103" t="s">
        <v>946</v>
      </c>
      <c r="P177" s="137">
        <f t="shared" si="16"/>
        <v>1620</v>
      </c>
    </row>
    <row r="178" spans="1:17" s="8" customFormat="1" ht="15.75" x14ac:dyDescent="0.25">
      <c r="A178" s="106" t="s">
        <v>406</v>
      </c>
      <c r="B178" s="102">
        <v>44193</v>
      </c>
      <c r="C178" s="25" t="s">
        <v>663</v>
      </c>
      <c r="D178" s="25" t="s">
        <v>1122</v>
      </c>
      <c r="E178" s="164">
        <v>42</v>
      </c>
      <c r="F178" s="134">
        <v>115</v>
      </c>
      <c r="G178" s="50">
        <f t="shared" si="18"/>
        <v>4830</v>
      </c>
      <c r="H178" s="103"/>
      <c r="I178" s="144"/>
      <c r="J178" s="104"/>
      <c r="K178" s="103"/>
      <c r="L178" s="103"/>
      <c r="M178" s="141">
        <f t="shared" si="20"/>
        <v>42</v>
      </c>
      <c r="N178" s="103"/>
      <c r="O178" s="103" t="s">
        <v>946</v>
      </c>
      <c r="P178" s="137">
        <f t="shared" si="16"/>
        <v>4830</v>
      </c>
    </row>
    <row r="179" spans="1:17" s="92" customFormat="1" x14ac:dyDescent="0.3">
      <c r="A179" s="106" t="s">
        <v>407</v>
      </c>
      <c r="B179" s="129">
        <v>44903</v>
      </c>
      <c r="C179" s="25" t="s">
        <v>768</v>
      </c>
      <c r="D179" s="25" t="s">
        <v>1122</v>
      </c>
      <c r="E179" s="165">
        <v>104</v>
      </c>
      <c r="F179" s="134">
        <v>154.58000000000001</v>
      </c>
      <c r="G179" s="50">
        <f t="shared" si="18"/>
        <v>16076.320000000002</v>
      </c>
      <c r="H179" s="107">
        <v>44903</v>
      </c>
      <c r="I179" s="144">
        <f>20*4</f>
        <v>80</v>
      </c>
      <c r="J179" s="104">
        <v>154.58000000000001</v>
      </c>
      <c r="K179" s="108">
        <f>+I179*J179</f>
        <v>12366.400000000001</v>
      </c>
      <c r="L179" s="103">
        <f>13+4</f>
        <v>17</v>
      </c>
      <c r="M179" s="141">
        <f t="shared" si="20"/>
        <v>167</v>
      </c>
      <c r="N179" s="103"/>
      <c r="O179" s="103" t="s">
        <v>945</v>
      </c>
      <c r="P179" s="137">
        <f t="shared" si="16"/>
        <v>25814.86</v>
      </c>
    </row>
    <row r="180" spans="1:17" s="92" customFormat="1" x14ac:dyDescent="0.3">
      <c r="A180" s="106" t="s">
        <v>408</v>
      </c>
      <c r="B180" s="129">
        <v>45019</v>
      </c>
      <c r="C180" s="25" t="s">
        <v>769</v>
      </c>
      <c r="D180" s="25" t="s">
        <v>1173</v>
      </c>
      <c r="E180" s="165">
        <v>132</v>
      </c>
      <c r="F180" s="134">
        <v>139.04</v>
      </c>
      <c r="G180" s="50">
        <f t="shared" si="18"/>
        <v>18353.28</v>
      </c>
      <c r="H180" s="107">
        <v>45019</v>
      </c>
      <c r="I180" s="144">
        <f>10*6</f>
        <v>60</v>
      </c>
      <c r="J180" s="104">
        <v>139.04</v>
      </c>
      <c r="K180" s="108">
        <f>+I180*J180</f>
        <v>8342.4</v>
      </c>
      <c r="L180" s="103">
        <v>10</v>
      </c>
      <c r="M180" s="141">
        <f>+E180+I180-L180</f>
        <v>182</v>
      </c>
      <c r="N180" s="154"/>
      <c r="O180" s="103" t="s">
        <v>945</v>
      </c>
      <c r="P180" s="137">
        <f t="shared" si="16"/>
        <v>25305.279999999999</v>
      </c>
      <c r="Q180" s="156">
        <v>24</v>
      </c>
    </row>
    <row r="181" spans="1:17" s="8" customFormat="1" ht="15.75" x14ac:dyDescent="0.25">
      <c r="A181" s="106" t="s">
        <v>409</v>
      </c>
      <c r="B181" s="102">
        <v>44193</v>
      </c>
      <c r="C181" s="25" t="s">
        <v>796</v>
      </c>
      <c r="D181" s="25" t="s">
        <v>1122</v>
      </c>
      <c r="E181" s="162">
        <v>3</v>
      </c>
      <c r="F181" s="134">
        <v>352</v>
      </c>
      <c r="G181" s="50">
        <f t="shared" si="18"/>
        <v>1056</v>
      </c>
      <c r="H181" s="103"/>
      <c r="I181" s="144"/>
      <c r="J181" s="104"/>
      <c r="K181" s="103"/>
      <c r="L181" s="103"/>
      <c r="M181" s="141">
        <f t="shared" si="20"/>
        <v>3</v>
      </c>
      <c r="N181" s="103"/>
      <c r="O181" s="103" t="s">
        <v>946</v>
      </c>
      <c r="P181" s="137">
        <f t="shared" si="16"/>
        <v>1056</v>
      </c>
    </row>
    <row r="182" spans="1:17" s="8" customFormat="1" ht="15.75" x14ac:dyDescent="0.25">
      <c r="A182" s="106" t="s">
        <v>410</v>
      </c>
      <c r="B182" s="102">
        <v>44193</v>
      </c>
      <c r="C182" s="25" t="s">
        <v>670</v>
      </c>
      <c r="D182" s="25" t="s">
        <v>1122</v>
      </c>
      <c r="E182" s="164">
        <f>38+19</f>
        <v>57</v>
      </c>
      <c r="F182" s="134">
        <v>67.8</v>
      </c>
      <c r="G182" s="50">
        <f t="shared" si="18"/>
        <v>3864.6</v>
      </c>
      <c r="H182" s="103"/>
      <c r="I182" s="144"/>
      <c r="J182" s="104"/>
      <c r="K182" s="103"/>
      <c r="L182" s="103"/>
      <c r="M182" s="141">
        <f t="shared" si="20"/>
        <v>57</v>
      </c>
      <c r="N182" s="103"/>
      <c r="O182" s="103" t="s">
        <v>946</v>
      </c>
      <c r="P182" s="137">
        <f t="shared" si="16"/>
        <v>3864.6</v>
      </c>
    </row>
    <row r="183" spans="1:17" s="8" customFormat="1" ht="15.75" x14ac:dyDescent="0.25">
      <c r="A183" s="106" t="s">
        <v>411</v>
      </c>
      <c r="B183" s="102">
        <v>44193</v>
      </c>
      <c r="C183" s="25" t="s">
        <v>671</v>
      </c>
      <c r="D183" s="25" t="s">
        <v>1122</v>
      </c>
      <c r="E183" s="164">
        <f>19+19</f>
        <v>38</v>
      </c>
      <c r="F183" s="134">
        <v>67.8</v>
      </c>
      <c r="G183" s="50">
        <f t="shared" si="18"/>
        <v>2576.4</v>
      </c>
      <c r="H183" s="103"/>
      <c r="I183" s="144"/>
      <c r="J183" s="104"/>
      <c r="K183" s="103"/>
      <c r="L183" s="103"/>
      <c r="M183" s="141">
        <f t="shared" si="20"/>
        <v>38</v>
      </c>
      <c r="N183" s="103"/>
      <c r="O183" s="103" t="s">
        <v>946</v>
      </c>
      <c r="P183" s="137">
        <f t="shared" si="16"/>
        <v>2576.4</v>
      </c>
    </row>
    <row r="184" spans="1:17" s="8" customFormat="1" ht="15.75" x14ac:dyDescent="0.25">
      <c r="A184" s="106" t="s">
        <v>412</v>
      </c>
      <c r="B184" s="102">
        <v>44193</v>
      </c>
      <c r="C184" s="25" t="s">
        <v>669</v>
      </c>
      <c r="D184" s="25" t="s">
        <v>1122</v>
      </c>
      <c r="E184" s="165">
        <v>0</v>
      </c>
      <c r="F184" s="134">
        <v>67.8</v>
      </c>
      <c r="G184" s="50">
        <f t="shared" si="18"/>
        <v>0</v>
      </c>
      <c r="H184" s="103"/>
      <c r="I184" s="144"/>
      <c r="J184" s="104"/>
      <c r="K184" s="103"/>
      <c r="L184" s="103"/>
      <c r="M184" s="141">
        <f t="shared" si="20"/>
        <v>0</v>
      </c>
      <c r="N184" s="103"/>
      <c r="O184" s="103" t="s">
        <v>946</v>
      </c>
      <c r="P184" s="137">
        <f t="shared" si="16"/>
        <v>0</v>
      </c>
    </row>
    <row r="185" spans="1:17" s="8" customFormat="1" ht="15.75" x14ac:dyDescent="0.25">
      <c r="A185" s="106" t="s">
        <v>413</v>
      </c>
      <c r="B185" s="102">
        <v>44193</v>
      </c>
      <c r="C185" s="9" t="s">
        <v>672</v>
      </c>
      <c r="D185" s="25" t="s">
        <v>1122</v>
      </c>
      <c r="E185" s="164">
        <v>50</v>
      </c>
      <c r="F185" s="134">
        <v>170.69</v>
      </c>
      <c r="G185" s="50">
        <f t="shared" si="18"/>
        <v>8534.5</v>
      </c>
      <c r="H185" s="103"/>
      <c r="I185" s="144"/>
      <c r="J185" s="104"/>
      <c r="K185" s="103"/>
      <c r="L185" s="103"/>
      <c r="M185" s="141">
        <f t="shared" si="20"/>
        <v>50</v>
      </c>
      <c r="N185" s="103"/>
      <c r="O185" s="103" t="s">
        <v>947</v>
      </c>
      <c r="P185" s="137">
        <f t="shared" si="16"/>
        <v>8534.5</v>
      </c>
    </row>
    <row r="186" spans="1:17" s="8" customFormat="1" ht="15.75" x14ac:dyDescent="0.25">
      <c r="A186" s="106" t="s">
        <v>414</v>
      </c>
      <c r="B186" s="102">
        <v>44193</v>
      </c>
      <c r="C186" s="9" t="s">
        <v>673</v>
      </c>
      <c r="D186" s="25" t="s">
        <v>1122</v>
      </c>
      <c r="E186" s="164">
        <v>1040</v>
      </c>
      <c r="F186" s="134">
        <v>170.69</v>
      </c>
      <c r="G186" s="50">
        <f t="shared" si="18"/>
        <v>177517.6</v>
      </c>
      <c r="H186" s="103"/>
      <c r="I186" s="144"/>
      <c r="J186" s="104"/>
      <c r="K186" s="103"/>
      <c r="L186" s="103"/>
      <c r="M186" s="141">
        <f t="shared" si="20"/>
        <v>1040</v>
      </c>
      <c r="N186" s="103"/>
      <c r="O186" s="103" t="s">
        <v>947</v>
      </c>
      <c r="P186" s="137">
        <f t="shared" si="16"/>
        <v>177517.6</v>
      </c>
    </row>
    <row r="187" spans="1:17" s="8" customFormat="1" ht="15.75" x14ac:dyDescent="0.25">
      <c r="A187" s="106" t="s">
        <v>415</v>
      </c>
      <c r="B187" s="102">
        <v>44193</v>
      </c>
      <c r="C187" s="9" t="s">
        <v>674</v>
      </c>
      <c r="D187" s="25" t="s">
        <v>1122</v>
      </c>
      <c r="E187" s="169">
        <v>1</v>
      </c>
      <c r="F187" s="134">
        <v>170.69</v>
      </c>
      <c r="G187" s="50">
        <f t="shared" si="18"/>
        <v>170.69</v>
      </c>
      <c r="H187" s="103"/>
      <c r="I187" s="144"/>
      <c r="J187" s="104"/>
      <c r="K187" s="103"/>
      <c r="L187" s="103"/>
      <c r="M187" s="141">
        <f t="shared" si="20"/>
        <v>1</v>
      </c>
      <c r="N187" s="103"/>
      <c r="O187" s="103" t="s">
        <v>947</v>
      </c>
      <c r="P187" s="137">
        <f t="shared" si="16"/>
        <v>170.69</v>
      </c>
    </row>
    <row r="188" spans="1:17" s="8" customFormat="1" ht="15.75" x14ac:dyDescent="0.25">
      <c r="A188" s="106" t="s">
        <v>416</v>
      </c>
      <c r="B188" s="102">
        <v>44193</v>
      </c>
      <c r="C188" s="9" t="s">
        <v>675</v>
      </c>
      <c r="D188" s="25" t="s">
        <v>1122</v>
      </c>
      <c r="E188" s="161">
        <v>300</v>
      </c>
      <c r="F188" s="134">
        <v>6.5</v>
      </c>
      <c r="G188" s="50">
        <f t="shared" si="18"/>
        <v>1950</v>
      </c>
      <c r="H188" s="103"/>
      <c r="I188" s="144"/>
      <c r="J188" s="104"/>
      <c r="K188" s="103"/>
      <c r="L188" s="103">
        <v>5</v>
      </c>
      <c r="M188" s="141">
        <f t="shared" si="20"/>
        <v>295</v>
      </c>
      <c r="N188" s="103"/>
      <c r="O188" s="103" t="s">
        <v>947</v>
      </c>
      <c r="P188" s="137">
        <f t="shared" si="16"/>
        <v>1917.5</v>
      </c>
    </row>
    <row r="189" spans="1:17" s="8" customFormat="1" ht="15.75" x14ac:dyDescent="0.25">
      <c r="A189" s="106" t="s">
        <v>417</v>
      </c>
      <c r="B189" s="102">
        <v>44193</v>
      </c>
      <c r="C189" s="9" t="s">
        <v>676</v>
      </c>
      <c r="D189" s="25" t="s">
        <v>1122</v>
      </c>
      <c r="E189" s="161">
        <v>2</v>
      </c>
      <c r="F189" s="134">
        <v>3.5</v>
      </c>
      <c r="G189" s="50">
        <f t="shared" si="18"/>
        <v>7</v>
      </c>
      <c r="H189" s="103"/>
      <c r="I189" s="144"/>
      <c r="J189" s="104"/>
      <c r="K189" s="103"/>
      <c r="L189" s="103"/>
      <c r="M189" s="141">
        <f t="shared" si="20"/>
        <v>2</v>
      </c>
      <c r="N189" s="103"/>
      <c r="O189" s="103" t="s">
        <v>947</v>
      </c>
      <c r="P189" s="137">
        <f t="shared" si="16"/>
        <v>7</v>
      </c>
    </row>
    <row r="190" spans="1:17" s="8" customFormat="1" ht="15.75" x14ac:dyDescent="0.25">
      <c r="A190" s="106" t="s">
        <v>418</v>
      </c>
      <c r="B190" s="102">
        <v>44193</v>
      </c>
      <c r="C190" s="25" t="s">
        <v>678</v>
      </c>
      <c r="D190" s="25" t="s">
        <v>1122</v>
      </c>
      <c r="E190" s="161">
        <v>5</v>
      </c>
      <c r="F190" s="134">
        <v>5000</v>
      </c>
      <c r="G190" s="50">
        <f t="shared" si="18"/>
        <v>25000</v>
      </c>
      <c r="H190" s="103"/>
      <c r="I190" s="144"/>
      <c r="J190" s="104"/>
      <c r="K190" s="103"/>
      <c r="L190" s="103"/>
      <c r="M190" s="141">
        <f t="shared" si="20"/>
        <v>5</v>
      </c>
      <c r="N190" s="103"/>
      <c r="O190" s="103" t="s">
        <v>946</v>
      </c>
      <c r="P190" s="137">
        <f t="shared" si="16"/>
        <v>25000</v>
      </c>
    </row>
    <row r="191" spans="1:17" s="8" customFormat="1" ht="15.75" x14ac:dyDescent="0.25">
      <c r="A191" s="106" t="s">
        <v>419</v>
      </c>
      <c r="B191" s="102">
        <v>44193</v>
      </c>
      <c r="C191" s="25" t="s">
        <v>677</v>
      </c>
      <c r="D191" s="25" t="s">
        <v>1122</v>
      </c>
      <c r="E191" s="161">
        <v>2</v>
      </c>
      <c r="F191" s="134">
        <v>10800</v>
      </c>
      <c r="G191" s="50">
        <f t="shared" si="18"/>
        <v>21600</v>
      </c>
      <c r="H191" s="103"/>
      <c r="I191" s="144"/>
      <c r="J191" s="104"/>
      <c r="K191" s="103"/>
      <c r="L191" s="103"/>
      <c r="M191" s="141">
        <f t="shared" si="20"/>
        <v>2</v>
      </c>
      <c r="N191" s="103"/>
      <c r="O191" s="103" t="s">
        <v>946</v>
      </c>
      <c r="P191" s="137">
        <f t="shared" si="16"/>
        <v>21600</v>
      </c>
    </row>
    <row r="192" spans="1:17" s="8" customFormat="1" ht="15.75" x14ac:dyDescent="0.25">
      <c r="A192" s="106" t="s">
        <v>420</v>
      </c>
      <c r="B192" s="102">
        <v>44193</v>
      </c>
      <c r="C192" s="9" t="s">
        <v>679</v>
      </c>
      <c r="D192" s="25" t="s">
        <v>1122</v>
      </c>
      <c r="E192" s="162">
        <v>29</v>
      </c>
      <c r="F192" s="134">
        <v>33</v>
      </c>
      <c r="G192" s="50">
        <f t="shared" si="18"/>
        <v>957</v>
      </c>
      <c r="H192" s="103"/>
      <c r="I192" s="144"/>
      <c r="J192" s="104"/>
      <c r="K192" s="103"/>
      <c r="L192" s="103"/>
      <c r="M192" s="141">
        <f t="shared" si="20"/>
        <v>29</v>
      </c>
      <c r="N192" s="103"/>
      <c r="O192" s="103" t="s">
        <v>947</v>
      </c>
      <c r="P192" s="137">
        <f t="shared" si="16"/>
        <v>957</v>
      </c>
    </row>
    <row r="193" spans="1:16" s="8" customFormat="1" ht="15.75" x14ac:dyDescent="0.25">
      <c r="A193" s="106" t="s">
        <v>421</v>
      </c>
      <c r="B193" s="129">
        <v>45042</v>
      </c>
      <c r="C193" s="9" t="s">
        <v>1035</v>
      </c>
      <c r="D193" s="25" t="s">
        <v>1122</v>
      </c>
      <c r="E193" s="161">
        <f>8*12</f>
        <v>96</v>
      </c>
      <c r="F193" s="134">
        <v>15</v>
      </c>
      <c r="G193" s="50">
        <f t="shared" si="18"/>
        <v>1440</v>
      </c>
      <c r="H193" s="107">
        <v>45042</v>
      </c>
      <c r="I193" s="144">
        <f>20*12</f>
        <v>240</v>
      </c>
      <c r="J193" s="104">
        <v>11.51</v>
      </c>
      <c r="K193" s="104">
        <f>+J193*I193</f>
        <v>2762.4</v>
      </c>
      <c r="L193" s="103">
        <f>12+6+12+12+12+12+12</f>
        <v>78</v>
      </c>
      <c r="M193" s="151">
        <f t="shared" si="20"/>
        <v>258</v>
      </c>
      <c r="N193" s="103"/>
      <c r="O193" s="103" t="s">
        <v>947</v>
      </c>
      <c r="P193" s="137">
        <f t="shared" si="16"/>
        <v>3870</v>
      </c>
    </row>
    <row r="194" spans="1:16" s="8" customFormat="1" ht="15.75" x14ac:dyDescent="0.25">
      <c r="A194" s="106" t="s">
        <v>422</v>
      </c>
      <c r="B194" s="102">
        <v>44547</v>
      </c>
      <c r="C194" s="9" t="s">
        <v>777</v>
      </c>
      <c r="D194" s="25" t="s">
        <v>1122</v>
      </c>
      <c r="E194" s="161">
        <v>27</v>
      </c>
      <c r="F194" s="134">
        <v>8.34</v>
      </c>
      <c r="G194" s="50">
        <f t="shared" si="18"/>
        <v>225.18</v>
      </c>
      <c r="H194" s="103"/>
      <c r="I194" s="144"/>
      <c r="J194" s="104"/>
      <c r="K194" s="103"/>
      <c r="L194" s="103"/>
      <c r="M194" s="141">
        <f t="shared" si="20"/>
        <v>27</v>
      </c>
      <c r="N194" s="103"/>
      <c r="O194" s="103" t="s">
        <v>947</v>
      </c>
      <c r="P194" s="137">
        <f t="shared" si="16"/>
        <v>225.18</v>
      </c>
    </row>
    <row r="195" spans="1:16" s="8" customFormat="1" ht="15.75" x14ac:dyDescent="0.25">
      <c r="A195" s="106" t="s">
        <v>423</v>
      </c>
      <c r="B195" s="102">
        <v>44193</v>
      </c>
      <c r="C195" s="9" t="s">
        <v>1222</v>
      </c>
      <c r="D195" s="25" t="s">
        <v>1122</v>
      </c>
      <c r="E195" s="161">
        <f>12+8</f>
        <v>20</v>
      </c>
      <c r="F195" s="134">
        <v>8.34</v>
      </c>
      <c r="G195" s="50">
        <f t="shared" si="18"/>
        <v>166.8</v>
      </c>
      <c r="H195" s="103"/>
      <c r="I195" s="144">
        <v>12</v>
      </c>
      <c r="J195" s="104"/>
      <c r="K195" s="103"/>
      <c r="L195" s="103"/>
      <c r="M195" s="151">
        <f t="shared" si="20"/>
        <v>32</v>
      </c>
      <c r="N195" s="103"/>
      <c r="O195" s="103" t="s">
        <v>947</v>
      </c>
      <c r="P195" s="137">
        <f t="shared" si="16"/>
        <v>266.88</v>
      </c>
    </row>
    <row r="196" spans="1:16" s="8" customFormat="1" ht="15.75" x14ac:dyDescent="0.25">
      <c r="A196" s="106" t="s">
        <v>424</v>
      </c>
      <c r="B196" s="102">
        <v>45042</v>
      </c>
      <c r="C196" s="9" t="s">
        <v>681</v>
      </c>
      <c r="D196" s="25" t="s">
        <v>1122</v>
      </c>
      <c r="E196" s="161">
        <v>139</v>
      </c>
      <c r="F196" s="134">
        <v>5.6</v>
      </c>
      <c r="G196" s="50">
        <f t="shared" si="18"/>
        <v>778.4</v>
      </c>
      <c r="H196" s="103"/>
      <c r="I196" s="144">
        <f>20*12</f>
        <v>240</v>
      </c>
      <c r="J196" s="104">
        <v>4.43</v>
      </c>
      <c r="K196" s="104">
        <f>+J196*I196</f>
        <v>1063.1999999999998</v>
      </c>
      <c r="L196" s="103">
        <f>188+3+12+4</f>
        <v>207</v>
      </c>
      <c r="M196" s="151">
        <f t="shared" si="20"/>
        <v>172</v>
      </c>
      <c r="N196" s="103"/>
      <c r="O196" s="103" t="s">
        <v>947</v>
      </c>
      <c r="P196" s="137">
        <f t="shared" si="16"/>
        <v>963.19999999999993</v>
      </c>
    </row>
    <row r="197" spans="1:16" s="92" customFormat="1" x14ac:dyDescent="0.3">
      <c r="A197" s="106" t="s">
        <v>425</v>
      </c>
      <c r="B197" s="102">
        <v>44193</v>
      </c>
      <c r="C197" s="9" t="s">
        <v>684</v>
      </c>
      <c r="D197" s="25" t="s">
        <v>1122</v>
      </c>
      <c r="E197" s="161">
        <v>79</v>
      </c>
      <c r="F197" s="134">
        <v>160</v>
      </c>
      <c r="G197" s="50">
        <f t="shared" si="18"/>
        <v>12640</v>
      </c>
      <c r="H197" s="103"/>
      <c r="I197" s="144"/>
      <c r="J197" s="104"/>
      <c r="K197" s="103"/>
      <c r="L197" s="103">
        <v>1</v>
      </c>
      <c r="M197" s="141">
        <f t="shared" si="20"/>
        <v>78</v>
      </c>
      <c r="N197" s="103"/>
      <c r="O197" s="103" t="s">
        <v>945</v>
      </c>
      <c r="P197" s="137">
        <f t="shared" si="16"/>
        <v>12480</v>
      </c>
    </row>
    <row r="198" spans="1:16" s="105" customFormat="1" ht="15.75" x14ac:dyDescent="0.25">
      <c r="A198" s="106" t="s">
        <v>426</v>
      </c>
      <c r="B198" s="129">
        <v>45042</v>
      </c>
      <c r="C198" s="9" t="s">
        <v>787</v>
      </c>
      <c r="D198" s="25" t="s">
        <v>1122</v>
      </c>
      <c r="E198" s="161">
        <v>18</v>
      </c>
      <c r="F198" s="134">
        <v>38.65</v>
      </c>
      <c r="G198" s="50">
        <f t="shared" si="18"/>
        <v>695.69999999999993</v>
      </c>
      <c r="H198" s="107"/>
      <c r="I198" s="144">
        <v>10</v>
      </c>
      <c r="J198" s="104">
        <v>58</v>
      </c>
      <c r="K198" s="103">
        <f>+J198*I198</f>
        <v>580</v>
      </c>
      <c r="L198" s="103">
        <v>3</v>
      </c>
      <c r="M198" s="151">
        <f t="shared" si="20"/>
        <v>25</v>
      </c>
      <c r="N198" s="103" t="s">
        <v>1037</v>
      </c>
      <c r="O198" s="103" t="s">
        <v>947</v>
      </c>
      <c r="P198" s="137">
        <f t="shared" si="16"/>
        <v>966.25</v>
      </c>
    </row>
    <row r="199" spans="1:16" s="8" customFormat="1" ht="15.75" x14ac:dyDescent="0.25">
      <c r="A199" s="106" t="s">
        <v>427</v>
      </c>
      <c r="B199" s="102"/>
      <c r="C199" s="25" t="s">
        <v>1224</v>
      </c>
      <c r="D199" s="25" t="s">
        <v>1122</v>
      </c>
      <c r="E199" s="162">
        <v>56</v>
      </c>
      <c r="F199" s="134"/>
      <c r="G199" s="50"/>
      <c r="H199" s="103"/>
      <c r="I199" s="144"/>
      <c r="J199" s="104"/>
      <c r="K199" s="103"/>
      <c r="L199" s="103"/>
      <c r="M199" s="141">
        <f t="shared" si="20"/>
        <v>56</v>
      </c>
      <c r="N199" s="103"/>
      <c r="O199" s="103" t="s">
        <v>947</v>
      </c>
      <c r="P199" s="137">
        <f t="shared" si="16"/>
        <v>0</v>
      </c>
    </row>
    <row r="200" spans="1:16" s="105" customFormat="1" ht="15.75" x14ac:dyDescent="0.25">
      <c r="A200" s="106" t="s">
        <v>428</v>
      </c>
      <c r="B200" s="129">
        <v>45042</v>
      </c>
      <c r="C200" s="9" t="s">
        <v>780</v>
      </c>
      <c r="D200" s="25" t="s">
        <v>1122</v>
      </c>
      <c r="E200" s="161">
        <v>8</v>
      </c>
      <c r="F200" s="171">
        <v>310.33999999999997</v>
      </c>
      <c r="G200" s="50">
        <f>E200*F200</f>
        <v>2482.7199999999998</v>
      </c>
      <c r="H200" s="107">
        <v>45042</v>
      </c>
      <c r="I200" s="144">
        <v>10</v>
      </c>
      <c r="J200" s="104">
        <v>310.33999999999997</v>
      </c>
      <c r="K200" s="104">
        <f>+J200*I200</f>
        <v>3103.3999999999996</v>
      </c>
      <c r="L200" s="103">
        <v>1</v>
      </c>
      <c r="M200" s="151">
        <f t="shared" si="20"/>
        <v>17</v>
      </c>
      <c r="N200" s="103" t="s">
        <v>1037</v>
      </c>
      <c r="O200" s="103" t="s">
        <v>947</v>
      </c>
      <c r="P200" s="137">
        <f t="shared" si="16"/>
        <v>5275.78</v>
      </c>
    </row>
    <row r="201" spans="1:16" s="8" customFormat="1" ht="15.75" x14ac:dyDescent="0.25">
      <c r="A201" s="106" t="s">
        <v>429</v>
      </c>
      <c r="B201" s="102"/>
      <c r="C201" s="25" t="s">
        <v>783</v>
      </c>
      <c r="D201" s="25" t="s">
        <v>1122</v>
      </c>
      <c r="E201" s="162">
        <v>15</v>
      </c>
      <c r="F201" s="134"/>
      <c r="G201" s="50"/>
      <c r="H201" s="103"/>
      <c r="I201" s="144"/>
      <c r="J201" s="104"/>
      <c r="K201" s="103"/>
      <c r="L201" s="103"/>
      <c r="M201" s="141">
        <f t="shared" si="20"/>
        <v>15</v>
      </c>
      <c r="N201" s="103"/>
      <c r="O201" s="103" t="s">
        <v>947</v>
      </c>
      <c r="P201" s="137">
        <f t="shared" si="16"/>
        <v>0</v>
      </c>
    </row>
    <row r="202" spans="1:16" s="8" customFormat="1" ht="15.75" x14ac:dyDescent="0.25">
      <c r="A202" s="106" t="s">
        <v>430</v>
      </c>
      <c r="B202" s="102">
        <v>44193</v>
      </c>
      <c r="C202" s="9" t="s">
        <v>687</v>
      </c>
      <c r="D202" s="25" t="s">
        <v>1122</v>
      </c>
      <c r="E202" s="165">
        <v>2</v>
      </c>
      <c r="F202" s="134">
        <v>175</v>
      </c>
      <c r="G202" s="50">
        <f t="shared" ref="G202:G260" si="21">E202*F202</f>
        <v>350</v>
      </c>
      <c r="H202" s="103"/>
      <c r="I202" s="144"/>
      <c r="J202" s="104"/>
      <c r="K202" s="103"/>
      <c r="L202" s="103"/>
      <c r="M202" s="141">
        <f t="shared" si="20"/>
        <v>2</v>
      </c>
      <c r="N202" s="103"/>
      <c r="O202" s="103" t="s">
        <v>947</v>
      </c>
      <c r="P202" s="137">
        <f t="shared" si="16"/>
        <v>350</v>
      </c>
    </row>
    <row r="203" spans="1:16" s="8" customFormat="1" ht="15.75" x14ac:dyDescent="0.25">
      <c r="A203" s="106" t="s">
        <v>431</v>
      </c>
      <c r="B203" s="102">
        <v>44193</v>
      </c>
      <c r="C203" s="25" t="s">
        <v>695</v>
      </c>
      <c r="D203" s="25" t="s">
        <v>1122</v>
      </c>
      <c r="E203" s="162">
        <v>1</v>
      </c>
      <c r="F203" s="134">
        <v>270.55</v>
      </c>
      <c r="G203" s="50">
        <f t="shared" si="21"/>
        <v>270.55</v>
      </c>
      <c r="H203" s="103"/>
      <c r="I203" s="144"/>
      <c r="J203" s="104"/>
      <c r="K203" s="103"/>
      <c r="L203" s="103"/>
      <c r="M203" s="141">
        <f t="shared" si="20"/>
        <v>1</v>
      </c>
      <c r="N203" s="103"/>
      <c r="O203" s="103" t="s">
        <v>946</v>
      </c>
      <c r="P203" s="137">
        <f t="shared" si="16"/>
        <v>270.55</v>
      </c>
    </row>
    <row r="204" spans="1:16" s="8" customFormat="1" ht="15.75" x14ac:dyDescent="0.25">
      <c r="A204" s="106" t="s">
        <v>432</v>
      </c>
      <c r="B204" s="102">
        <v>44193</v>
      </c>
      <c r="C204" s="25" t="s">
        <v>688</v>
      </c>
      <c r="D204" s="25" t="s">
        <v>1122</v>
      </c>
      <c r="E204" s="166">
        <v>3</v>
      </c>
      <c r="F204" s="134">
        <v>79.8</v>
      </c>
      <c r="G204" s="50">
        <f t="shared" si="21"/>
        <v>239.39999999999998</v>
      </c>
      <c r="H204" s="103"/>
      <c r="I204" s="144"/>
      <c r="J204" s="104"/>
      <c r="K204" s="103"/>
      <c r="L204" s="103"/>
      <c r="M204" s="141">
        <f t="shared" si="20"/>
        <v>3</v>
      </c>
      <c r="N204" s="103"/>
      <c r="O204" s="103" t="s">
        <v>946</v>
      </c>
      <c r="P204" s="137">
        <f t="shared" si="16"/>
        <v>239.39999999999998</v>
      </c>
    </row>
    <row r="205" spans="1:16" s="8" customFormat="1" ht="15.75" x14ac:dyDescent="0.25">
      <c r="A205" s="106" t="s">
        <v>433</v>
      </c>
      <c r="B205" s="102">
        <v>44193</v>
      </c>
      <c r="C205" s="25" t="s">
        <v>689</v>
      </c>
      <c r="D205" s="25" t="s">
        <v>1122</v>
      </c>
      <c r="E205" s="164">
        <v>7</v>
      </c>
      <c r="F205" s="134">
        <v>79.8</v>
      </c>
      <c r="G205" s="50">
        <f t="shared" si="21"/>
        <v>558.6</v>
      </c>
      <c r="H205" s="103"/>
      <c r="I205" s="144"/>
      <c r="J205" s="104"/>
      <c r="K205" s="103"/>
      <c r="L205" s="103"/>
      <c r="M205" s="141">
        <f t="shared" si="20"/>
        <v>7</v>
      </c>
      <c r="N205" s="103"/>
      <c r="O205" s="103" t="s">
        <v>946</v>
      </c>
      <c r="P205" s="137">
        <f t="shared" si="16"/>
        <v>558.6</v>
      </c>
    </row>
    <row r="206" spans="1:16" s="8" customFormat="1" ht="15.75" x14ac:dyDescent="0.25">
      <c r="A206" s="106" t="s">
        <v>434</v>
      </c>
      <c r="B206" s="102">
        <v>44193</v>
      </c>
      <c r="C206" s="25" t="s">
        <v>690</v>
      </c>
      <c r="D206" s="25" t="s">
        <v>1122</v>
      </c>
      <c r="E206" s="170">
        <v>7</v>
      </c>
      <c r="F206" s="134">
        <v>62.93</v>
      </c>
      <c r="G206" s="50">
        <f t="shared" si="21"/>
        <v>440.51</v>
      </c>
      <c r="H206" s="103"/>
      <c r="I206" s="144"/>
      <c r="J206" s="104"/>
      <c r="K206" s="103"/>
      <c r="L206" s="103"/>
      <c r="M206" s="141">
        <f t="shared" si="20"/>
        <v>7</v>
      </c>
      <c r="N206" s="103"/>
      <c r="O206" s="103" t="s">
        <v>946</v>
      </c>
      <c r="P206" s="137">
        <f t="shared" si="16"/>
        <v>440.51</v>
      </c>
    </row>
    <row r="207" spans="1:16" s="8" customFormat="1" ht="15.75" x14ac:dyDescent="0.25">
      <c r="A207" s="106" t="s">
        <v>435</v>
      </c>
      <c r="B207" s="102">
        <v>44193</v>
      </c>
      <c r="C207" s="25" t="s">
        <v>691</v>
      </c>
      <c r="D207" s="25" t="s">
        <v>1122</v>
      </c>
      <c r="E207" s="170">
        <v>21</v>
      </c>
      <c r="F207" s="134">
        <v>165</v>
      </c>
      <c r="G207" s="50">
        <f t="shared" si="21"/>
        <v>3465</v>
      </c>
      <c r="H207" s="103"/>
      <c r="I207" s="144"/>
      <c r="J207" s="104"/>
      <c r="K207" s="103"/>
      <c r="L207" s="103"/>
      <c r="M207" s="141">
        <f t="shared" si="20"/>
        <v>21</v>
      </c>
      <c r="N207" s="103"/>
      <c r="O207" s="103" t="s">
        <v>946</v>
      </c>
      <c r="P207" s="137">
        <f t="shared" si="16"/>
        <v>3465</v>
      </c>
    </row>
    <row r="208" spans="1:16" s="8" customFormat="1" ht="15.75" x14ac:dyDescent="0.25">
      <c r="A208" s="106" t="s">
        <v>436</v>
      </c>
      <c r="B208" s="102">
        <v>44193</v>
      </c>
      <c r="C208" s="25" t="s">
        <v>791</v>
      </c>
      <c r="D208" s="25" t="s">
        <v>1122</v>
      </c>
      <c r="E208" s="162">
        <v>18</v>
      </c>
      <c r="F208" s="134">
        <v>52</v>
      </c>
      <c r="G208" s="50">
        <f t="shared" si="21"/>
        <v>936</v>
      </c>
      <c r="H208" s="103"/>
      <c r="I208" s="144"/>
      <c r="J208" s="104"/>
      <c r="K208" s="103"/>
      <c r="L208" s="103">
        <v>1</v>
      </c>
      <c r="M208" s="141">
        <f t="shared" si="20"/>
        <v>17</v>
      </c>
      <c r="N208" s="103"/>
      <c r="O208" s="103" t="s">
        <v>946</v>
      </c>
      <c r="P208" s="137">
        <f t="shared" si="16"/>
        <v>884</v>
      </c>
    </row>
    <row r="209" spans="1:16" s="8" customFormat="1" ht="15.75" x14ac:dyDescent="0.25">
      <c r="A209" s="106" t="s">
        <v>437</v>
      </c>
      <c r="B209" s="102">
        <v>44193</v>
      </c>
      <c r="C209" s="25" t="s">
        <v>790</v>
      </c>
      <c r="D209" s="25" t="s">
        <v>1122</v>
      </c>
      <c r="E209" s="162">
        <v>11</v>
      </c>
      <c r="F209" s="134">
        <v>79.8</v>
      </c>
      <c r="G209" s="50">
        <f t="shared" si="21"/>
        <v>877.8</v>
      </c>
      <c r="H209" s="103"/>
      <c r="I209" s="144"/>
      <c r="J209" s="104"/>
      <c r="K209" s="103"/>
      <c r="L209" s="103"/>
      <c r="M209" s="141">
        <f t="shared" si="20"/>
        <v>11</v>
      </c>
      <c r="N209" s="103"/>
      <c r="O209" s="103" t="s">
        <v>946</v>
      </c>
      <c r="P209" s="137">
        <f t="shared" si="16"/>
        <v>877.8</v>
      </c>
    </row>
    <row r="210" spans="1:16" s="8" customFormat="1" ht="15.75" x14ac:dyDescent="0.25">
      <c r="A210" s="106" t="s">
        <v>438</v>
      </c>
      <c r="B210" s="102">
        <v>44193</v>
      </c>
      <c r="C210" s="25" t="s">
        <v>693</v>
      </c>
      <c r="D210" s="25" t="s">
        <v>1122</v>
      </c>
      <c r="E210" s="162">
        <v>1</v>
      </c>
      <c r="F210" s="134">
        <v>2075</v>
      </c>
      <c r="G210" s="50">
        <f t="shared" si="21"/>
        <v>2075</v>
      </c>
      <c r="H210" s="103"/>
      <c r="I210" s="144"/>
      <c r="J210" s="104"/>
      <c r="K210" s="103"/>
      <c r="L210" s="103"/>
      <c r="M210" s="141">
        <f t="shared" si="20"/>
        <v>1</v>
      </c>
      <c r="N210" s="103"/>
      <c r="O210" s="103" t="s">
        <v>946</v>
      </c>
      <c r="P210" s="137">
        <f t="shared" si="16"/>
        <v>2075</v>
      </c>
    </row>
    <row r="211" spans="1:16" s="8" customFormat="1" ht="15.75" x14ac:dyDescent="0.25">
      <c r="A211" s="106" t="s">
        <v>439</v>
      </c>
      <c r="B211" s="102">
        <v>44193</v>
      </c>
      <c r="C211" s="25" t="s">
        <v>692</v>
      </c>
      <c r="D211" s="25" t="s">
        <v>1122</v>
      </c>
      <c r="E211" s="170">
        <v>18</v>
      </c>
      <c r="F211" s="134">
        <v>165</v>
      </c>
      <c r="G211" s="50">
        <f t="shared" si="21"/>
        <v>2970</v>
      </c>
      <c r="H211" s="103"/>
      <c r="I211" s="144"/>
      <c r="J211" s="104"/>
      <c r="K211" s="103"/>
      <c r="L211" s="103"/>
      <c r="M211" s="141">
        <f t="shared" si="20"/>
        <v>18</v>
      </c>
      <c r="N211" s="103"/>
      <c r="O211" s="103" t="s">
        <v>946</v>
      </c>
      <c r="P211" s="137">
        <f t="shared" si="16"/>
        <v>2970</v>
      </c>
    </row>
    <row r="212" spans="1:16" s="8" customFormat="1" ht="15.75" x14ac:dyDescent="0.25">
      <c r="A212" s="106" t="s">
        <v>440</v>
      </c>
      <c r="B212" s="102">
        <v>44193</v>
      </c>
      <c r="C212" s="25" t="s">
        <v>697</v>
      </c>
      <c r="D212" s="25" t="s">
        <v>1122</v>
      </c>
      <c r="E212" s="162">
        <v>20</v>
      </c>
      <c r="F212" s="134">
        <v>79.8</v>
      </c>
      <c r="G212" s="50">
        <f t="shared" si="21"/>
        <v>1596</v>
      </c>
      <c r="H212" s="103"/>
      <c r="I212" s="144"/>
      <c r="J212" s="104"/>
      <c r="K212" s="103"/>
      <c r="L212" s="103"/>
      <c r="M212" s="141">
        <f t="shared" si="20"/>
        <v>20</v>
      </c>
      <c r="N212" s="103"/>
      <c r="O212" s="103" t="s">
        <v>946</v>
      </c>
      <c r="P212" s="137">
        <f t="shared" si="16"/>
        <v>1596</v>
      </c>
    </row>
    <row r="213" spans="1:16" s="8" customFormat="1" ht="15.75" x14ac:dyDescent="0.25">
      <c r="A213" s="106" t="s">
        <v>441</v>
      </c>
      <c r="B213" s="102">
        <v>44193</v>
      </c>
      <c r="C213" s="25" t="s">
        <v>696</v>
      </c>
      <c r="D213" s="25" t="s">
        <v>1122</v>
      </c>
      <c r="E213" s="162">
        <v>9</v>
      </c>
      <c r="F213" s="134">
        <v>79.8</v>
      </c>
      <c r="G213" s="50">
        <f t="shared" si="21"/>
        <v>718.19999999999993</v>
      </c>
      <c r="H213" s="103"/>
      <c r="I213" s="144"/>
      <c r="J213" s="104"/>
      <c r="K213" s="103"/>
      <c r="L213" s="103">
        <v>1</v>
      </c>
      <c r="M213" s="141">
        <f t="shared" si="20"/>
        <v>8</v>
      </c>
      <c r="N213" s="103"/>
      <c r="O213" s="103" t="s">
        <v>946</v>
      </c>
      <c r="P213" s="137">
        <f t="shared" si="16"/>
        <v>638.4</v>
      </c>
    </row>
    <row r="214" spans="1:16" s="8" customFormat="1" ht="15.75" x14ac:dyDescent="0.25">
      <c r="A214" s="106" t="s">
        <v>442</v>
      </c>
      <c r="B214" s="102"/>
      <c r="C214" s="25" t="s">
        <v>808</v>
      </c>
      <c r="D214" s="25" t="s">
        <v>1122</v>
      </c>
      <c r="E214" s="162">
        <v>9</v>
      </c>
      <c r="F214" s="134">
        <v>352</v>
      </c>
      <c r="G214" s="50">
        <f t="shared" si="21"/>
        <v>3168</v>
      </c>
      <c r="H214" s="103"/>
      <c r="I214" s="144"/>
      <c r="J214" s="104"/>
      <c r="K214" s="103"/>
      <c r="L214" s="103"/>
      <c r="M214" s="141">
        <f t="shared" si="20"/>
        <v>9</v>
      </c>
      <c r="N214" s="103"/>
      <c r="O214" s="103" t="s">
        <v>946</v>
      </c>
      <c r="P214" s="137">
        <f t="shared" si="16"/>
        <v>3168</v>
      </c>
    </row>
    <row r="215" spans="1:16" s="92" customFormat="1" x14ac:dyDescent="0.3">
      <c r="A215" s="106" t="s">
        <v>443</v>
      </c>
      <c r="B215" s="129">
        <v>45127</v>
      </c>
      <c r="C215" s="25" t="s">
        <v>698</v>
      </c>
      <c r="D215" s="25" t="s">
        <v>1122</v>
      </c>
      <c r="E215" s="162">
        <v>4</v>
      </c>
      <c r="F215" s="134">
        <v>676.5</v>
      </c>
      <c r="G215" s="50">
        <f t="shared" si="21"/>
        <v>2706</v>
      </c>
      <c r="H215" s="107">
        <v>45127</v>
      </c>
      <c r="I215" s="144">
        <v>18</v>
      </c>
      <c r="J215" s="104">
        <v>676.5</v>
      </c>
      <c r="K215" s="180">
        <v>676.5</v>
      </c>
      <c r="L215" s="103"/>
      <c r="M215" s="151">
        <f t="shared" si="20"/>
        <v>22</v>
      </c>
      <c r="N215" s="103"/>
      <c r="O215" s="103" t="s">
        <v>945</v>
      </c>
      <c r="P215" s="137">
        <f>+F215*M215</f>
        <v>14883</v>
      </c>
    </row>
    <row r="216" spans="1:16" s="92" customFormat="1" x14ac:dyDescent="0.3">
      <c r="A216" s="106" t="s">
        <v>444</v>
      </c>
      <c r="B216" s="102">
        <v>44193</v>
      </c>
      <c r="C216" s="25" t="s">
        <v>699</v>
      </c>
      <c r="D216" s="25" t="s">
        <v>1122</v>
      </c>
      <c r="E216" s="162">
        <v>15</v>
      </c>
      <c r="F216" s="134">
        <v>140</v>
      </c>
      <c r="G216" s="50">
        <f t="shared" si="21"/>
        <v>2100</v>
      </c>
      <c r="H216" s="103"/>
      <c r="I216" s="144"/>
      <c r="J216" s="104"/>
      <c r="K216" s="103"/>
      <c r="L216" s="103">
        <v>1</v>
      </c>
      <c r="M216" s="141">
        <f t="shared" si="20"/>
        <v>14</v>
      </c>
      <c r="N216" s="103"/>
      <c r="O216" s="103" t="s">
        <v>945</v>
      </c>
      <c r="P216" s="137">
        <f t="shared" si="16"/>
        <v>1960</v>
      </c>
    </row>
    <row r="217" spans="1:16" s="8" customFormat="1" ht="15.75" x14ac:dyDescent="0.25">
      <c r="A217" s="106" t="s">
        <v>445</v>
      </c>
      <c r="B217" s="102">
        <v>44193</v>
      </c>
      <c r="C217" s="9" t="s">
        <v>706</v>
      </c>
      <c r="D217" s="25" t="s">
        <v>1122</v>
      </c>
      <c r="E217" s="106">
        <v>1</v>
      </c>
      <c r="F217" s="134">
        <v>5250</v>
      </c>
      <c r="G217" s="50">
        <f t="shared" si="21"/>
        <v>5250</v>
      </c>
      <c r="H217" s="103"/>
      <c r="I217" s="144"/>
      <c r="J217" s="104"/>
      <c r="K217" s="103"/>
      <c r="L217" s="103"/>
      <c r="M217" s="141">
        <f t="shared" si="20"/>
        <v>1</v>
      </c>
      <c r="N217" s="103"/>
      <c r="O217" s="103" t="s">
        <v>947</v>
      </c>
      <c r="P217" s="137">
        <f t="shared" ref="P217:P280" si="22">+F217*M217</f>
        <v>5250</v>
      </c>
    </row>
    <row r="218" spans="1:16" s="8" customFormat="1" ht="15.75" x14ac:dyDescent="0.25">
      <c r="A218" s="106" t="s">
        <v>446</v>
      </c>
      <c r="B218" s="102">
        <v>44193</v>
      </c>
      <c r="C218" s="9" t="s">
        <v>700</v>
      </c>
      <c r="D218" s="25" t="s">
        <v>1122</v>
      </c>
      <c r="E218" s="106">
        <f>9+12+12+24</f>
        <v>57</v>
      </c>
      <c r="F218" s="134">
        <v>12.93</v>
      </c>
      <c r="G218" s="50">
        <f t="shared" si="21"/>
        <v>737.01</v>
      </c>
      <c r="H218" s="103"/>
      <c r="I218" s="144"/>
      <c r="J218" s="104"/>
      <c r="K218" s="103"/>
      <c r="L218" s="103"/>
      <c r="M218" s="141">
        <f t="shared" si="20"/>
        <v>57</v>
      </c>
      <c r="N218" s="103"/>
      <c r="O218" s="103" t="s">
        <v>947</v>
      </c>
      <c r="P218" s="137">
        <f t="shared" si="22"/>
        <v>737.01</v>
      </c>
    </row>
    <row r="219" spans="1:16" s="8" customFormat="1" ht="15.75" x14ac:dyDescent="0.25">
      <c r="A219" s="106" t="s">
        <v>447</v>
      </c>
      <c r="B219" s="102">
        <v>44193</v>
      </c>
      <c r="C219" s="9" t="s">
        <v>701</v>
      </c>
      <c r="D219" s="25" t="s">
        <v>1122</v>
      </c>
      <c r="E219" s="106">
        <f>16+12+12</f>
        <v>40</v>
      </c>
      <c r="F219" s="134">
        <v>14.37</v>
      </c>
      <c r="G219" s="50">
        <f t="shared" si="21"/>
        <v>574.79999999999995</v>
      </c>
      <c r="H219" s="103"/>
      <c r="I219" s="144"/>
      <c r="J219" s="104"/>
      <c r="K219" s="103"/>
      <c r="L219" s="103"/>
      <c r="M219" s="141">
        <f t="shared" si="20"/>
        <v>40</v>
      </c>
      <c r="N219" s="103"/>
      <c r="O219" s="103" t="s">
        <v>947</v>
      </c>
      <c r="P219" s="137">
        <f t="shared" si="22"/>
        <v>574.79999999999995</v>
      </c>
    </row>
    <row r="220" spans="1:16" s="8" customFormat="1" ht="15.75" x14ac:dyDescent="0.25">
      <c r="A220" s="106" t="s">
        <v>448</v>
      </c>
      <c r="B220" s="102">
        <v>44193</v>
      </c>
      <c r="C220" s="9" t="s">
        <v>702</v>
      </c>
      <c r="D220" s="25" t="s">
        <v>1122</v>
      </c>
      <c r="E220" s="106">
        <v>6</v>
      </c>
      <c r="F220" s="134">
        <v>35</v>
      </c>
      <c r="G220" s="50">
        <f t="shared" si="21"/>
        <v>210</v>
      </c>
      <c r="H220" s="103"/>
      <c r="I220" s="144"/>
      <c r="J220" s="104"/>
      <c r="K220" s="103"/>
      <c r="L220" s="103"/>
      <c r="M220" s="141">
        <f t="shared" si="20"/>
        <v>6</v>
      </c>
      <c r="N220" s="103"/>
      <c r="O220" s="103" t="s">
        <v>947</v>
      </c>
      <c r="P220" s="137">
        <f t="shared" si="22"/>
        <v>210</v>
      </c>
    </row>
    <row r="221" spans="1:16" s="8" customFormat="1" ht="15.75" x14ac:dyDescent="0.25">
      <c r="A221" s="106" t="s">
        <v>449</v>
      </c>
      <c r="B221" s="102">
        <v>44193</v>
      </c>
      <c r="C221" s="9" t="s">
        <v>703</v>
      </c>
      <c r="D221" s="25" t="s">
        <v>1122</v>
      </c>
      <c r="E221" s="106"/>
      <c r="F221" s="134">
        <v>30</v>
      </c>
      <c r="G221" s="50">
        <f t="shared" si="21"/>
        <v>0</v>
      </c>
      <c r="H221" s="103"/>
      <c r="I221" s="144"/>
      <c r="J221" s="104"/>
      <c r="K221" s="103"/>
      <c r="L221" s="103"/>
      <c r="M221" s="141">
        <f t="shared" si="20"/>
        <v>0</v>
      </c>
      <c r="N221" s="103"/>
      <c r="O221" s="103" t="s">
        <v>947</v>
      </c>
      <c r="P221" s="137">
        <f t="shared" si="22"/>
        <v>0</v>
      </c>
    </row>
    <row r="222" spans="1:16" s="8" customFormat="1" ht="15.75" x14ac:dyDescent="0.25">
      <c r="A222" s="106" t="s">
        <v>450</v>
      </c>
      <c r="B222" s="102">
        <v>44193</v>
      </c>
      <c r="C222" s="9" t="s">
        <v>704</v>
      </c>
      <c r="D222" s="25" t="s">
        <v>1122</v>
      </c>
      <c r="E222" s="106">
        <v>1300</v>
      </c>
      <c r="F222" s="134">
        <v>2.6</v>
      </c>
      <c r="G222" s="50">
        <f t="shared" si="21"/>
        <v>3380</v>
      </c>
      <c r="H222" s="103"/>
      <c r="I222" s="144"/>
      <c r="J222" s="104"/>
      <c r="K222" s="103"/>
      <c r="L222" s="103">
        <v>1150</v>
      </c>
      <c r="M222" s="151">
        <f t="shared" si="20"/>
        <v>150</v>
      </c>
      <c r="N222" s="103"/>
      <c r="O222" s="103" t="s">
        <v>947</v>
      </c>
      <c r="P222" s="137">
        <f t="shared" si="22"/>
        <v>390</v>
      </c>
    </row>
    <row r="223" spans="1:16" s="8" customFormat="1" ht="15.75" x14ac:dyDescent="0.25">
      <c r="A223" s="106" t="s">
        <v>451</v>
      </c>
      <c r="B223" s="102">
        <v>44193</v>
      </c>
      <c r="C223" s="9" t="s">
        <v>705</v>
      </c>
      <c r="D223" s="25" t="s">
        <v>1122</v>
      </c>
      <c r="E223" s="106">
        <v>1</v>
      </c>
      <c r="F223" s="134">
        <v>728.81</v>
      </c>
      <c r="G223" s="50">
        <f t="shared" si="21"/>
        <v>728.81</v>
      </c>
      <c r="H223" s="103"/>
      <c r="I223" s="144"/>
      <c r="J223" s="104"/>
      <c r="K223" s="103"/>
      <c r="L223" s="103"/>
      <c r="M223" s="141">
        <f t="shared" si="20"/>
        <v>1</v>
      </c>
      <c r="N223" s="103"/>
      <c r="O223" s="103" t="s">
        <v>947</v>
      </c>
      <c r="P223" s="137">
        <f t="shared" si="22"/>
        <v>728.81</v>
      </c>
    </row>
    <row r="224" spans="1:16" s="8" customFormat="1" ht="15.75" x14ac:dyDescent="0.25">
      <c r="A224" s="106" t="s">
        <v>452</v>
      </c>
      <c r="B224" s="102">
        <v>44193</v>
      </c>
      <c r="C224" s="9" t="s">
        <v>709</v>
      </c>
      <c r="D224" s="25" t="s">
        <v>1122</v>
      </c>
      <c r="E224" s="166">
        <v>2</v>
      </c>
      <c r="F224" s="134">
        <v>350</v>
      </c>
      <c r="G224" s="50">
        <f t="shared" si="21"/>
        <v>700</v>
      </c>
      <c r="H224" s="103"/>
      <c r="I224" s="144"/>
      <c r="J224" s="104"/>
      <c r="K224" s="103"/>
      <c r="L224" s="103"/>
      <c r="M224" s="141">
        <f t="shared" si="20"/>
        <v>2</v>
      </c>
      <c r="N224" s="103"/>
      <c r="O224" s="103" t="s">
        <v>947</v>
      </c>
      <c r="P224" s="137">
        <f t="shared" si="22"/>
        <v>700</v>
      </c>
    </row>
    <row r="225" spans="1:16" s="8" customFormat="1" ht="15.75" x14ac:dyDescent="0.25">
      <c r="A225" s="106" t="s">
        <v>453</v>
      </c>
      <c r="B225" s="102">
        <v>44193</v>
      </c>
      <c r="C225" s="9" t="s">
        <v>707</v>
      </c>
      <c r="D225" s="25" t="s">
        <v>1122</v>
      </c>
      <c r="E225" s="106">
        <v>5</v>
      </c>
      <c r="F225" s="134">
        <v>595</v>
      </c>
      <c r="G225" s="50">
        <f t="shared" si="21"/>
        <v>2975</v>
      </c>
      <c r="H225" s="103"/>
      <c r="I225" s="144"/>
      <c r="J225" s="104"/>
      <c r="K225" s="103"/>
      <c r="L225" s="103"/>
      <c r="M225" s="141">
        <f t="shared" si="20"/>
        <v>5</v>
      </c>
      <c r="N225" s="103"/>
      <c r="O225" s="103" t="s">
        <v>947</v>
      </c>
      <c r="P225" s="137">
        <f t="shared" si="22"/>
        <v>2975</v>
      </c>
    </row>
    <row r="226" spans="1:16" s="8" customFormat="1" ht="15.75" x14ac:dyDescent="0.25">
      <c r="A226" s="106" t="s">
        <v>454</v>
      </c>
      <c r="B226" s="102">
        <v>44193</v>
      </c>
      <c r="C226" s="9" t="s">
        <v>868</v>
      </c>
      <c r="D226" s="25" t="s">
        <v>1122</v>
      </c>
      <c r="E226" s="106">
        <v>2</v>
      </c>
      <c r="F226" s="134">
        <v>300</v>
      </c>
      <c r="G226" s="50">
        <f t="shared" si="21"/>
        <v>600</v>
      </c>
      <c r="H226" s="103"/>
      <c r="I226" s="144"/>
      <c r="J226" s="104"/>
      <c r="K226" s="103"/>
      <c r="L226" s="103"/>
      <c r="M226" s="141">
        <f t="shared" si="20"/>
        <v>2</v>
      </c>
      <c r="N226" s="103"/>
      <c r="O226" s="103" t="s">
        <v>947</v>
      </c>
      <c r="P226" s="137">
        <f t="shared" si="22"/>
        <v>600</v>
      </c>
    </row>
    <row r="227" spans="1:16" s="8" customFormat="1" ht="15.75" x14ac:dyDescent="0.25">
      <c r="A227" s="106" t="s">
        <v>455</v>
      </c>
      <c r="B227" s="102">
        <v>44193</v>
      </c>
      <c r="C227" s="25" t="s">
        <v>710</v>
      </c>
      <c r="D227" s="25" t="s">
        <v>1122</v>
      </c>
      <c r="E227" s="165">
        <v>0</v>
      </c>
      <c r="F227" s="134">
        <v>3950</v>
      </c>
      <c r="G227" s="50">
        <f t="shared" si="21"/>
        <v>0</v>
      </c>
      <c r="H227" s="103"/>
      <c r="I227" s="144"/>
      <c r="J227" s="104"/>
      <c r="K227" s="103"/>
      <c r="L227" s="103"/>
      <c r="M227" s="141">
        <f t="shared" si="20"/>
        <v>0</v>
      </c>
      <c r="N227" s="103"/>
      <c r="O227" s="103" t="s">
        <v>947</v>
      </c>
      <c r="P227" s="137">
        <f t="shared" si="22"/>
        <v>0</v>
      </c>
    </row>
    <row r="228" spans="1:16" s="8" customFormat="1" ht="15.75" x14ac:dyDescent="0.25">
      <c r="A228" s="106" t="s">
        <v>456</v>
      </c>
      <c r="B228" s="106" t="s">
        <v>108</v>
      </c>
      <c r="C228" s="25" t="s">
        <v>714</v>
      </c>
      <c r="D228" s="25" t="s">
        <v>1122</v>
      </c>
      <c r="E228" s="164">
        <v>6</v>
      </c>
      <c r="F228" s="171">
        <v>11000</v>
      </c>
      <c r="G228" s="50">
        <f t="shared" si="21"/>
        <v>66000</v>
      </c>
      <c r="H228" s="103"/>
      <c r="I228" s="144"/>
      <c r="J228" s="104"/>
      <c r="K228" s="103"/>
      <c r="L228" s="103"/>
      <c r="M228" s="141">
        <f t="shared" si="20"/>
        <v>6</v>
      </c>
      <c r="N228" s="103"/>
      <c r="O228" s="103" t="s">
        <v>947</v>
      </c>
      <c r="P228" s="137">
        <f t="shared" si="22"/>
        <v>66000</v>
      </c>
    </row>
    <row r="229" spans="1:16" s="8" customFormat="1" ht="15.75" x14ac:dyDescent="0.25">
      <c r="A229" s="106" t="s">
        <v>457</v>
      </c>
      <c r="B229" s="102">
        <v>44652</v>
      </c>
      <c r="C229" s="25" t="s">
        <v>856</v>
      </c>
      <c r="D229" s="25" t="s">
        <v>1122</v>
      </c>
      <c r="E229" s="162">
        <v>5</v>
      </c>
      <c r="F229" s="173">
        <v>1700</v>
      </c>
      <c r="G229" s="50">
        <f t="shared" si="21"/>
        <v>8500</v>
      </c>
      <c r="H229" s="103"/>
      <c r="I229" s="144"/>
      <c r="J229" s="104"/>
      <c r="K229" s="103"/>
      <c r="L229" s="103"/>
      <c r="M229" s="141">
        <f t="shared" si="20"/>
        <v>5</v>
      </c>
      <c r="N229" s="103"/>
      <c r="O229" s="103" t="s">
        <v>946</v>
      </c>
      <c r="P229" s="137">
        <f t="shared" si="22"/>
        <v>8500</v>
      </c>
    </row>
    <row r="230" spans="1:16" s="8" customFormat="1" ht="15.75" x14ac:dyDescent="0.25">
      <c r="A230" s="106" t="s">
        <v>458</v>
      </c>
      <c r="B230" s="102">
        <v>44193</v>
      </c>
      <c r="C230" s="25" t="s">
        <v>712</v>
      </c>
      <c r="D230" s="25" t="s">
        <v>1122</v>
      </c>
      <c r="E230" s="165">
        <v>0</v>
      </c>
      <c r="F230" s="134">
        <v>148.31</v>
      </c>
      <c r="G230" s="50">
        <f t="shared" si="21"/>
        <v>0</v>
      </c>
      <c r="H230" s="103"/>
      <c r="I230" s="144"/>
      <c r="J230" s="104"/>
      <c r="K230" s="103"/>
      <c r="L230" s="103"/>
      <c r="M230" s="141">
        <f t="shared" si="20"/>
        <v>0</v>
      </c>
      <c r="N230" s="103"/>
      <c r="O230" s="103" t="s">
        <v>946</v>
      </c>
      <c r="P230" s="137">
        <f t="shared" si="22"/>
        <v>0</v>
      </c>
    </row>
    <row r="231" spans="1:16" s="8" customFormat="1" ht="15.75" x14ac:dyDescent="0.25">
      <c r="A231" s="106" t="s">
        <v>459</v>
      </c>
      <c r="B231" s="102">
        <v>44193</v>
      </c>
      <c r="C231" s="25" t="s">
        <v>713</v>
      </c>
      <c r="D231" s="25" t="s">
        <v>1122</v>
      </c>
      <c r="E231" s="165">
        <v>0</v>
      </c>
      <c r="F231" s="134">
        <v>122.88</v>
      </c>
      <c r="G231" s="50">
        <f t="shared" si="21"/>
        <v>0</v>
      </c>
      <c r="H231" s="103"/>
      <c r="I231" s="144"/>
      <c r="J231" s="104"/>
      <c r="K231" s="103"/>
      <c r="L231" s="103"/>
      <c r="M231" s="141">
        <f t="shared" si="20"/>
        <v>0</v>
      </c>
      <c r="N231" s="103"/>
      <c r="O231" s="103" t="s">
        <v>946</v>
      </c>
      <c r="P231" s="137">
        <f t="shared" si="22"/>
        <v>0</v>
      </c>
    </row>
    <row r="232" spans="1:16" s="8" customFormat="1" ht="15.75" x14ac:dyDescent="0.25">
      <c r="A232" s="106" t="s">
        <v>460</v>
      </c>
      <c r="B232" s="102">
        <v>44193</v>
      </c>
      <c r="C232" s="25" t="s">
        <v>847</v>
      </c>
      <c r="D232" s="25" t="s">
        <v>1122</v>
      </c>
      <c r="E232" s="165">
        <v>0</v>
      </c>
      <c r="F232" s="134">
        <v>0</v>
      </c>
      <c r="G232" s="50">
        <f t="shared" si="21"/>
        <v>0</v>
      </c>
      <c r="H232" s="103"/>
      <c r="I232" s="144"/>
      <c r="J232" s="104"/>
      <c r="K232" s="103"/>
      <c r="L232" s="103"/>
      <c r="M232" s="141">
        <f t="shared" si="20"/>
        <v>0</v>
      </c>
      <c r="N232" s="103"/>
      <c r="O232" s="103" t="s">
        <v>946</v>
      </c>
      <c r="P232" s="137">
        <f t="shared" si="22"/>
        <v>0</v>
      </c>
    </row>
    <row r="233" spans="1:16" s="8" customFormat="1" ht="15.75" x14ac:dyDescent="0.25">
      <c r="A233" s="106" t="s">
        <v>461</v>
      </c>
      <c r="B233" s="167">
        <v>44851</v>
      </c>
      <c r="C233" s="25" t="s">
        <v>711</v>
      </c>
      <c r="D233" s="25" t="s">
        <v>1122</v>
      </c>
      <c r="E233" s="165">
        <v>0</v>
      </c>
      <c r="F233" s="134">
        <v>156.35</v>
      </c>
      <c r="G233" s="50">
        <f t="shared" si="21"/>
        <v>0</v>
      </c>
      <c r="H233" s="124">
        <v>44851</v>
      </c>
      <c r="I233" s="144">
        <v>100</v>
      </c>
      <c r="J233" s="126">
        <v>156.35</v>
      </c>
      <c r="K233" s="127">
        <f>+I233*J233</f>
        <v>15635</v>
      </c>
      <c r="L233" s="125">
        <f>2+1+1+1</f>
        <v>5</v>
      </c>
      <c r="M233" s="141">
        <f t="shared" si="20"/>
        <v>95</v>
      </c>
      <c r="N233" s="103"/>
      <c r="O233" s="103" t="s">
        <v>946</v>
      </c>
      <c r="P233" s="137">
        <f t="shared" si="22"/>
        <v>14853.25</v>
      </c>
    </row>
    <row r="234" spans="1:16" s="92" customFormat="1" x14ac:dyDescent="0.3">
      <c r="A234" s="106" t="s">
        <v>462</v>
      </c>
      <c r="B234" s="102">
        <v>44193</v>
      </c>
      <c r="C234" s="25" t="s">
        <v>716</v>
      </c>
      <c r="D234" s="25" t="s">
        <v>1122</v>
      </c>
      <c r="E234" s="165">
        <v>0</v>
      </c>
      <c r="F234" s="171">
        <v>82</v>
      </c>
      <c r="G234" s="50">
        <f t="shared" si="21"/>
        <v>0</v>
      </c>
      <c r="H234" s="125"/>
      <c r="I234" s="144"/>
      <c r="J234" s="126"/>
      <c r="K234" s="125"/>
      <c r="L234" s="125">
        <v>2</v>
      </c>
      <c r="M234" s="141">
        <f t="shared" si="20"/>
        <v>-2</v>
      </c>
      <c r="N234" s="103"/>
      <c r="O234" s="103" t="s">
        <v>945</v>
      </c>
      <c r="P234" s="137">
        <f t="shared" si="22"/>
        <v>-164</v>
      </c>
    </row>
    <row r="235" spans="1:16" s="92" customFormat="1" x14ac:dyDescent="0.3">
      <c r="A235" s="106" t="s">
        <v>463</v>
      </c>
      <c r="B235" s="102">
        <v>44193</v>
      </c>
      <c r="C235" s="25" t="s">
        <v>717</v>
      </c>
      <c r="D235" s="25" t="s">
        <v>1122</v>
      </c>
      <c r="E235" s="165">
        <v>0</v>
      </c>
      <c r="F235" s="171">
        <v>14.29</v>
      </c>
      <c r="G235" s="50">
        <f t="shared" si="21"/>
        <v>0</v>
      </c>
      <c r="H235" s="103"/>
      <c r="I235" s="144"/>
      <c r="J235" s="104"/>
      <c r="K235" s="103"/>
      <c r="L235" s="103"/>
      <c r="M235" s="141">
        <f t="shared" si="20"/>
        <v>0</v>
      </c>
      <c r="N235" s="103"/>
      <c r="O235" s="103" t="s">
        <v>945</v>
      </c>
      <c r="P235" s="137">
        <f t="shared" si="22"/>
        <v>0</v>
      </c>
    </row>
    <row r="236" spans="1:16" s="92" customFormat="1" x14ac:dyDescent="0.3">
      <c r="A236" s="106" t="s">
        <v>464</v>
      </c>
      <c r="B236" s="106" t="s">
        <v>770</v>
      </c>
      <c r="C236" s="25" t="s">
        <v>715</v>
      </c>
      <c r="D236" s="25" t="s">
        <v>1122</v>
      </c>
      <c r="E236" s="165">
        <v>6</v>
      </c>
      <c r="F236" s="171">
        <v>82</v>
      </c>
      <c r="G236" s="50">
        <f t="shared" si="21"/>
        <v>492</v>
      </c>
      <c r="H236" s="103"/>
      <c r="I236" s="144"/>
      <c r="J236" s="104"/>
      <c r="K236" s="103"/>
      <c r="L236" s="103"/>
      <c r="M236" s="141">
        <f t="shared" si="20"/>
        <v>6</v>
      </c>
      <c r="N236" s="103"/>
      <c r="O236" s="103" t="s">
        <v>945</v>
      </c>
      <c r="P236" s="137">
        <f t="shared" si="22"/>
        <v>492</v>
      </c>
    </row>
    <row r="237" spans="1:16" s="8" customFormat="1" ht="15.75" x14ac:dyDescent="0.25">
      <c r="A237" s="106" t="s">
        <v>465</v>
      </c>
      <c r="B237" s="106" t="s">
        <v>108</v>
      </c>
      <c r="C237" s="25" t="s">
        <v>718</v>
      </c>
      <c r="D237" s="25" t="s">
        <v>1122</v>
      </c>
      <c r="E237" s="165">
        <v>0</v>
      </c>
      <c r="F237" s="171">
        <v>6375</v>
      </c>
      <c r="G237" s="50">
        <f t="shared" si="21"/>
        <v>0</v>
      </c>
      <c r="H237" s="103"/>
      <c r="I237" s="144"/>
      <c r="J237" s="104"/>
      <c r="K237" s="103"/>
      <c r="L237" s="103">
        <v>1</v>
      </c>
      <c r="M237" s="141">
        <f t="shared" si="20"/>
        <v>-1</v>
      </c>
      <c r="N237" s="103"/>
      <c r="O237" s="103" t="s">
        <v>946</v>
      </c>
      <c r="P237" s="137">
        <f t="shared" si="22"/>
        <v>-6375</v>
      </c>
    </row>
    <row r="238" spans="1:16" s="8" customFormat="1" ht="15.75" x14ac:dyDescent="0.25">
      <c r="A238" s="106" t="s">
        <v>466</v>
      </c>
      <c r="B238" s="102">
        <v>44193</v>
      </c>
      <c r="C238" s="9" t="s">
        <v>781</v>
      </c>
      <c r="D238" s="25" t="s">
        <v>1122</v>
      </c>
      <c r="E238" s="106">
        <v>2</v>
      </c>
      <c r="F238" s="134">
        <v>725</v>
      </c>
      <c r="G238" s="50">
        <f t="shared" si="21"/>
        <v>1450</v>
      </c>
      <c r="H238" s="103"/>
      <c r="I238" s="144"/>
      <c r="J238" s="104"/>
      <c r="K238" s="103"/>
      <c r="L238" s="103"/>
      <c r="M238" s="151">
        <f t="shared" si="20"/>
        <v>2</v>
      </c>
      <c r="N238" s="103"/>
      <c r="O238" s="103" t="s">
        <v>947</v>
      </c>
      <c r="P238" s="137">
        <f t="shared" si="22"/>
        <v>1450</v>
      </c>
    </row>
    <row r="239" spans="1:16" s="8" customFormat="1" ht="15.75" x14ac:dyDescent="0.25">
      <c r="A239" s="106" t="s">
        <v>467</v>
      </c>
      <c r="B239" s="129">
        <v>45042</v>
      </c>
      <c r="C239" s="9" t="s">
        <v>1168</v>
      </c>
      <c r="D239" s="25" t="s">
        <v>1122</v>
      </c>
      <c r="E239" s="161">
        <v>40</v>
      </c>
      <c r="F239" s="134">
        <v>326.62</v>
      </c>
      <c r="G239" s="50">
        <f t="shared" si="21"/>
        <v>13064.8</v>
      </c>
      <c r="H239" s="107">
        <v>45042</v>
      </c>
      <c r="I239" s="144">
        <v>50</v>
      </c>
      <c r="J239" s="104">
        <v>279.66000000000003</v>
      </c>
      <c r="K239" s="104">
        <f>+J239*I239</f>
        <v>13983.000000000002</v>
      </c>
      <c r="L239" s="103">
        <f>17+1+1+5+1+1+1</f>
        <v>27</v>
      </c>
      <c r="M239" s="151">
        <f t="shared" si="20"/>
        <v>63</v>
      </c>
      <c r="N239" s="103" t="s">
        <v>1037</v>
      </c>
      <c r="O239" s="103" t="s">
        <v>947</v>
      </c>
      <c r="P239" s="137">
        <f t="shared" si="22"/>
        <v>20577.060000000001</v>
      </c>
    </row>
    <row r="240" spans="1:16" s="8" customFormat="1" ht="15.75" x14ac:dyDescent="0.25">
      <c r="A240" s="106" t="s">
        <v>468</v>
      </c>
      <c r="B240" s="102">
        <v>44193</v>
      </c>
      <c r="C240" s="9" t="s">
        <v>722</v>
      </c>
      <c r="D240" s="25" t="s">
        <v>1122</v>
      </c>
      <c r="E240" s="106">
        <v>100</v>
      </c>
      <c r="F240" s="134">
        <v>2.25</v>
      </c>
      <c r="G240" s="50">
        <f t="shared" si="21"/>
        <v>225</v>
      </c>
      <c r="H240" s="103"/>
      <c r="I240" s="144"/>
      <c r="J240" s="104"/>
      <c r="K240" s="104">
        <f t="shared" ref="K240:K251" si="23">+J240*I240</f>
        <v>0</v>
      </c>
      <c r="L240" s="103">
        <v>5</v>
      </c>
      <c r="M240" s="141">
        <f t="shared" ref="M240:M303" si="24">+E240+I240-L240</f>
        <v>95</v>
      </c>
      <c r="N240" s="103"/>
      <c r="O240" s="103" t="s">
        <v>947</v>
      </c>
      <c r="P240" s="137">
        <f t="shared" si="22"/>
        <v>213.75</v>
      </c>
    </row>
    <row r="241" spans="1:16" s="105" customFormat="1" ht="15.75" x14ac:dyDescent="0.25">
      <c r="A241" s="106" t="s">
        <v>469</v>
      </c>
      <c r="B241" s="129">
        <v>44852</v>
      </c>
      <c r="C241" s="9" t="s">
        <v>1039</v>
      </c>
      <c r="D241" s="25" t="s">
        <v>1122</v>
      </c>
      <c r="E241" s="106">
        <v>7</v>
      </c>
      <c r="F241" s="134">
        <v>428.22</v>
      </c>
      <c r="G241" s="50">
        <f t="shared" si="21"/>
        <v>2997.54</v>
      </c>
      <c r="H241" s="107">
        <v>44852</v>
      </c>
      <c r="I241" s="144">
        <f>2*10</f>
        <v>20</v>
      </c>
      <c r="J241" s="104">
        <v>428.22</v>
      </c>
      <c r="K241" s="104">
        <f t="shared" si="23"/>
        <v>8564.4000000000015</v>
      </c>
      <c r="L241" s="103">
        <v>4</v>
      </c>
      <c r="M241" s="151">
        <f t="shared" si="24"/>
        <v>23</v>
      </c>
      <c r="N241" s="103" t="s">
        <v>1037</v>
      </c>
      <c r="O241" s="103" t="s">
        <v>947</v>
      </c>
      <c r="P241" s="137">
        <f t="shared" si="22"/>
        <v>9849.0600000000013</v>
      </c>
    </row>
    <row r="242" spans="1:16" s="8" customFormat="1" ht="15.75" x14ac:dyDescent="0.25">
      <c r="A242" s="106" t="s">
        <v>470</v>
      </c>
      <c r="B242" s="129">
        <v>44852</v>
      </c>
      <c r="C242" s="9" t="s">
        <v>725</v>
      </c>
      <c r="D242" s="25" t="s">
        <v>1122</v>
      </c>
      <c r="E242" s="106">
        <v>61</v>
      </c>
      <c r="F242" s="134">
        <v>21.69</v>
      </c>
      <c r="G242" s="50">
        <f t="shared" si="21"/>
        <v>1323.0900000000001</v>
      </c>
      <c r="H242" s="107">
        <v>44852</v>
      </c>
      <c r="I242" s="144">
        <v>2</v>
      </c>
      <c r="J242" s="104">
        <v>21.69</v>
      </c>
      <c r="K242" s="104">
        <f t="shared" si="23"/>
        <v>43.38</v>
      </c>
      <c r="L242" s="103">
        <v>16</v>
      </c>
      <c r="M242" s="141">
        <f t="shared" si="24"/>
        <v>47</v>
      </c>
      <c r="N242" s="103" t="s">
        <v>1037</v>
      </c>
      <c r="O242" s="103" t="s">
        <v>947</v>
      </c>
      <c r="P242" s="137">
        <f t="shared" si="22"/>
        <v>1019.4300000000001</v>
      </c>
    </row>
    <row r="243" spans="1:16" s="105" customFormat="1" ht="15.75" x14ac:dyDescent="0.25">
      <c r="A243" s="106" t="s">
        <v>466</v>
      </c>
      <c r="B243" s="129">
        <v>44851</v>
      </c>
      <c r="C243" s="9" t="s">
        <v>1228</v>
      </c>
      <c r="D243" s="25" t="s">
        <v>1122</v>
      </c>
      <c r="E243" s="106">
        <v>2</v>
      </c>
      <c r="F243" s="134">
        <v>857.86</v>
      </c>
      <c r="G243" s="50">
        <f t="shared" si="21"/>
        <v>1715.72</v>
      </c>
      <c r="H243" s="107">
        <v>44851</v>
      </c>
      <c r="I243" s="144">
        <v>2</v>
      </c>
      <c r="J243" s="104">
        <v>857.86</v>
      </c>
      <c r="K243" s="103">
        <f>+J243*I243</f>
        <v>1715.72</v>
      </c>
      <c r="L243" s="103">
        <v>2</v>
      </c>
      <c r="M243" s="151">
        <f t="shared" si="24"/>
        <v>2</v>
      </c>
      <c r="N243" s="103" t="s">
        <v>1037</v>
      </c>
      <c r="O243" s="103" t="s">
        <v>947</v>
      </c>
      <c r="P243" s="137">
        <f t="shared" si="22"/>
        <v>1715.72</v>
      </c>
    </row>
    <row r="244" spans="1:16" s="196" customFormat="1" ht="15.75" x14ac:dyDescent="0.25">
      <c r="A244" s="106" t="s">
        <v>472</v>
      </c>
      <c r="B244" s="124">
        <v>45127</v>
      </c>
      <c r="C244" s="9" t="s">
        <v>727</v>
      </c>
      <c r="D244" s="9" t="s">
        <v>1122</v>
      </c>
      <c r="E244" s="160">
        <v>92</v>
      </c>
      <c r="F244" s="22">
        <v>133.80000000000001</v>
      </c>
      <c r="G244" s="50">
        <f t="shared" si="21"/>
        <v>12309.6</v>
      </c>
      <c r="H244" s="124">
        <v>45127</v>
      </c>
      <c r="I244" s="195">
        <f>100*6</f>
        <v>600</v>
      </c>
      <c r="J244" s="126">
        <v>133.80000000000001</v>
      </c>
      <c r="K244" s="126">
        <f t="shared" si="23"/>
        <v>80280</v>
      </c>
      <c r="L244" s="125"/>
      <c r="M244" s="125">
        <f t="shared" si="24"/>
        <v>692</v>
      </c>
      <c r="N244" s="125"/>
      <c r="O244" s="125" t="s">
        <v>947</v>
      </c>
      <c r="P244" s="126">
        <f t="shared" si="22"/>
        <v>92589.6</v>
      </c>
    </row>
    <row r="245" spans="1:16" s="8" customFormat="1" ht="15.75" x14ac:dyDescent="0.25">
      <c r="A245" s="106" t="s">
        <v>473</v>
      </c>
      <c r="B245" s="106" t="s">
        <v>112</v>
      </c>
      <c r="C245" s="25" t="s">
        <v>752</v>
      </c>
      <c r="D245" s="25" t="s">
        <v>1122</v>
      </c>
      <c r="E245" s="162">
        <v>3</v>
      </c>
      <c r="F245" s="134">
        <v>135</v>
      </c>
      <c r="G245" s="50">
        <f t="shared" si="21"/>
        <v>405</v>
      </c>
      <c r="H245" s="103"/>
      <c r="I245" s="144"/>
      <c r="J245" s="104"/>
      <c r="K245" s="104">
        <f t="shared" si="23"/>
        <v>0</v>
      </c>
      <c r="L245" s="103"/>
      <c r="M245" s="141">
        <f t="shared" si="24"/>
        <v>3</v>
      </c>
      <c r="N245" s="103"/>
      <c r="O245" s="103" t="s">
        <v>947</v>
      </c>
      <c r="P245" s="137">
        <f t="shared" si="22"/>
        <v>405</v>
      </c>
    </row>
    <row r="246" spans="1:16" s="105" customFormat="1" ht="15.75" x14ac:dyDescent="0.25">
      <c r="A246" s="106" t="s">
        <v>507</v>
      </c>
      <c r="B246" s="129">
        <v>45042</v>
      </c>
      <c r="C246" s="9" t="s">
        <v>728</v>
      </c>
      <c r="D246" s="25" t="s">
        <v>1122</v>
      </c>
      <c r="E246" s="161">
        <v>15</v>
      </c>
      <c r="F246" s="134">
        <v>206.54</v>
      </c>
      <c r="G246" s="50">
        <f t="shared" si="21"/>
        <v>3098.1</v>
      </c>
      <c r="H246" s="107">
        <v>45042</v>
      </c>
      <c r="I246" s="144">
        <v>10</v>
      </c>
      <c r="J246" s="104">
        <v>206.54</v>
      </c>
      <c r="K246" s="103">
        <f>+J246*I246</f>
        <v>2065.4</v>
      </c>
      <c r="L246" s="103">
        <v>2</v>
      </c>
      <c r="M246" s="151">
        <f t="shared" si="24"/>
        <v>23</v>
      </c>
      <c r="N246" s="103" t="s">
        <v>1037</v>
      </c>
      <c r="O246" s="103" t="s">
        <v>947</v>
      </c>
      <c r="P246" s="137">
        <f t="shared" si="22"/>
        <v>4750.42</v>
      </c>
    </row>
    <row r="247" spans="1:16" s="8" customFormat="1" ht="15.75" x14ac:dyDescent="0.25">
      <c r="A247" s="106" t="s">
        <v>508</v>
      </c>
      <c r="B247" s="102">
        <v>44193</v>
      </c>
      <c r="C247" s="9" t="s">
        <v>729</v>
      </c>
      <c r="D247" s="25" t="s">
        <v>1122</v>
      </c>
      <c r="E247" s="161">
        <v>226</v>
      </c>
      <c r="F247" s="134">
        <v>22.2</v>
      </c>
      <c r="G247" s="50">
        <f t="shared" si="21"/>
        <v>5017.2</v>
      </c>
      <c r="H247" s="103"/>
      <c r="I247" s="144"/>
      <c r="J247" s="104"/>
      <c r="K247" s="104">
        <f t="shared" si="23"/>
        <v>0</v>
      </c>
      <c r="L247" s="103">
        <v>6</v>
      </c>
      <c r="M247" s="141">
        <f t="shared" si="24"/>
        <v>220</v>
      </c>
      <c r="N247" s="103"/>
      <c r="O247" s="103" t="s">
        <v>947</v>
      </c>
      <c r="P247" s="137">
        <f t="shared" si="22"/>
        <v>4884</v>
      </c>
    </row>
    <row r="248" spans="1:16" s="8" customFormat="1" ht="15.75" x14ac:dyDescent="0.25">
      <c r="A248" s="106" t="s">
        <v>509</v>
      </c>
      <c r="B248" s="129">
        <v>44610</v>
      </c>
      <c r="C248" s="9" t="s">
        <v>730</v>
      </c>
      <c r="D248" s="25" t="s">
        <v>1122</v>
      </c>
      <c r="E248" s="161">
        <v>2</v>
      </c>
      <c r="F248" s="134">
        <v>284.99</v>
      </c>
      <c r="G248" s="50">
        <f t="shared" si="21"/>
        <v>569.98</v>
      </c>
      <c r="H248" s="107">
        <v>44610</v>
      </c>
      <c r="I248" s="144">
        <v>2</v>
      </c>
      <c r="J248" s="104">
        <v>284.99</v>
      </c>
      <c r="K248" s="104">
        <f t="shared" si="23"/>
        <v>569.98</v>
      </c>
      <c r="L248" s="103"/>
      <c r="M248" s="141">
        <f t="shared" si="24"/>
        <v>4</v>
      </c>
      <c r="N248" s="103" t="s">
        <v>1037</v>
      </c>
      <c r="O248" s="103" t="s">
        <v>947</v>
      </c>
      <c r="P248" s="137">
        <f t="shared" si="22"/>
        <v>1139.96</v>
      </c>
    </row>
    <row r="249" spans="1:16" s="8" customFormat="1" ht="15.75" x14ac:dyDescent="0.25">
      <c r="A249" s="106" t="s">
        <v>869</v>
      </c>
      <c r="B249" s="102">
        <v>44193</v>
      </c>
      <c r="C249" s="25" t="s">
        <v>825</v>
      </c>
      <c r="D249" s="25" t="s">
        <v>1122</v>
      </c>
      <c r="E249" s="162">
        <v>11</v>
      </c>
      <c r="F249" s="134">
        <v>301</v>
      </c>
      <c r="G249" s="50">
        <f t="shared" si="21"/>
        <v>3311</v>
      </c>
      <c r="H249" s="103"/>
      <c r="I249" s="144"/>
      <c r="J249" s="104"/>
      <c r="K249" s="104">
        <f t="shared" si="23"/>
        <v>0</v>
      </c>
      <c r="L249" s="103"/>
      <c r="M249" s="141">
        <f t="shared" si="24"/>
        <v>11</v>
      </c>
      <c r="N249" s="103"/>
      <c r="O249" s="103" t="s">
        <v>947</v>
      </c>
      <c r="P249" s="137">
        <f t="shared" si="22"/>
        <v>3311</v>
      </c>
    </row>
    <row r="250" spans="1:16" s="92" customFormat="1" x14ac:dyDescent="0.3">
      <c r="A250" s="106" t="s">
        <v>512</v>
      </c>
      <c r="B250" s="129">
        <v>45019</v>
      </c>
      <c r="C250" s="25" t="s">
        <v>731</v>
      </c>
      <c r="D250" s="25" t="s">
        <v>1122</v>
      </c>
      <c r="E250" s="161">
        <v>180</v>
      </c>
      <c r="F250" s="171">
        <v>38.19</v>
      </c>
      <c r="G250" s="50">
        <f t="shared" si="21"/>
        <v>6874.2</v>
      </c>
      <c r="H250" s="107">
        <v>45019</v>
      </c>
      <c r="I250" s="144">
        <f>7*48</f>
        <v>336</v>
      </c>
      <c r="J250" s="104">
        <v>38.19</v>
      </c>
      <c r="K250" s="104">
        <f t="shared" si="23"/>
        <v>12831.84</v>
      </c>
      <c r="L250" s="103">
        <f>48+3+3+2+4+6+7+3+3+6+1+6+2+4</f>
        <v>98</v>
      </c>
      <c r="M250" s="151">
        <f t="shared" si="24"/>
        <v>418</v>
      </c>
      <c r="N250" s="103" t="s">
        <v>1006</v>
      </c>
      <c r="O250" s="103" t="s">
        <v>945</v>
      </c>
      <c r="P250" s="137">
        <f t="shared" si="22"/>
        <v>15963.419999999998</v>
      </c>
    </row>
    <row r="251" spans="1:16" s="105" customFormat="1" ht="15.75" x14ac:dyDescent="0.25">
      <c r="A251" s="106" t="s">
        <v>870</v>
      </c>
      <c r="B251" s="129">
        <v>44852</v>
      </c>
      <c r="C251" s="9" t="s">
        <v>950</v>
      </c>
      <c r="D251" s="25" t="s">
        <v>1122</v>
      </c>
      <c r="E251" s="161">
        <f>52+12</f>
        <v>64</v>
      </c>
      <c r="F251" s="134">
        <v>44.54</v>
      </c>
      <c r="G251" s="50">
        <f t="shared" si="21"/>
        <v>2850.56</v>
      </c>
      <c r="H251" s="107">
        <v>44852</v>
      </c>
      <c r="I251" s="144">
        <v>32</v>
      </c>
      <c r="J251" s="104">
        <v>44.54</v>
      </c>
      <c r="K251" s="104">
        <f t="shared" si="23"/>
        <v>1425.28</v>
      </c>
      <c r="L251" s="103">
        <f>4+4+6</f>
        <v>14</v>
      </c>
      <c r="M251" s="151">
        <f t="shared" si="24"/>
        <v>82</v>
      </c>
      <c r="N251" s="103"/>
      <c r="O251" s="103" t="s">
        <v>945</v>
      </c>
      <c r="P251" s="137">
        <f t="shared" si="22"/>
        <v>3652.2799999999997</v>
      </c>
    </row>
    <row r="252" spans="1:16" s="92" customFormat="1" x14ac:dyDescent="0.3">
      <c r="A252" s="106" t="s">
        <v>513</v>
      </c>
      <c r="B252" s="102">
        <v>44678</v>
      </c>
      <c r="C252" s="25" t="s">
        <v>853</v>
      </c>
      <c r="D252" s="25" t="s">
        <v>1122</v>
      </c>
      <c r="E252" s="169">
        <v>16</v>
      </c>
      <c r="F252" s="134">
        <v>3000</v>
      </c>
      <c r="G252" s="50">
        <f t="shared" si="21"/>
        <v>48000</v>
      </c>
      <c r="H252" s="103"/>
      <c r="I252" s="144"/>
      <c r="J252" s="104"/>
      <c r="K252" s="103"/>
      <c r="L252" s="103"/>
      <c r="M252" s="141">
        <f t="shared" si="24"/>
        <v>16</v>
      </c>
      <c r="N252" s="103"/>
      <c r="O252" s="103" t="s">
        <v>945</v>
      </c>
      <c r="P252" s="137">
        <f t="shared" si="22"/>
        <v>48000</v>
      </c>
    </row>
    <row r="253" spans="1:16" s="92" customFormat="1" x14ac:dyDescent="0.3">
      <c r="A253" s="106" t="s">
        <v>514</v>
      </c>
      <c r="B253" s="102">
        <v>44193</v>
      </c>
      <c r="C253" s="25" t="s">
        <v>734</v>
      </c>
      <c r="D253" s="25" t="s">
        <v>1122</v>
      </c>
      <c r="E253" s="162">
        <v>0</v>
      </c>
      <c r="F253" s="134">
        <v>1500</v>
      </c>
      <c r="G253" s="50">
        <f t="shared" si="21"/>
        <v>0</v>
      </c>
      <c r="H253" s="103"/>
      <c r="I253" s="144"/>
      <c r="J253" s="104"/>
      <c r="K253" s="103"/>
      <c r="L253" s="103"/>
      <c r="M253" s="141">
        <f t="shared" si="24"/>
        <v>0</v>
      </c>
      <c r="N253" s="103"/>
      <c r="O253" s="103" t="s">
        <v>945</v>
      </c>
      <c r="P253" s="137">
        <f t="shared" si="22"/>
        <v>0</v>
      </c>
    </row>
    <row r="254" spans="1:16" s="92" customFormat="1" x14ac:dyDescent="0.3">
      <c r="A254" s="106" t="s">
        <v>871</v>
      </c>
      <c r="B254" s="102">
        <v>44678</v>
      </c>
      <c r="C254" s="25" t="s">
        <v>852</v>
      </c>
      <c r="D254" s="25" t="s">
        <v>1122</v>
      </c>
      <c r="E254" s="170">
        <v>11</v>
      </c>
      <c r="F254" s="134">
        <v>1500</v>
      </c>
      <c r="G254" s="50">
        <f t="shared" si="21"/>
        <v>16500</v>
      </c>
      <c r="H254" s="103"/>
      <c r="I254" s="144"/>
      <c r="J254" s="104"/>
      <c r="K254" s="103"/>
      <c r="L254" s="103"/>
      <c r="M254" s="141">
        <f t="shared" si="24"/>
        <v>11</v>
      </c>
      <c r="N254" s="103"/>
      <c r="O254" s="103" t="s">
        <v>945</v>
      </c>
      <c r="P254" s="137">
        <f t="shared" si="22"/>
        <v>16500</v>
      </c>
    </row>
    <row r="255" spans="1:16" s="92" customFormat="1" x14ac:dyDescent="0.3">
      <c r="A255" s="106" t="s">
        <v>872</v>
      </c>
      <c r="B255" s="102">
        <v>44678</v>
      </c>
      <c r="C255" s="25" t="s">
        <v>735</v>
      </c>
      <c r="D255" s="25" t="s">
        <v>1122</v>
      </c>
      <c r="E255" s="170">
        <v>3</v>
      </c>
      <c r="F255" s="134">
        <v>3800</v>
      </c>
      <c r="G255" s="50">
        <f t="shared" si="21"/>
        <v>11400</v>
      </c>
      <c r="H255" s="103"/>
      <c r="I255" s="144"/>
      <c r="J255" s="104"/>
      <c r="K255" s="103"/>
      <c r="L255" s="103"/>
      <c r="M255" s="141">
        <f t="shared" si="24"/>
        <v>3</v>
      </c>
      <c r="N255" s="103"/>
      <c r="O255" s="103" t="s">
        <v>945</v>
      </c>
      <c r="P255" s="137">
        <f t="shared" si="22"/>
        <v>11400</v>
      </c>
    </row>
    <row r="256" spans="1:16" s="92" customFormat="1" x14ac:dyDescent="0.3">
      <c r="A256" s="106" t="s">
        <v>515</v>
      </c>
      <c r="B256" s="102">
        <v>44678</v>
      </c>
      <c r="C256" s="25" t="s">
        <v>737</v>
      </c>
      <c r="D256" s="25" t="s">
        <v>1122</v>
      </c>
      <c r="E256" s="170">
        <v>2</v>
      </c>
      <c r="F256" s="134">
        <v>1500</v>
      </c>
      <c r="G256" s="50">
        <f t="shared" si="21"/>
        <v>3000</v>
      </c>
      <c r="H256" s="103"/>
      <c r="I256" s="144"/>
      <c r="J256" s="104"/>
      <c r="K256" s="103"/>
      <c r="L256" s="103"/>
      <c r="M256" s="141">
        <f t="shared" si="24"/>
        <v>2</v>
      </c>
      <c r="N256" s="103"/>
      <c r="O256" s="103" t="s">
        <v>945</v>
      </c>
      <c r="P256" s="137">
        <f t="shared" si="22"/>
        <v>3000</v>
      </c>
    </row>
    <row r="257" spans="1:16" s="92" customFormat="1" x14ac:dyDescent="0.3">
      <c r="A257" s="106" t="s">
        <v>516</v>
      </c>
      <c r="B257" s="102">
        <v>44678</v>
      </c>
      <c r="C257" s="25" t="s">
        <v>736</v>
      </c>
      <c r="D257" s="25" t="s">
        <v>1122</v>
      </c>
      <c r="E257" s="170">
        <v>2</v>
      </c>
      <c r="F257" s="134">
        <v>3800</v>
      </c>
      <c r="G257" s="50">
        <f t="shared" si="21"/>
        <v>7600</v>
      </c>
      <c r="H257" s="103"/>
      <c r="I257" s="144"/>
      <c r="J257" s="104"/>
      <c r="K257" s="103"/>
      <c r="L257" s="103"/>
      <c r="M257" s="141">
        <f t="shared" si="24"/>
        <v>2</v>
      </c>
      <c r="N257" s="103"/>
      <c r="O257" s="103" t="s">
        <v>945</v>
      </c>
      <c r="P257" s="137">
        <f t="shared" si="22"/>
        <v>7600</v>
      </c>
    </row>
    <row r="258" spans="1:16" s="92" customFormat="1" x14ac:dyDescent="0.3">
      <c r="A258" s="106" t="s">
        <v>517</v>
      </c>
      <c r="B258" s="102">
        <v>44678</v>
      </c>
      <c r="C258" s="25" t="s">
        <v>738</v>
      </c>
      <c r="D258" s="25" t="s">
        <v>1122</v>
      </c>
      <c r="E258" s="170">
        <v>4</v>
      </c>
      <c r="F258" s="134">
        <v>3800</v>
      </c>
      <c r="G258" s="50">
        <f t="shared" si="21"/>
        <v>15200</v>
      </c>
      <c r="H258" s="103"/>
      <c r="I258" s="144"/>
      <c r="J258" s="104"/>
      <c r="K258" s="103"/>
      <c r="L258" s="103"/>
      <c r="M258" s="141">
        <f t="shared" si="24"/>
        <v>4</v>
      </c>
      <c r="N258" s="103"/>
      <c r="O258" s="103" t="s">
        <v>945</v>
      </c>
      <c r="P258" s="137">
        <f t="shared" si="22"/>
        <v>15200</v>
      </c>
    </row>
    <row r="259" spans="1:16" s="92" customFormat="1" x14ac:dyDescent="0.3">
      <c r="A259" s="106" t="s">
        <v>518</v>
      </c>
      <c r="B259" s="102">
        <v>44678</v>
      </c>
      <c r="C259" s="25" t="s">
        <v>751</v>
      </c>
      <c r="D259" s="25" t="s">
        <v>1122</v>
      </c>
      <c r="E259" s="170">
        <v>16</v>
      </c>
      <c r="F259" s="134">
        <v>3000</v>
      </c>
      <c r="G259" s="50">
        <f t="shared" si="21"/>
        <v>48000</v>
      </c>
      <c r="H259" s="103"/>
      <c r="I259" s="144"/>
      <c r="J259" s="104"/>
      <c r="K259" s="103"/>
      <c r="L259" s="103"/>
      <c r="M259" s="141">
        <f t="shared" si="24"/>
        <v>16</v>
      </c>
      <c r="N259" s="103"/>
      <c r="O259" s="103" t="s">
        <v>945</v>
      </c>
      <c r="P259" s="137">
        <f t="shared" si="22"/>
        <v>48000</v>
      </c>
    </row>
    <row r="260" spans="1:16" s="92" customFormat="1" x14ac:dyDescent="0.3">
      <c r="A260" s="106" t="s">
        <v>519</v>
      </c>
      <c r="B260" s="102">
        <v>44678</v>
      </c>
      <c r="C260" s="25" t="s">
        <v>845</v>
      </c>
      <c r="D260" s="25" t="s">
        <v>1122</v>
      </c>
      <c r="E260" s="162">
        <v>2</v>
      </c>
      <c r="F260" s="134">
        <v>200</v>
      </c>
      <c r="G260" s="50">
        <f t="shared" si="21"/>
        <v>400</v>
      </c>
      <c r="H260" s="103"/>
      <c r="I260" s="144"/>
      <c r="J260" s="104"/>
      <c r="K260" s="103"/>
      <c r="L260" s="103"/>
      <c r="M260" s="141">
        <f t="shared" si="24"/>
        <v>2</v>
      </c>
      <c r="N260" s="103"/>
      <c r="O260" s="103" t="s">
        <v>945</v>
      </c>
      <c r="P260" s="137">
        <f t="shared" si="22"/>
        <v>400</v>
      </c>
    </row>
    <row r="261" spans="1:16" s="8" customFormat="1" ht="15.75" x14ac:dyDescent="0.25">
      <c r="A261" s="106" t="s">
        <v>520</v>
      </c>
      <c r="B261" s="102">
        <v>44193</v>
      </c>
      <c r="C261" s="9" t="s">
        <v>740</v>
      </c>
      <c r="D261" s="25" t="s">
        <v>1122</v>
      </c>
      <c r="E261" s="161">
        <v>3</v>
      </c>
      <c r="F261" s="134">
        <v>75</v>
      </c>
      <c r="G261" s="50">
        <f>E261*F261</f>
        <v>225</v>
      </c>
      <c r="H261" s="103"/>
      <c r="I261" s="144"/>
      <c r="J261" s="104"/>
      <c r="K261" s="103"/>
      <c r="L261" s="103"/>
      <c r="M261" s="141">
        <f t="shared" si="24"/>
        <v>3</v>
      </c>
      <c r="N261" s="103"/>
      <c r="O261" s="103" t="s">
        <v>947</v>
      </c>
      <c r="P261" s="137">
        <f t="shared" si="22"/>
        <v>225</v>
      </c>
    </row>
    <row r="262" spans="1:16" s="8" customFormat="1" ht="15.75" x14ac:dyDescent="0.25">
      <c r="A262" s="106" t="s">
        <v>521</v>
      </c>
      <c r="B262" s="102">
        <v>44193</v>
      </c>
      <c r="C262" s="9" t="s">
        <v>739</v>
      </c>
      <c r="D262" s="25" t="s">
        <v>1122</v>
      </c>
      <c r="E262" s="161">
        <v>300</v>
      </c>
      <c r="F262" s="134">
        <v>29</v>
      </c>
      <c r="G262" s="50">
        <f>E262*F262</f>
        <v>8700</v>
      </c>
      <c r="H262" s="103"/>
      <c r="I262" s="144"/>
      <c r="J262" s="104"/>
      <c r="K262" s="103"/>
      <c r="L262" s="103"/>
      <c r="M262" s="141">
        <f t="shared" si="24"/>
        <v>300</v>
      </c>
      <c r="N262" s="103"/>
      <c r="O262" s="103" t="s">
        <v>947</v>
      </c>
      <c r="P262" s="137">
        <f t="shared" si="22"/>
        <v>8700</v>
      </c>
    </row>
    <row r="263" spans="1:16" s="8" customFormat="1" ht="15.75" x14ac:dyDescent="0.25">
      <c r="A263" s="106" t="s">
        <v>522</v>
      </c>
      <c r="B263" s="102">
        <v>44193</v>
      </c>
      <c r="C263" s="25" t="s">
        <v>826</v>
      </c>
      <c r="D263" s="25" t="s">
        <v>1122</v>
      </c>
      <c r="E263" s="162">
        <v>16</v>
      </c>
      <c r="F263" s="134">
        <v>143</v>
      </c>
      <c r="G263" s="50">
        <f>E263*F263</f>
        <v>2288</v>
      </c>
      <c r="H263" s="103"/>
      <c r="I263" s="144"/>
      <c r="J263" s="104"/>
      <c r="K263" s="103"/>
      <c r="L263" s="103"/>
      <c r="M263" s="141">
        <f t="shared" si="24"/>
        <v>16</v>
      </c>
      <c r="N263" s="103"/>
      <c r="O263" s="103" t="s">
        <v>946</v>
      </c>
      <c r="P263" s="137">
        <f t="shared" si="22"/>
        <v>2288</v>
      </c>
    </row>
    <row r="264" spans="1:16" s="8" customFormat="1" ht="15.75" x14ac:dyDescent="0.25">
      <c r="A264" s="106" t="s">
        <v>523</v>
      </c>
      <c r="B264" s="102">
        <v>44193</v>
      </c>
      <c r="C264" s="9" t="s">
        <v>741</v>
      </c>
      <c r="D264" s="25" t="s">
        <v>1122</v>
      </c>
      <c r="E264" s="169">
        <v>112</v>
      </c>
      <c r="F264" s="134">
        <v>8.5</v>
      </c>
      <c r="G264" s="50">
        <f t="shared" ref="G264:G271" si="25">E264*F264</f>
        <v>952</v>
      </c>
      <c r="H264" s="103"/>
      <c r="I264" s="144"/>
      <c r="J264" s="104"/>
      <c r="K264" s="103"/>
      <c r="L264" s="103"/>
      <c r="M264" s="141">
        <f t="shared" si="24"/>
        <v>112</v>
      </c>
      <c r="N264" s="103"/>
      <c r="O264" s="103" t="s">
        <v>947</v>
      </c>
      <c r="P264" s="137">
        <f t="shared" si="22"/>
        <v>952</v>
      </c>
    </row>
    <row r="265" spans="1:16" s="8" customFormat="1" ht="15.75" x14ac:dyDescent="0.25">
      <c r="A265" s="106" t="s">
        <v>524</v>
      </c>
      <c r="B265" s="102">
        <v>44193</v>
      </c>
      <c r="C265" s="9" t="s">
        <v>742</v>
      </c>
      <c r="D265" s="25" t="s">
        <v>1122</v>
      </c>
      <c r="E265" s="169">
        <v>24</v>
      </c>
      <c r="F265" s="134">
        <v>12</v>
      </c>
      <c r="G265" s="50">
        <f t="shared" si="25"/>
        <v>288</v>
      </c>
      <c r="H265" s="103"/>
      <c r="I265" s="144"/>
      <c r="J265" s="104"/>
      <c r="K265" s="103"/>
      <c r="L265" s="103"/>
      <c r="M265" s="141">
        <f t="shared" si="24"/>
        <v>24</v>
      </c>
      <c r="N265" s="103"/>
      <c r="O265" s="103" t="s">
        <v>947</v>
      </c>
      <c r="P265" s="137">
        <f t="shared" si="22"/>
        <v>288</v>
      </c>
    </row>
    <row r="266" spans="1:16" s="8" customFormat="1" ht="15.75" x14ac:dyDescent="0.25">
      <c r="A266" s="106" t="s">
        <v>525</v>
      </c>
      <c r="B266" s="102">
        <v>44193</v>
      </c>
      <c r="C266" s="9" t="s">
        <v>743</v>
      </c>
      <c r="D266" s="25" t="s">
        <v>1122</v>
      </c>
      <c r="E266" s="161">
        <v>34</v>
      </c>
      <c r="F266" s="134">
        <v>8</v>
      </c>
      <c r="G266" s="50">
        <f t="shared" si="25"/>
        <v>272</v>
      </c>
      <c r="H266" s="103"/>
      <c r="I266" s="144"/>
      <c r="J266" s="104"/>
      <c r="K266" s="103"/>
      <c r="L266" s="103"/>
      <c r="M266" s="141">
        <f t="shared" si="24"/>
        <v>34</v>
      </c>
      <c r="N266" s="103"/>
      <c r="O266" s="103" t="s">
        <v>947</v>
      </c>
      <c r="P266" s="137">
        <f t="shared" si="22"/>
        <v>272</v>
      </c>
    </row>
    <row r="267" spans="1:16" s="105" customFormat="1" ht="15.75" x14ac:dyDescent="0.25">
      <c r="A267" s="106" t="s">
        <v>526</v>
      </c>
      <c r="B267" s="129">
        <v>45042</v>
      </c>
      <c r="C267" s="9" t="s">
        <v>744</v>
      </c>
      <c r="D267" s="25" t="s">
        <v>1122</v>
      </c>
      <c r="E267" s="161">
        <v>22</v>
      </c>
      <c r="F267" s="134">
        <v>91.99</v>
      </c>
      <c r="G267" s="50">
        <f t="shared" si="25"/>
        <v>2023.78</v>
      </c>
      <c r="H267" s="107"/>
      <c r="I267" s="144"/>
      <c r="J267" s="104"/>
      <c r="K267" s="108">
        <f>+I267*J267</f>
        <v>0</v>
      </c>
      <c r="L267" s="103"/>
      <c r="M267" s="151">
        <f t="shared" si="24"/>
        <v>22</v>
      </c>
      <c r="N267" s="103" t="s">
        <v>1037</v>
      </c>
      <c r="O267" s="103" t="s">
        <v>947</v>
      </c>
      <c r="P267" s="137">
        <f t="shared" si="22"/>
        <v>2023.78</v>
      </c>
    </row>
    <row r="268" spans="1:16" s="8" customFormat="1" ht="31.5" x14ac:dyDescent="0.25">
      <c r="A268" s="106" t="s">
        <v>527</v>
      </c>
      <c r="B268" s="129">
        <v>45111</v>
      </c>
      <c r="C268" s="9" t="s">
        <v>745</v>
      </c>
      <c r="D268" s="25" t="s">
        <v>1122</v>
      </c>
      <c r="E268" s="161">
        <v>20</v>
      </c>
      <c r="F268" s="134">
        <v>188.21</v>
      </c>
      <c r="G268" s="50">
        <f t="shared" si="25"/>
        <v>3764.2000000000003</v>
      </c>
      <c r="H268" s="107">
        <v>45111</v>
      </c>
      <c r="I268" s="144">
        <v>10</v>
      </c>
      <c r="J268" s="104">
        <v>234.82</v>
      </c>
      <c r="K268" s="108">
        <f>+I268*J268</f>
        <v>2348.1999999999998</v>
      </c>
      <c r="L268" s="103">
        <v>1</v>
      </c>
      <c r="M268" s="141">
        <f t="shared" si="24"/>
        <v>29</v>
      </c>
      <c r="N268" s="121" t="s">
        <v>1006</v>
      </c>
      <c r="O268" s="103" t="s">
        <v>946</v>
      </c>
      <c r="P268" s="137">
        <f t="shared" si="22"/>
        <v>5458.09</v>
      </c>
    </row>
    <row r="269" spans="1:16" s="8" customFormat="1" ht="15.75" x14ac:dyDescent="0.25">
      <c r="A269" s="106" t="s">
        <v>528</v>
      </c>
      <c r="B269" s="129">
        <v>45042</v>
      </c>
      <c r="C269" s="9" t="s">
        <v>747</v>
      </c>
      <c r="D269" s="25" t="s">
        <v>1122</v>
      </c>
      <c r="E269" s="161"/>
      <c r="F269" s="134">
        <v>25.42</v>
      </c>
      <c r="G269" s="50">
        <f t="shared" si="25"/>
        <v>0</v>
      </c>
      <c r="H269" s="107">
        <v>45042</v>
      </c>
      <c r="I269" s="144">
        <v>240</v>
      </c>
      <c r="J269" s="104">
        <v>30.11</v>
      </c>
      <c r="K269" s="104">
        <f>+I269*J269</f>
        <v>7226.4</v>
      </c>
      <c r="L269" s="103">
        <v>22</v>
      </c>
      <c r="M269" s="151">
        <f t="shared" si="24"/>
        <v>218</v>
      </c>
      <c r="N269" s="103"/>
      <c r="O269" s="103" t="s">
        <v>947</v>
      </c>
      <c r="P269" s="137">
        <f t="shared" si="22"/>
        <v>5541.56</v>
      </c>
    </row>
    <row r="270" spans="1:16" s="8" customFormat="1" ht="15.75" x14ac:dyDescent="0.25">
      <c r="A270" s="106" t="s">
        <v>529</v>
      </c>
      <c r="B270" s="129">
        <v>44852</v>
      </c>
      <c r="C270" s="9" t="s">
        <v>748</v>
      </c>
      <c r="D270" s="25" t="s">
        <v>1122</v>
      </c>
      <c r="E270" s="161"/>
      <c r="F270" s="134">
        <v>23.82</v>
      </c>
      <c r="G270" s="50">
        <f t="shared" si="25"/>
        <v>0</v>
      </c>
      <c r="H270" s="107">
        <v>44852</v>
      </c>
      <c r="I270" s="144">
        <f>15*12</f>
        <v>180</v>
      </c>
      <c r="J270" s="104">
        <v>40.69</v>
      </c>
      <c r="K270" s="108">
        <f>+I270*J270</f>
        <v>7324.2</v>
      </c>
      <c r="L270" s="103">
        <f>72+12+6</f>
        <v>90</v>
      </c>
      <c r="M270" s="151">
        <f t="shared" si="24"/>
        <v>90</v>
      </c>
      <c r="N270" s="103" t="s">
        <v>1037</v>
      </c>
      <c r="O270" s="103" t="s">
        <v>947</v>
      </c>
      <c r="P270" s="137">
        <f t="shared" si="22"/>
        <v>2143.8000000000002</v>
      </c>
    </row>
    <row r="271" spans="1:16" s="8" customFormat="1" ht="15.75" x14ac:dyDescent="0.25">
      <c r="A271" s="106" t="s">
        <v>873</v>
      </c>
      <c r="B271" s="102">
        <v>44193</v>
      </c>
      <c r="C271" s="25" t="s">
        <v>785</v>
      </c>
      <c r="D271" s="25" t="s">
        <v>1122</v>
      </c>
      <c r="E271" s="162">
        <v>4</v>
      </c>
      <c r="F271" s="134">
        <v>45</v>
      </c>
      <c r="G271" s="50">
        <f t="shared" si="25"/>
        <v>180</v>
      </c>
      <c r="H271" s="103"/>
      <c r="I271" s="144"/>
      <c r="J271" s="104"/>
      <c r="K271" s="103"/>
      <c r="L271" s="103">
        <v>4</v>
      </c>
      <c r="M271" s="151">
        <f t="shared" si="24"/>
        <v>0</v>
      </c>
      <c r="N271" s="103"/>
      <c r="O271" s="103" t="s">
        <v>947</v>
      </c>
      <c r="P271" s="137">
        <f t="shared" si="22"/>
        <v>0</v>
      </c>
    </row>
    <row r="272" spans="1:16" s="8" customFormat="1" ht="15.75" x14ac:dyDescent="0.25">
      <c r="A272" s="106" t="s">
        <v>874</v>
      </c>
      <c r="B272" s="106" t="s">
        <v>105</v>
      </c>
      <c r="C272" s="9" t="s">
        <v>746</v>
      </c>
      <c r="D272" s="25" t="s">
        <v>1122</v>
      </c>
      <c r="E272" s="161">
        <v>7</v>
      </c>
      <c r="F272" s="171">
        <v>48</v>
      </c>
      <c r="G272" s="50">
        <f>E272*F272</f>
        <v>336</v>
      </c>
      <c r="H272" s="103"/>
      <c r="I272" s="144"/>
      <c r="J272" s="104"/>
      <c r="K272" s="103"/>
      <c r="L272" s="103">
        <v>7</v>
      </c>
      <c r="M272" s="151">
        <f t="shared" si="24"/>
        <v>0</v>
      </c>
      <c r="N272" s="103"/>
      <c r="O272" s="103" t="s">
        <v>947</v>
      </c>
      <c r="P272" s="137">
        <f t="shared" si="22"/>
        <v>0</v>
      </c>
    </row>
    <row r="273" spans="1:16" s="8" customFormat="1" ht="15.75" x14ac:dyDescent="0.25">
      <c r="A273" s="106" t="s">
        <v>875</v>
      </c>
      <c r="B273" s="102"/>
      <c r="C273" s="25" t="s">
        <v>815</v>
      </c>
      <c r="D273" s="25" t="s">
        <v>1122</v>
      </c>
      <c r="E273" s="162">
        <v>6</v>
      </c>
      <c r="F273" s="134"/>
      <c r="G273" s="50"/>
      <c r="H273" s="103"/>
      <c r="I273" s="144"/>
      <c r="J273" s="104"/>
      <c r="K273" s="103"/>
      <c r="L273" s="103"/>
      <c r="M273" s="141">
        <f t="shared" si="24"/>
        <v>6</v>
      </c>
      <c r="N273" s="103"/>
      <c r="O273" s="103" t="s">
        <v>946</v>
      </c>
      <c r="P273" s="137">
        <f t="shared" si="22"/>
        <v>0</v>
      </c>
    </row>
    <row r="274" spans="1:16" s="92" customFormat="1" x14ac:dyDescent="0.3">
      <c r="A274" s="106" t="s">
        <v>876</v>
      </c>
      <c r="B274" s="102">
        <v>44193</v>
      </c>
      <c r="C274" s="25" t="s">
        <v>750</v>
      </c>
      <c r="D274" s="25" t="s">
        <v>1122</v>
      </c>
      <c r="E274" s="162">
        <v>20</v>
      </c>
      <c r="F274" s="134">
        <v>1449.14</v>
      </c>
      <c r="G274" s="50">
        <f t="shared" ref="G274:G286" si="26">E274*F274</f>
        <v>28982.800000000003</v>
      </c>
      <c r="H274" s="103"/>
      <c r="I274" s="144"/>
      <c r="J274" s="104"/>
      <c r="K274" s="103"/>
      <c r="L274" s="103"/>
      <c r="M274" s="141">
        <f t="shared" si="24"/>
        <v>20</v>
      </c>
      <c r="N274" s="103"/>
      <c r="O274" s="103" t="s">
        <v>945</v>
      </c>
      <c r="P274" s="137">
        <f t="shared" si="22"/>
        <v>28982.800000000003</v>
      </c>
    </row>
    <row r="275" spans="1:16" s="92" customFormat="1" x14ac:dyDescent="0.3">
      <c r="A275" s="106" t="s">
        <v>877</v>
      </c>
      <c r="B275" s="129">
        <v>45019</v>
      </c>
      <c r="C275" s="25" t="s">
        <v>771</v>
      </c>
      <c r="D275" s="25" t="s">
        <v>1122</v>
      </c>
      <c r="E275" s="162">
        <v>3</v>
      </c>
      <c r="F275" s="134">
        <v>3481</v>
      </c>
      <c r="G275" s="50">
        <f t="shared" si="26"/>
        <v>10443</v>
      </c>
      <c r="H275" s="107">
        <v>45019</v>
      </c>
      <c r="I275" s="144">
        <v>30</v>
      </c>
      <c r="J275" s="104">
        <v>300.89999999999998</v>
      </c>
      <c r="K275" s="103">
        <f>+J275/10</f>
        <v>30.089999999999996</v>
      </c>
      <c r="L275" s="103">
        <v>5</v>
      </c>
      <c r="M275" s="151">
        <f t="shared" si="24"/>
        <v>28</v>
      </c>
      <c r="N275" s="103" t="s">
        <v>943</v>
      </c>
      <c r="O275" s="103" t="s">
        <v>945</v>
      </c>
      <c r="P275" s="137">
        <f t="shared" si="22"/>
        <v>97468</v>
      </c>
    </row>
    <row r="276" spans="1:16" s="8" customFormat="1" ht="15.75" x14ac:dyDescent="0.25">
      <c r="A276" s="106" t="s">
        <v>878</v>
      </c>
      <c r="B276" s="102">
        <v>44193</v>
      </c>
      <c r="C276" s="25" t="s">
        <v>754</v>
      </c>
      <c r="D276" s="25" t="s">
        <v>1122</v>
      </c>
      <c r="E276" s="162">
        <v>7</v>
      </c>
      <c r="F276" s="134">
        <v>38</v>
      </c>
      <c r="G276" s="50">
        <f t="shared" si="26"/>
        <v>266</v>
      </c>
      <c r="H276" s="103"/>
      <c r="I276" s="144"/>
      <c r="J276" s="104"/>
      <c r="K276" s="103"/>
      <c r="L276" s="103"/>
      <c r="M276" s="141">
        <f t="shared" si="24"/>
        <v>7</v>
      </c>
      <c r="N276" s="103"/>
      <c r="O276" s="103" t="s">
        <v>946</v>
      </c>
      <c r="P276" s="137">
        <f t="shared" si="22"/>
        <v>266</v>
      </c>
    </row>
    <row r="277" spans="1:16" s="8" customFormat="1" ht="15.75" x14ac:dyDescent="0.25">
      <c r="A277" s="106" t="s">
        <v>879</v>
      </c>
      <c r="B277" s="106" t="s">
        <v>105</v>
      </c>
      <c r="C277" s="25" t="s">
        <v>753</v>
      </c>
      <c r="D277" s="25" t="s">
        <v>1122</v>
      </c>
      <c r="E277" s="162">
        <v>12</v>
      </c>
      <c r="F277" s="134">
        <v>38</v>
      </c>
      <c r="G277" s="50">
        <f t="shared" si="26"/>
        <v>456</v>
      </c>
      <c r="H277" s="103"/>
      <c r="I277" s="144"/>
      <c r="J277" s="104"/>
      <c r="K277" s="103"/>
      <c r="L277" s="103"/>
      <c r="M277" s="141">
        <f t="shared" si="24"/>
        <v>12</v>
      </c>
      <c r="N277" s="103"/>
      <c r="O277" s="103" t="s">
        <v>946</v>
      </c>
      <c r="P277" s="137">
        <f t="shared" si="22"/>
        <v>456</v>
      </c>
    </row>
    <row r="278" spans="1:16" s="8" customFormat="1" ht="15.75" x14ac:dyDescent="0.25">
      <c r="A278" s="106" t="s">
        <v>880</v>
      </c>
      <c r="B278" s="102">
        <v>44193</v>
      </c>
      <c r="C278" s="25" t="s">
        <v>757</v>
      </c>
      <c r="D278" s="25" t="s">
        <v>1122</v>
      </c>
      <c r="E278" s="162">
        <v>1</v>
      </c>
      <c r="F278" s="134">
        <v>38</v>
      </c>
      <c r="G278" s="50">
        <f t="shared" si="26"/>
        <v>38</v>
      </c>
      <c r="H278" s="103"/>
      <c r="I278" s="144"/>
      <c r="J278" s="104"/>
      <c r="K278" s="103"/>
      <c r="L278" s="103"/>
      <c r="M278" s="141">
        <f t="shared" si="24"/>
        <v>1</v>
      </c>
      <c r="N278" s="103"/>
      <c r="O278" s="103" t="s">
        <v>946</v>
      </c>
      <c r="P278" s="137">
        <f t="shared" si="22"/>
        <v>38</v>
      </c>
    </row>
    <row r="279" spans="1:16" s="8" customFormat="1" ht="15.75" x14ac:dyDescent="0.25">
      <c r="A279" s="106" t="s">
        <v>881</v>
      </c>
      <c r="B279" s="102">
        <v>44193</v>
      </c>
      <c r="C279" s="25" t="s">
        <v>760</v>
      </c>
      <c r="D279" s="25" t="s">
        <v>1122</v>
      </c>
      <c r="E279" s="162">
        <v>1</v>
      </c>
      <c r="F279" s="134">
        <v>41</v>
      </c>
      <c r="G279" s="50">
        <f t="shared" si="26"/>
        <v>41</v>
      </c>
      <c r="H279" s="103"/>
      <c r="I279" s="144"/>
      <c r="J279" s="104"/>
      <c r="K279" s="103"/>
      <c r="L279" s="103"/>
      <c r="M279" s="141">
        <f t="shared" si="24"/>
        <v>1</v>
      </c>
      <c r="N279" s="103"/>
      <c r="O279" s="103" t="s">
        <v>946</v>
      </c>
      <c r="P279" s="137">
        <f t="shared" si="22"/>
        <v>41</v>
      </c>
    </row>
    <row r="280" spans="1:16" s="8" customFormat="1" ht="15.75" x14ac:dyDescent="0.25">
      <c r="A280" s="106" t="s">
        <v>882</v>
      </c>
      <c r="B280" s="102">
        <v>44193</v>
      </c>
      <c r="C280" s="25" t="s">
        <v>758</v>
      </c>
      <c r="D280" s="25" t="s">
        <v>1122</v>
      </c>
      <c r="E280" s="162">
        <v>1</v>
      </c>
      <c r="F280" s="134">
        <v>38</v>
      </c>
      <c r="G280" s="50">
        <f t="shared" si="26"/>
        <v>38</v>
      </c>
      <c r="H280" s="103"/>
      <c r="I280" s="144"/>
      <c r="J280" s="104"/>
      <c r="K280" s="103"/>
      <c r="L280" s="103"/>
      <c r="M280" s="141">
        <f t="shared" si="24"/>
        <v>1</v>
      </c>
      <c r="N280" s="103"/>
      <c r="O280" s="103" t="s">
        <v>946</v>
      </c>
      <c r="P280" s="137">
        <f t="shared" si="22"/>
        <v>38</v>
      </c>
    </row>
    <row r="281" spans="1:16" s="8" customFormat="1" ht="15.75" x14ac:dyDescent="0.25">
      <c r="A281" s="106" t="s">
        <v>883</v>
      </c>
      <c r="B281" s="102">
        <v>44193</v>
      </c>
      <c r="C281" s="25" t="s">
        <v>759</v>
      </c>
      <c r="D281" s="25" t="s">
        <v>1122</v>
      </c>
      <c r="E281" s="162">
        <v>1</v>
      </c>
      <c r="F281" s="134">
        <v>38</v>
      </c>
      <c r="G281" s="50">
        <f t="shared" si="26"/>
        <v>38</v>
      </c>
      <c r="H281" s="103"/>
      <c r="I281" s="144"/>
      <c r="J281" s="104"/>
      <c r="K281" s="103"/>
      <c r="L281" s="103"/>
      <c r="M281" s="141">
        <f t="shared" si="24"/>
        <v>1</v>
      </c>
      <c r="N281" s="103"/>
      <c r="O281" s="103" t="s">
        <v>946</v>
      </c>
      <c r="P281" s="137">
        <f t="shared" ref="P281:P344" si="27">+F281*M281</f>
        <v>38</v>
      </c>
    </row>
    <row r="282" spans="1:16" s="8" customFormat="1" ht="15.75" x14ac:dyDescent="0.25">
      <c r="A282" s="106" t="s">
        <v>884</v>
      </c>
      <c r="B282" s="106" t="s">
        <v>105</v>
      </c>
      <c r="C282" s="25" t="s">
        <v>755</v>
      </c>
      <c r="D282" s="25" t="s">
        <v>1122</v>
      </c>
      <c r="E282" s="162">
        <v>1</v>
      </c>
      <c r="F282" s="134">
        <v>38</v>
      </c>
      <c r="G282" s="50">
        <f t="shared" si="26"/>
        <v>38</v>
      </c>
      <c r="H282" s="103"/>
      <c r="I282" s="144"/>
      <c r="J282" s="104"/>
      <c r="K282" s="103"/>
      <c r="L282" s="103"/>
      <c r="M282" s="141">
        <f t="shared" si="24"/>
        <v>1</v>
      </c>
      <c r="N282" s="103"/>
      <c r="O282" s="103" t="s">
        <v>946</v>
      </c>
      <c r="P282" s="137">
        <f t="shared" si="27"/>
        <v>38</v>
      </c>
    </row>
    <row r="283" spans="1:16" s="8" customFormat="1" ht="15.75" x14ac:dyDescent="0.25">
      <c r="A283" s="106" t="s">
        <v>885</v>
      </c>
      <c r="B283" s="102">
        <v>44193</v>
      </c>
      <c r="C283" s="25" t="s">
        <v>756</v>
      </c>
      <c r="D283" s="25" t="s">
        <v>1122</v>
      </c>
      <c r="E283" s="162">
        <v>1</v>
      </c>
      <c r="F283" s="134">
        <v>38</v>
      </c>
      <c r="G283" s="50">
        <f t="shared" si="26"/>
        <v>38</v>
      </c>
      <c r="H283" s="103"/>
      <c r="I283" s="144"/>
      <c r="J283" s="104"/>
      <c r="K283" s="103"/>
      <c r="L283" s="103"/>
      <c r="M283" s="141">
        <f t="shared" si="24"/>
        <v>1</v>
      </c>
      <c r="N283" s="103"/>
      <c r="O283" s="103" t="s">
        <v>946</v>
      </c>
      <c r="P283" s="137">
        <f t="shared" si="27"/>
        <v>38</v>
      </c>
    </row>
    <row r="284" spans="1:16" s="8" customFormat="1" ht="15.75" x14ac:dyDescent="0.25">
      <c r="A284" s="106" t="s">
        <v>886</v>
      </c>
      <c r="B284" s="102">
        <v>44193</v>
      </c>
      <c r="C284" s="25" t="s">
        <v>762</v>
      </c>
      <c r="D284" s="25" t="s">
        <v>1122</v>
      </c>
      <c r="E284" s="162">
        <v>7</v>
      </c>
      <c r="F284" s="134">
        <v>537</v>
      </c>
      <c r="G284" s="50">
        <f t="shared" si="26"/>
        <v>3759</v>
      </c>
      <c r="H284" s="103"/>
      <c r="I284" s="144"/>
      <c r="J284" s="104"/>
      <c r="K284" s="103"/>
      <c r="L284" s="103"/>
      <c r="M284" s="141">
        <f t="shared" si="24"/>
        <v>7</v>
      </c>
      <c r="N284" s="103"/>
      <c r="O284" s="103" t="s">
        <v>946</v>
      </c>
      <c r="P284" s="137">
        <f t="shared" si="27"/>
        <v>3759</v>
      </c>
    </row>
    <row r="285" spans="1:16" s="8" customFormat="1" ht="15.75" x14ac:dyDescent="0.25">
      <c r="A285" s="106" t="s">
        <v>887</v>
      </c>
      <c r="B285" s="102">
        <v>44193</v>
      </c>
      <c r="C285" s="25" t="s">
        <v>761</v>
      </c>
      <c r="D285" s="25" t="s">
        <v>1122</v>
      </c>
      <c r="E285" s="162">
        <v>3</v>
      </c>
      <c r="F285" s="134">
        <v>537</v>
      </c>
      <c r="G285" s="50">
        <f t="shared" si="26"/>
        <v>1611</v>
      </c>
      <c r="H285" s="103"/>
      <c r="I285" s="144"/>
      <c r="J285" s="104"/>
      <c r="K285" s="103"/>
      <c r="L285" s="103"/>
      <c r="M285" s="141">
        <f t="shared" si="24"/>
        <v>3</v>
      </c>
      <c r="N285" s="103"/>
      <c r="O285" s="103" t="s">
        <v>946</v>
      </c>
      <c r="P285" s="137">
        <f t="shared" si="27"/>
        <v>1611</v>
      </c>
    </row>
    <row r="286" spans="1:16" s="8" customFormat="1" ht="15.75" x14ac:dyDescent="0.25">
      <c r="A286" s="106" t="s">
        <v>888</v>
      </c>
      <c r="B286" s="102">
        <v>44193</v>
      </c>
      <c r="C286" s="9" t="s">
        <v>763</v>
      </c>
      <c r="D286" s="25" t="s">
        <v>1122</v>
      </c>
      <c r="E286" s="161">
        <v>13</v>
      </c>
      <c r="F286" s="134">
        <v>13.87</v>
      </c>
      <c r="G286" s="50">
        <f t="shared" si="26"/>
        <v>180.31</v>
      </c>
      <c r="H286" s="103"/>
      <c r="I286" s="144"/>
      <c r="J286" s="104"/>
      <c r="K286" s="103"/>
      <c r="L286" s="103"/>
      <c r="M286" s="141">
        <f t="shared" si="24"/>
        <v>13</v>
      </c>
      <c r="N286" s="103"/>
      <c r="O286" s="103" t="s">
        <v>947</v>
      </c>
      <c r="P286" s="137">
        <f t="shared" si="27"/>
        <v>180.31</v>
      </c>
    </row>
    <row r="287" spans="1:16" s="8" customFormat="1" ht="15.75" x14ac:dyDescent="0.25">
      <c r="A287" s="106" t="s">
        <v>889</v>
      </c>
      <c r="B287" s="102"/>
      <c r="C287" s="25" t="s">
        <v>814</v>
      </c>
      <c r="D287" s="25" t="s">
        <v>1122</v>
      </c>
      <c r="E287" s="162">
        <v>5</v>
      </c>
      <c r="F287" s="134"/>
      <c r="G287" s="50"/>
      <c r="H287" s="103"/>
      <c r="I287" s="144"/>
      <c r="J287" s="104"/>
      <c r="K287" s="103"/>
      <c r="L287" s="103"/>
      <c r="M287" s="141">
        <f t="shared" si="24"/>
        <v>5</v>
      </c>
      <c r="N287" s="103"/>
      <c r="O287" s="103" t="s">
        <v>946</v>
      </c>
      <c r="P287" s="137">
        <f t="shared" si="27"/>
        <v>0</v>
      </c>
    </row>
    <row r="288" spans="1:16" s="8" customFormat="1" ht="15.75" x14ac:dyDescent="0.25">
      <c r="A288" s="106" t="s">
        <v>890</v>
      </c>
      <c r="B288" s="102"/>
      <c r="C288" s="25" t="s">
        <v>805</v>
      </c>
      <c r="D288" s="25" t="s">
        <v>1122</v>
      </c>
      <c r="E288" s="162">
        <v>9</v>
      </c>
      <c r="F288" s="134"/>
      <c r="G288" s="50"/>
      <c r="H288" s="103"/>
      <c r="I288" s="144"/>
      <c r="J288" s="104"/>
      <c r="K288" s="103"/>
      <c r="L288" s="103"/>
      <c r="M288" s="141">
        <f t="shared" si="24"/>
        <v>9</v>
      </c>
      <c r="N288" s="103"/>
      <c r="O288" s="103" t="s">
        <v>946</v>
      </c>
      <c r="P288" s="137">
        <f t="shared" si="27"/>
        <v>0</v>
      </c>
    </row>
    <row r="289" spans="1:16" s="105" customFormat="1" ht="15.75" x14ac:dyDescent="0.25">
      <c r="A289" s="106" t="s">
        <v>891</v>
      </c>
      <c r="B289" s="129">
        <v>44852</v>
      </c>
      <c r="C289" s="25" t="s">
        <v>784</v>
      </c>
      <c r="D289" s="25" t="s">
        <v>1122</v>
      </c>
      <c r="E289" s="162">
        <f>17+14</f>
        <v>31</v>
      </c>
      <c r="F289" s="173">
        <v>25.52</v>
      </c>
      <c r="G289" s="108">
        <f>+E289*F289</f>
        <v>791.12</v>
      </c>
      <c r="H289" s="107">
        <v>44852</v>
      </c>
      <c r="I289" s="144">
        <v>15</v>
      </c>
      <c r="J289" s="104">
        <v>25.52</v>
      </c>
      <c r="K289" s="108">
        <f>+I289*J289</f>
        <v>382.8</v>
      </c>
      <c r="L289" s="103">
        <v>3</v>
      </c>
      <c r="M289" s="151">
        <f t="shared" si="24"/>
        <v>43</v>
      </c>
      <c r="N289" s="103" t="s">
        <v>1037</v>
      </c>
      <c r="O289" s="103" t="s">
        <v>947</v>
      </c>
      <c r="P289" s="137">
        <f t="shared" si="27"/>
        <v>1097.3599999999999</v>
      </c>
    </row>
    <row r="290" spans="1:16" s="105" customFormat="1" ht="15.75" x14ac:dyDescent="0.25">
      <c r="A290" s="106" t="s">
        <v>892</v>
      </c>
      <c r="B290" s="102">
        <v>44729</v>
      </c>
      <c r="C290" s="25" t="s">
        <v>860</v>
      </c>
      <c r="D290" s="25" t="s">
        <v>1122</v>
      </c>
      <c r="E290" s="162">
        <v>12</v>
      </c>
      <c r="F290" s="134">
        <v>1637.5</v>
      </c>
      <c r="G290" s="50">
        <f>+E290*F290</f>
        <v>19650</v>
      </c>
      <c r="H290" s="103"/>
      <c r="I290" s="144"/>
      <c r="J290" s="104"/>
      <c r="K290" s="103"/>
      <c r="L290" s="103"/>
      <c r="M290" s="141">
        <f t="shared" si="24"/>
        <v>12</v>
      </c>
      <c r="N290" s="103"/>
      <c r="O290" s="103" t="s">
        <v>946</v>
      </c>
      <c r="P290" s="137">
        <f t="shared" si="27"/>
        <v>19650</v>
      </c>
    </row>
    <row r="291" spans="1:16" s="92" customFormat="1" x14ac:dyDescent="0.3">
      <c r="A291" s="106" t="s">
        <v>893</v>
      </c>
      <c r="B291" s="102">
        <v>44652</v>
      </c>
      <c r="C291" s="25" t="s">
        <v>859</v>
      </c>
      <c r="D291" s="25" t="s">
        <v>1122</v>
      </c>
      <c r="E291" s="162">
        <f>11+6+12+11</f>
        <v>40</v>
      </c>
      <c r="F291" s="134">
        <v>159</v>
      </c>
      <c r="G291" s="50">
        <f>+E291*F291</f>
        <v>6360</v>
      </c>
      <c r="H291" s="103"/>
      <c r="I291" s="144"/>
      <c r="J291" s="104"/>
      <c r="K291" s="103"/>
      <c r="L291" s="103">
        <f>12+2</f>
        <v>14</v>
      </c>
      <c r="M291" s="151">
        <f t="shared" si="24"/>
        <v>26</v>
      </c>
      <c r="N291" s="103"/>
      <c r="O291" s="103" t="s">
        <v>945</v>
      </c>
      <c r="P291" s="137">
        <f t="shared" si="27"/>
        <v>4134</v>
      </c>
    </row>
    <row r="292" spans="1:16" s="92" customFormat="1" x14ac:dyDescent="0.3">
      <c r="A292" s="106" t="s">
        <v>894</v>
      </c>
      <c r="B292" s="102">
        <v>44652</v>
      </c>
      <c r="C292" s="25" t="s">
        <v>858</v>
      </c>
      <c r="D292" s="25" t="s">
        <v>1122</v>
      </c>
      <c r="E292" s="162">
        <v>11</v>
      </c>
      <c r="F292" s="134"/>
      <c r="G292" s="50">
        <f>+E292*F292</f>
        <v>0</v>
      </c>
      <c r="H292" s="103"/>
      <c r="I292" s="144"/>
      <c r="J292" s="104"/>
      <c r="K292" s="103"/>
      <c r="L292" s="103">
        <v>11</v>
      </c>
      <c r="M292" s="141">
        <f t="shared" si="24"/>
        <v>0</v>
      </c>
      <c r="N292" s="103"/>
      <c r="O292" s="103" t="s">
        <v>945</v>
      </c>
      <c r="P292" s="137">
        <f t="shared" si="27"/>
        <v>0</v>
      </c>
    </row>
    <row r="293" spans="1:16" s="92" customFormat="1" x14ac:dyDescent="0.3">
      <c r="A293" s="106" t="s">
        <v>895</v>
      </c>
      <c r="B293" s="102">
        <v>44652</v>
      </c>
      <c r="C293" s="25" t="s">
        <v>920</v>
      </c>
      <c r="D293" s="25" t="s">
        <v>1122</v>
      </c>
      <c r="E293" s="162">
        <f>9+11+7</f>
        <v>27</v>
      </c>
      <c r="F293" s="134">
        <v>145</v>
      </c>
      <c r="G293" s="50">
        <f>+E293*F293</f>
        <v>3915</v>
      </c>
      <c r="H293" s="103"/>
      <c r="I293" s="144"/>
      <c r="J293" s="104"/>
      <c r="K293" s="103"/>
      <c r="L293" s="103">
        <v>21</v>
      </c>
      <c r="M293" s="151">
        <f t="shared" si="24"/>
        <v>6</v>
      </c>
      <c r="N293" s="103"/>
      <c r="O293" s="103" t="s">
        <v>945</v>
      </c>
      <c r="P293" s="137">
        <f t="shared" si="27"/>
        <v>870</v>
      </c>
    </row>
    <row r="294" spans="1:16" s="8" customFormat="1" ht="15.75" x14ac:dyDescent="0.25">
      <c r="A294" s="106" t="s">
        <v>896</v>
      </c>
      <c r="B294" s="102"/>
      <c r="C294" s="25" t="s">
        <v>795</v>
      </c>
      <c r="D294" s="25" t="s">
        <v>1122</v>
      </c>
      <c r="E294" s="162">
        <v>29</v>
      </c>
      <c r="F294" s="134">
        <v>29.35</v>
      </c>
      <c r="G294" s="50">
        <f t="shared" ref="G294:G310" si="28">+E294*F294</f>
        <v>851.15000000000009</v>
      </c>
      <c r="H294" s="103"/>
      <c r="I294" s="144"/>
      <c r="J294" s="104"/>
      <c r="K294" s="103"/>
      <c r="L294" s="103"/>
      <c r="M294" s="141">
        <f t="shared" si="24"/>
        <v>29</v>
      </c>
      <c r="N294" s="103"/>
      <c r="O294" s="103" t="s">
        <v>946</v>
      </c>
      <c r="P294" s="137">
        <f t="shared" si="27"/>
        <v>851.15000000000009</v>
      </c>
    </row>
    <row r="295" spans="1:16" s="8" customFormat="1" ht="15.75" x14ac:dyDescent="0.25">
      <c r="A295" s="106" t="s">
        <v>897</v>
      </c>
      <c r="B295" s="102"/>
      <c r="C295" s="25" t="s">
        <v>843</v>
      </c>
      <c r="D295" s="25" t="s">
        <v>1122</v>
      </c>
      <c r="E295" s="162">
        <v>8</v>
      </c>
      <c r="F295" s="134"/>
      <c r="G295" s="50">
        <f t="shared" si="28"/>
        <v>0</v>
      </c>
      <c r="H295" s="103"/>
      <c r="I295" s="144"/>
      <c r="J295" s="104"/>
      <c r="K295" s="103"/>
      <c r="L295" s="103"/>
      <c r="M295" s="141">
        <f t="shared" si="24"/>
        <v>8</v>
      </c>
      <c r="N295" s="103"/>
      <c r="O295" s="103" t="s">
        <v>946</v>
      </c>
      <c r="P295" s="137">
        <f t="shared" si="27"/>
        <v>0</v>
      </c>
    </row>
    <row r="296" spans="1:16" s="8" customFormat="1" ht="15.75" x14ac:dyDescent="0.25">
      <c r="A296" s="106" t="s">
        <v>898</v>
      </c>
      <c r="B296" s="102"/>
      <c r="C296" s="25" t="s">
        <v>793</v>
      </c>
      <c r="D296" s="25" t="s">
        <v>1122</v>
      </c>
      <c r="E296" s="162">
        <f>3+1</f>
        <v>4</v>
      </c>
      <c r="F296" s="134"/>
      <c r="G296" s="50">
        <f t="shared" si="28"/>
        <v>0</v>
      </c>
      <c r="H296" s="103"/>
      <c r="I296" s="144"/>
      <c r="J296" s="104"/>
      <c r="K296" s="103"/>
      <c r="L296" s="103">
        <v>1</v>
      </c>
      <c r="M296" s="141">
        <f t="shared" si="24"/>
        <v>3</v>
      </c>
      <c r="N296" s="103"/>
      <c r="O296" s="103" t="s">
        <v>946</v>
      </c>
      <c r="P296" s="137">
        <f t="shared" si="27"/>
        <v>0</v>
      </c>
    </row>
    <row r="297" spans="1:16" s="8" customFormat="1" ht="15.75" x14ac:dyDescent="0.25">
      <c r="A297" s="106" t="s">
        <v>899</v>
      </c>
      <c r="B297" s="102"/>
      <c r="C297" s="25" t="s">
        <v>842</v>
      </c>
      <c r="D297" s="25" t="s">
        <v>1122</v>
      </c>
      <c r="E297" s="162">
        <v>2</v>
      </c>
      <c r="F297" s="134"/>
      <c r="G297" s="50">
        <f t="shared" si="28"/>
        <v>0</v>
      </c>
      <c r="H297" s="103"/>
      <c r="I297" s="144"/>
      <c r="J297" s="104"/>
      <c r="K297" s="103"/>
      <c r="L297" s="103"/>
      <c r="M297" s="141">
        <f t="shared" si="24"/>
        <v>2</v>
      </c>
      <c r="N297" s="103"/>
      <c r="O297" s="103" t="s">
        <v>946</v>
      </c>
      <c r="P297" s="137">
        <f t="shared" si="27"/>
        <v>0</v>
      </c>
    </row>
    <row r="298" spans="1:16" s="8" customFormat="1" ht="15.75" x14ac:dyDescent="0.25">
      <c r="A298" s="106" t="s">
        <v>900</v>
      </c>
      <c r="B298" s="102">
        <v>44193</v>
      </c>
      <c r="C298" s="25" t="s">
        <v>841</v>
      </c>
      <c r="D298" s="25" t="s">
        <v>1122</v>
      </c>
      <c r="E298" s="162">
        <v>1</v>
      </c>
      <c r="F298" s="134">
        <v>18.86</v>
      </c>
      <c r="G298" s="50">
        <f t="shared" si="28"/>
        <v>18.86</v>
      </c>
      <c r="H298" s="103"/>
      <c r="I298" s="144"/>
      <c r="J298" s="104"/>
      <c r="K298" s="103"/>
      <c r="L298" s="103"/>
      <c r="M298" s="141">
        <f t="shared" si="24"/>
        <v>1</v>
      </c>
      <c r="N298" s="103"/>
      <c r="O298" s="103" t="s">
        <v>946</v>
      </c>
      <c r="P298" s="137">
        <f t="shared" si="27"/>
        <v>18.86</v>
      </c>
    </row>
    <row r="299" spans="1:16" s="8" customFormat="1" ht="15.75" x14ac:dyDescent="0.25">
      <c r="A299" s="106" t="s">
        <v>901</v>
      </c>
      <c r="B299" s="102">
        <v>44193</v>
      </c>
      <c r="C299" s="25" t="s">
        <v>848</v>
      </c>
      <c r="D299" s="25" t="s">
        <v>1122</v>
      </c>
      <c r="E299" s="162">
        <v>1</v>
      </c>
      <c r="F299" s="134"/>
      <c r="G299" s="50">
        <f t="shared" si="28"/>
        <v>0</v>
      </c>
      <c r="H299" s="103"/>
      <c r="I299" s="144"/>
      <c r="J299" s="104"/>
      <c r="K299" s="103"/>
      <c r="L299" s="103"/>
      <c r="M299" s="141">
        <f t="shared" si="24"/>
        <v>1</v>
      </c>
      <c r="N299" s="103"/>
      <c r="O299" s="103" t="s">
        <v>946</v>
      </c>
      <c r="P299" s="137">
        <f t="shared" si="27"/>
        <v>0</v>
      </c>
    </row>
    <row r="300" spans="1:16" s="8" customFormat="1" ht="15.75" x14ac:dyDescent="0.25">
      <c r="A300" s="106" t="s">
        <v>902</v>
      </c>
      <c r="B300" s="102">
        <v>44193</v>
      </c>
      <c r="C300" s="25" t="s">
        <v>839</v>
      </c>
      <c r="D300" s="25" t="s">
        <v>1122</v>
      </c>
      <c r="E300" s="162">
        <v>7</v>
      </c>
      <c r="F300" s="134"/>
      <c r="G300" s="50">
        <f t="shared" si="28"/>
        <v>0</v>
      </c>
      <c r="H300" s="103"/>
      <c r="I300" s="144"/>
      <c r="J300" s="104"/>
      <c r="K300" s="103"/>
      <c r="L300" s="103"/>
      <c r="M300" s="141">
        <f t="shared" si="24"/>
        <v>7</v>
      </c>
      <c r="N300" s="103"/>
      <c r="O300" s="103" t="s">
        <v>946</v>
      </c>
      <c r="P300" s="137">
        <f t="shared" si="27"/>
        <v>0</v>
      </c>
    </row>
    <row r="301" spans="1:16" s="8" customFormat="1" ht="15.75" x14ac:dyDescent="0.25">
      <c r="A301" s="106" t="s">
        <v>903</v>
      </c>
      <c r="B301" s="102">
        <v>44193</v>
      </c>
      <c r="C301" s="25" t="s">
        <v>867</v>
      </c>
      <c r="D301" s="25" t="s">
        <v>1122</v>
      </c>
      <c r="E301" s="162">
        <v>6</v>
      </c>
      <c r="F301" s="134">
        <v>176</v>
      </c>
      <c r="G301" s="50">
        <f t="shared" si="28"/>
        <v>1056</v>
      </c>
      <c r="H301" s="103"/>
      <c r="I301" s="144"/>
      <c r="J301" s="104"/>
      <c r="K301" s="103"/>
      <c r="L301" s="103">
        <v>2</v>
      </c>
      <c r="M301" s="141">
        <f t="shared" si="24"/>
        <v>4</v>
      </c>
      <c r="N301" s="103"/>
      <c r="O301" s="103" t="s">
        <v>947</v>
      </c>
      <c r="P301" s="137">
        <f t="shared" si="27"/>
        <v>704</v>
      </c>
    </row>
    <row r="302" spans="1:16" s="8" customFormat="1" ht="15.75" x14ac:dyDescent="0.25">
      <c r="A302" s="106" t="s">
        <v>904</v>
      </c>
      <c r="B302" s="102">
        <v>44193</v>
      </c>
      <c r="C302" s="25" t="s">
        <v>798</v>
      </c>
      <c r="D302" s="25" t="s">
        <v>1122</v>
      </c>
      <c r="E302" s="162">
        <v>3</v>
      </c>
      <c r="F302" s="134">
        <v>234</v>
      </c>
      <c r="G302" s="50">
        <f t="shared" si="28"/>
        <v>702</v>
      </c>
      <c r="H302" s="103"/>
      <c r="I302" s="144"/>
      <c r="J302" s="104"/>
      <c r="K302" s="103"/>
      <c r="L302" s="103"/>
      <c r="M302" s="141">
        <f t="shared" si="24"/>
        <v>3</v>
      </c>
      <c r="N302" s="103"/>
      <c r="O302" s="103" t="s">
        <v>946</v>
      </c>
      <c r="P302" s="137">
        <f t="shared" si="27"/>
        <v>702</v>
      </c>
    </row>
    <row r="303" spans="1:16" s="92" customFormat="1" x14ac:dyDescent="0.3">
      <c r="A303" s="106" t="s">
        <v>905</v>
      </c>
      <c r="B303" s="129">
        <v>44755</v>
      </c>
      <c r="C303" s="25" t="s">
        <v>764</v>
      </c>
      <c r="D303" s="25" t="s">
        <v>1122</v>
      </c>
      <c r="E303" s="162">
        <v>0</v>
      </c>
      <c r="F303" s="134">
        <v>50.84</v>
      </c>
      <c r="G303" s="50">
        <f t="shared" si="28"/>
        <v>0</v>
      </c>
      <c r="H303" s="107"/>
      <c r="I303" s="144">
        <v>56</v>
      </c>
      <c r="J303" s="104">
        <v>50.84</v>
      </c>
      <c r="K303" s="108">
        <f>+I303*J303</f>
        <v>2847.04</v>
      </c>
      <c r="L303" s="38">
        <v>3</v>
      </c>
      <c r="M303" s="151">
        <f t="shared" si="24"/>
        <v>53</v>
      </c>
      <c r="N303" s="103"/>
      <c r="O303" s="103" t="s">
        <v>945</v>
      </c>
      <c r="P303" s="137">
        <f t="shared" si="27"/>
        <v>2694.52</v>
      </c>
    </row>
    <row r="304" spans="1:16" s="8" customFormat="1" ht="15.75" x14ac:dyDescent="0.25">
      <c r="A304" s="106" t="s">
        <v>906</v>
      </c>
      <c r="B304" s="102"/>
      <c r="C304" s="25" t="s">
        <v>799</v>
      </c>
      <c r="D304" s="25" t="s">
        <v>1122</v>
      </c>
      <c r="E304" s="162">
        <v>120</v>
      </c>
      <c r="F304" s="134"/>
      <c r="G304" s="50">
        <f t="shared" si="28"/>
        <v>0</v>
      </c>
      <c r="H304" s="103"/>
      <c r="I304" s="144"/>
      <c r="J304" s="104"/>
      <c r="K304" s="103"/>
      <c r="L304" s="103"/>
      <c r="M304" s="141">
        <f t="shared" ref="M304:M367" si="29">+E304+I304-L304</f>
        <v>120</v>
      </c>
      <c r="N304" s="103"/>
      <c r="O304" s="103" t="s">
        <v>946</v>
      </c>
      <c r="P304" s="137">
        <f t="shared" si="27"/>
        <v>0</v>
      </c>
    </row>
    <row r="305" spans="1:16" s="8" customFormat="1" ht="15.75" x14ac:dyDescent="0.25">
      <c r="A305" s="106" t="s">
        <v>907</v>
      </c>
      <c r="B305" s="102"/>
      <c r="C305" s="25" t="s">
        <v>824</v>
      </c>
      <c r="D305" s="25" t="s">
        <v>1122</v>
      </c>
      <c r="E305" s="162">
        <v>15</v>
      </c>
      <c r="F305" s="134"/>
      <c r="G305" s="50">
        <f t="shared" si="28"/>
        <v>0</v>
      </c>
      <c r="H305" s="107"/>
      <c r="I305" s="144"/>
      <c r="J305" s="104"/>
      <c r="K305" s="108"/>
      <c r="L305" s="108">
        <v>2</v>
      </c>
      <c r="M305" s="141">
        <f t="shared" si="29"/>
        <v>13</v>
      </c>
      <c r="N305" s="103"/>
      <c r="O305" s="103" t="s">
        <v>946</v>
      </c>
      <c r="P305" s="137">
        <f t="shared" si="27"/>
        <v>0</v>
      </c>
    </row>
    <row r="306" spans="1:16" s="8" customFormat="1" ht="15.75" x14ac:dyDescent="0.25">
      <c r="A306" s="106" t="s">
        <v>908</v>
      </c>
      <c r="B306" s="102"/>
      <c r="C306" s="25" t="s">
        <v>837</v>
      </c>
      <c r="D306" s="25" t="s">
        <v>1122</v>
      </c>
      <c r="E306" s="162">
        <v>9</v>
      </c>
      <c r="F306" s="134"/>
      <c r="G306" s="50">
        <f t="shared" si="28"/>
        <v>0</v>
      </c>
      <c r="H306" s="103"/>
      <c r="I306" s="144"/>
      <c r="J306" s="104"/>
      <c r="K306" s="103"/>
      <c r="L306" s="103"/>
      <c r="M306" s="141">
        <f t="shared" si="29"/>
        <v>9</v>
      </c>
      <c r="N306" s="103"/>
      <c r="O306" s="103" t="s">
        <v>946</v>
      </c>
      <c r="P306" s="137">
        <f t="shared" si="27"/>
        <v>0</v>
      </c>
    </row>
    <row r="307" spans="1:16" s="8" customFormat="1" ht="15.75" x14ac:dyDescent="0.25">
      <c r="A307" s="106" t="s">
        <v>909</v>
      </c>
      <c r="B307" s="102"/>
      <c r="C307" s="25" t="s">
        <v>792</v>
      </c>
      <c r="D307" s="25" t="s">
        <v>1122</v>
      </c>
      <c r="E307" s="162">
        <v>19</v>
      </c>
      <c r="F307" s="134"/>
      <c r="G307" s="50">
        <f t="shared" si="28"/>
        <v>0</v>
      </c>
      <c r="H307" s="103"/>
      <c r="I307" s="144"/>
      <c r="J307" s="104"/>
      <c r="K307" s="103"/>
      <c r="L307" s="103">
        <v>1</v>
      </c>
      <c r="M307" s="141">
        <f t="shared" si="29"/>
        <v>18</v>
      </c>
      <c r="N307" s="103"/>
      <c r="O307" s="103" t="s">
        <v>946</v>
      </c>
      <c r="P307" s="137">
        <f t="shared" si="27"/>
        <v>0</v>
      </c>
    </row>
    <row r="308" spans="1:16" s="8" customFormat="1" ht="15.75" x14ac:dyDescent="0.25">
      <c r="A308" s="106" t="s">
        <v>910</v>
      </c>
      <c r="B308" s="102"/>
      <c r="C308" s="25" t="s">
        <v>329</v>
      </c>
      <c r="D308" s="25" t="s">
        <v>1122</v>
      </c>
      <c r="E308" s="162">
        <v>21</v>
      </c>
      <c r="F308" s="134"/>
      <c r="G308" s="50">
        <f t="shared" si="28"/>
        <v>0</v>
      </c>
      <c r="H308" s="103"/>
      <c r="I308" s="144"/>
      <c r="J308" s="104"/>
      <c r="K308" s="103"/>
      <c r="L308" s="103"/>
      <c r="M308" s="141">
        <f t="shared" si="29"/>
        <v>21</v>
      </c>
      <c r="N308" s="103"/>
      <c r="O308" s="103" t="s">
        <v>946</v>
      </c>
      <c r="P308" s="137">
        <f t="shared" si="27"/>
        <v>0</v>
      </c>
    </row>
    <row r="309" spans="1:16" s="8" customFormat="1" ht="15.75" x14ac:dyDescent="0.25">
      <c r="A309" s="106" t="s">
        <v>911</v>
      </c>
      <c r="B309" s="102"/>
      <c r="C309" s="25" t="s">
        <v>330</v>
      </c>
      <c r="D309" s="25" t="s">
        <v>1122</v>
      </c>
      <c r="E309" s="162">
        <f>2+18</f>
        <v>20</v>
      </c>
      <c r="F309" s="134"/>
      <c r="G309" s="50">
        <f t="shared" si="28"/>
        <v>0</v>
      </c>
      <c r="H309" s="103"/>
      <c r="I309" s="144"/>
      <c r="J309" s="104"/>
      <c r="K309" s="103"/>
      <c r="L309" s="103"/>
      <c r="M309" s="141">
        <f t="shared" si="29"/>
        <v>20</v>
      </c>
      <c r="N309" s="103"/>
      <c r="O309" s="103" t="s">
        <v>946</v>
      </c>
      <c r="P309" s="137">
        <f t="shared" si="27"/>
        <v>0</v>
      </c>
    </row>
    <row r="310" spans="1:16" s="8" customFormat="1" ht="15.75" x14ac:dyDescent="0.25">
      <c r="A310" s="106" t="s">
        <v>912</v>
      </c>
      <c r="B310" s="102">
        <v>44193</v>
      </c>
      <c r="C310" s="25" t="s">
        <v>836</v>
      </c>
      <c r="D310" s="25" t="s">
        <v>1122</v>
      </c>
      <c r="E310" s="162">
        <v>19</v>
      </c>
      <c r="F310" s="134">
        <v>30</v>
      </c>
      <c r="G310" s="50">
        <f t="shared" si="28"/>
        <v>570</v>
      </c>
      <c r="H310" s="103"/>
      <c r="I310" s="144"/>
      <c r="J310" s="104"/>
      <c r="K310" s="103"/>
      <c r="L310" s="103"/>
      <c r="M310" s="141">
        <f t="shared" si="29"/>
        <v>19</v>
      </c>
      <c r="N310" s="103"/>
      <c r="O310" s="103" t="s">
        <v>946</v>
      </c>
      <c r="P310" s="137">
        <f t="shared" si="27"/>
        <v>570</v>
      </c>
    </row>
    <row r="311" spans="1:16" s="8" customFormat="1" ht="15.75" x14ac:dyDescent="0.25">
      <c r="A311" s="106" t="s">
        <v>530</v>
      </c>
      <c r="B311" s="102">
        <v>45020</v>
      </c>
      <c r="C311" s="25" t="s">
        <v>810</v>
      </c>
      <c r="D311" s="25" t="s">
        <v>1122</v>
      </c>
      <c r="E311" s="162">
        <v>20</v>
      </c>
      <c r="F311" s="134">
        <v>413</v>
      </c>
      <c r="G311" s="50">
        <f>+E311*F311</f>
        <v>8260</v>
      </c>
      <c r="H311" s="103"/>
      <c r="I311" s="144"/>
      <c r="J311" s="104"/>
      <c r="K311" s="103"/>
      <c r="L311" s="103">
        <v>1</v>
      </c>
      <c r="M311" s="141">
        <f t="shared" si="29"/>
        <v>19</v>
      </c>
      <c r="N311" s="103"/>
      <c r="O311" s="103" t="s">
        <v>946</v>
      </c>
      <c r="P311" s="137">
        <f t="shared" si="27"/>
        <v>7847</v>
      </c>
    </row>
    <row r="312" spans="1:16" s="8" customFormat="1" ht="15.75" x14ac:dyDescent="0.25">
      <c r="A312" s="106" t="s">
        <v>916</v>
      </c>
      <c r="B312" s="102"/>
      <c r="C312" s="25" t="s">
        <v>836</v>
      </c>
      <c r="D312" s="25" t="s">
        <v>1122</v>
      </c>
      <c r="E312" s="162">
        <v>19</v>
      </c>
      <c r="F312" s="134"/>
      <c r="G312" s="50"/>
      <c r="H312" s="103"/>
      <c r="I312" s="144"/>
      <c r="J312" s="104"/>
      <c r="K312" s="103"/>
      <c r="L312" s="103"/>
      <c r="M312" s="141">
        <f t="shared" si="29"/>
        <v>19</v>
      </c>
      <c r="N312" s="103"/>
      <c r="O312" s="103" t="s">
        <v>946</v>
      </c>
      <c r="P312" s="137">
        <f t="shared" si="27"/>
        <v>0</v>
      </c>
    </row>
    <row r="313" spans="1:16" s="92" customFormat="1" x14ac:dyDescent="0.3">
      <c r="A313" s="106" t="s">
        <v>917</v>
      </c>
      <c r="B313" s="102"/>
      <c r="C313" s="25" t="s">
        <v>918</v>
      </c>
      <c r="D313" s="25" t="s">
        <v>1122</v>
      </c>
      <c r="E313" s="162">
        <v>5</v>
      </c>
      <c r="F313" s="134"/>
      <c r="G313" s="50"/>
      <c r="H313" s="103"/>
      <c r="I313" s="144"/>
      <c r="J313" s="104"/>
      <c r="K313" s="103"/>
      <c r="L313" s="103"/>
      <c r="M313" s="141">
        <f t="shared" si="29"/>
        <v>5</v>
      </c>
      <c r="N313" s="103"/>
      <c r="O313" s="103" t="s">
        <v>945</v>
      </c>
      <c r="P313" s="137">
        <f t="shared" si="27"/>
        <v>0</v>
      </c>
    </row>
    <row r="314" spans="1:16" s="92" customFormat="1" x14ac:dyDescent="0.3">
      <c r="A314" s="106" t="s">
        <v>921</v>
      </c>
      <c r="B314" s="102"/>
      <c r="C314" s="25" t="s">
        <v>919</v>
      </c>
      <c r="D314" s="25" t="s">
        <v>1122</v>
      </c>
      <c r="E314" s="162">
        <f>12+10+11</f>
        <v>33</v>
      </c>
      <c r="F314" s="134">
        <v>150</v>
      </c>
      <c r="G314" s="50"/>
      <c r="H314" s="103"/>
      <c r="I314" s="144"/>
      <c r="J314" s="104"/>
      <c r="K314" s="103"/>
      <c r="L314" s="103">
        <v>1</v>
      </c>
      <c r="M314" s="151">
        <f t="shared" si="29"/>
        <v>32</v>
      </c>
      <c r="N314" s="103"/>
      <c r="O314" s="103" t="s">
        <v>945</v>
      </c>
      <c r="P314" s="137">
        <f t="shared" si="27"/>
        <v>4800</v>
      </c>
    </row>
    <row r="315" spans="1:16" s="92" customFormat="1" x14ac:dyDescent="0.3">
      <c r="A315" s="106" t="s">
        <v>922</v>
      </c>
      <c r="B315" s="102"/>
      <c r="C315" s="25" t="s">
        <v>926</v>
      </c>
      <c r="D315" s="25" t="s">
        <v>1122</v>
      </c>
      <c r="E315" s="162">
        <v>1</v>
      </c>
      <c r="F315" s="134"/>
      <c r="G315" s="50"/>
      <c r="H315" s="103"/>
      <c r="I315" s="144"/>
      <c r="J315" s="104"/>
      <c r="K315" s="103"/>
      <c r="L315" s="103"/>
      <c r="M315" s="141">
        <f t="shared" si="29"/>
        <v>1</v>
      </c>
      <c r="N315" s="103"/>
      <c r="O315" s="103" t="s">
        <v>945</v>
      </c>
      <c r="P315" s="137">
        <f t="shared" si="27"/>
        <v>0</v>
      </c>
    </row>
    <row r="316" spans="1:16" s="92" customFormat="1" x14ac:dyDescent="0.3">
      <c r="A316" s="106" t="s">
        <v>923</v>
      </c>
      <c r="B316" s="129">
        <v>45019</v>
      </c>
      <c r="C316" s="25" t="s">
        <v>930</v>
      </c>
      <c r="D316" s="25" t="s">
        <v>1122</v>
      </c>
      <c r="E316" s="162"/>
      <c r="F316" s="134">
        <v>128.91999999999999</v>
      </c>
      <c r="G316" s="50"/>
      <c r="H316" s="107">
        <v>45019</v>
      </c>
      <c r="I316" s="144">
        <v>50</v>
      </c>
      <c r="J316" s="104">
        <v>128.91999999999999</v>
      </c>
      <c r="K316" s="103">
        <f>+J316*I316</f>
        <v>6445.9999999999991</v>
      </c>
      <c r="L316" s="103">
        <f>10+2+1+2</f>
        <v>15</v>
      </c>
      <c r="M316" s="151">
        <f t="shared" si="29"/>
        <v>35</v>
      </c>
      <c r="N316" s="103"/>
      <c r="O316" s="103" t="s">
        <v>945</v>
      </c>
      <c r="P316" s="137">
        <f t="shared" si="27"/>
        <v>4512.2</v>
      </c>
    </row>
    <row r="317" spans="1:16" s="8" customFormat="1" ht="15.75" x14ac:dyDescent="0.25">
      <c r="A317" s="106" t="s">
        <v>932</v>
      </c>
      <c r="B317" s="102"/>
      <c r="C317" s="25" t="s">
        <v>931</v>
      </c>
      <c r="D317" s="25" t="s">
        <v>1122</v>
      </c>
      <c r="E317" s="162"/>
      <c r="F317" s="134"/>
      <c r="G317" s="50"/>
      <c r="H317" s="103"/>
      <c r="I317" s="144"/>
      <c r="J317" s="104"/>
      <c r="K317" s="103"/>
      <c r="L317" s="103">
        <f>1+1</f>
        <v>2</v>
      </c>
      <c r="M317" s="141">
        <f t="shared" si="29"/>
        <v>-2</v>
      </c>
      <c r="N317" s="103"/>
      <c r="O317" s="103" t="s">
        <v>947</v>
      </c>
      <c r="P317" s="137">
        <f t="shared" si="27"/>
        <v>0</v>
      </c>
    </row>
    <row r="318" spans="1:16" s="8" customFormat="1" ht="15.75" x14ac:dyDescent="0.25">
      <c r="A318" s="106" t="s">
        <v>933</v>
      </c>
      <c r="B318" s="102"/>
      <c r="C318" s="68" t="s">
        <v>934</v>
      </c>
      <c r="D318" s="25" t="s">
        <v>1122</v>
      </c>
      <c r="E318" s="162"/>
      <c r="F318" s="134"/>
      <c r="G318" s="50"/>
      <c r="H318" s="103"/>
      <c r="I318" s="144"/>
      <c r="J318" s="104"/>
      <c r="K318" s="103"/>
      <c r="L318" s="103">
        <f>1+1+15+1</f>
        <v>18</v>
      </c>
      <c r="M318" s="141">
        <f t="shared" si="29"/>
        <v>-18</v>
      </c>
      <c r="N318" s="103"/>
      <c r="O318" s="103" t="s">
        <v>946</v>
      </c>
      <c r="P318" s="137">
        <f t="shared" si="27"/>
        <v>0</v>
      </c>
    </row>
    <row r="319" spans="1:16" s="8" customFormat="1" ht="15.75" x14ac:dyDescent="0.25">
      <c r="A319" s="106" t="s">
        <v>936</v>
      </c>
      <c r="B319" s="102">
        <v>44193</v>
      </c>
      <c r="C319" s="25" t="s">
        <v>613</v>
      </c>
      <c r="D319" s="25" t="s">
        <v>1122</v>
      </c>
      <c r="E319" s="162">
        <v>25</v>
      </c>
      <c r="F319" s="134">
        <v>5.78</v>
      </c>
      <c r="G319" s="50">
        <f>+E319*F319</f>
        <v>144.5</v>
      </c>
      <c r="H319" s="103"/>
      <c r="I319" s="144"/>
      <c r="J319" s="104"/>
      <c r="K319" s="103"/>
      <c r="L319" s="103">
        <v>1</v>
      </c>
      <c r="M319" s="141">
        <f t="shared" si="29"/>
        <v>24</v>
      </c>
      <c r="N319" s="103"/>
      <c r="O319" s="103" t="s">
        <v>946</v>
      </c>
      <c r="P319" s="137">
        <f t="shared" si="27"/>
        <v>138.72</v>
      </c>
    </row>
    <row r="320" spans="1:16" s="8" customFormat="1" ht="15.75" x14ac:dyDescent="0.25">
      <c r="A320" s="106" t="s">
        <v>937</v>
      </c>
      <c r="B320" s="102"/>
      <c r="C320" s="25" t="s">
        <v>935</v>
      </c>
      <c r="D320" s="25" t="s">
        <v>1122</v>
      </c>
      <c r="E320" s="162"/>
      <c r="F320" s="134"/>
      <c r="G320" s="50"/>
      <c r="H320" s="103"/>
      <c r="I320" s="144"/>
      <c r="J320" s="104"/>
      <c r="K320" s="103"/>
      <c r="L320" s="103">
        <v>2</v>
      </c>
      <c r="M320" s="141">
        <f t="shared" si="29"/>
        <v>-2</v>
      </c>
      <c r="N320" s="103"/>
      <c r="O320" s="103" t="s">
        <v>946</v>
      </c>
      <c r="P320" s="137">
        <f t="shared" si="27"/>
        <v>0</v>
      </c>
    </row>
    <row r="321" spans="1:16" s="8" customFormat="1" ht="15.75" x14ac:dyDescent="0.25">
      <c r="A321" s="106" t="s">
        <v>938</v>
      </c>
      <c r="B321" s="102"/>
      <c r="C321" s="25" t="s">
        <v>939</v>
      </c>
      <c r="D321" s="25" t="s">
        <v>1122</v>
      </c>
      <c r="E321" s="162"/>
      <c r="F321" s="134"/>
      <c r="G321" s="50"/>
      <c r="H321" s="103"/>
      <c r="I321" s="144"/>
      <c r="J321" s="104"/>
      <c r="K321" s="103"/>
      <c r="L321" s="103">
        <v>1</v>
      </c>
      <c r="M321" s="141">
        <f t="shared" si="29"/>
        <v>-1</v>
      </c>
      <c r="N321" s="103"/>
      <c r="O321" s="103" t="s">
        <v>946</v>
      </c>
      <c r="P321" s="137">
        <f t="shared" si="27"/>
        <v>0</v>
      </c>
    </row>
    <row r="322" spans="1:16" s="8" customFormat="1" ht="15.75" x14ac:dyDescent="0.25">
      <c r="A322" s="106" t="s">
        <v>941</v>
      </c>
      <c r="B322" s="102"/>
      <c r="C322" s="25" t="s">
        <v>940</v>
      </c>
      <c r="D322" s="25" t="s">
        <v>1122</v>
      </c>
      <c r="E322" s="162"/>
      <c r="F322" s="134"/>
      <c r="G322" s="50"/>
      <c r="H322" s="103"/>
      <c r="I322" s="144"/>
      <c r="J322" s="104"/>
      <c r="K322" s="103"/>
      <c r="L322" s="103">
        <v>1</v>
      </c>
      <c r="M322" s="141">
        <f t="shared" si="29"/>
        <v>-1</v>
      </c>
      <c r="N322" s="103"/>
      <c r="O322" s="103" t="s">
        <v>946</v>
      </c>
      <c r="P322" s="137">
        <f t="shared" si="27"/>
        <v>0</v>
      </c>
    </row>
    <row r="323" spans="1:16" s="193" customFormat="1" ht="15.75" x14ac:dyDescent="0.25">
      <c r="A323" s="181" t="s">
        <v>948</v>
      </c>
      <c r="B323" s="194">
        <v>45127</v>
      </c>
      <c r="C323" s="183" t="s">
        <v>1285</v>
      </c>
      <c r="D323" s="183" t="s">
        <v>1122</v>
      </c>
      <c r="E323" s="184">
        <v>226</v>
      </c>
      <c r="F323" s="185">
        <v>74.290000000000006</v>
      </c>
      <c r="G323" s="186"/>
      <c r="H323" s="194">
        <v>45127</v>
      </c>
      <c r="I323" s="187">
        <v>600</v>
      </c>
      <c r="J323" s="189">
        <v>74.290000000000006</v>
      </c>
      <c r="K323" s="189">
        <f>+J323*I323</f>
        <v>44574.000000000007</v>
      </c>
      <c r="L323" s="190"/>
      <c r="M323" s="190">
        <f t="shared" si="29"/>
        <v>826</v>
      </c>
      <c r="N323" s="190"/>
      <c r="O323" s="190" t="s">
        <v>946</v>
      </c>
      <c r="P323" s="189">
        <f t="shared" si="27"/>
        <v>61363.540000000008</v>
      </c>
    </row>
    <row r="324" spans="1:16" s="8" customFormat="1" ht="15.75" x14ac:dyDescent="0.25">
      <c r="A324" s="106" t="s">
        <v>953</v>
      </c>
      <c r="B324" s="102"/>
      <c r="C324" s="25" t="s">
        <v>949</v>
      </c>
      <c r="D324" s="25" t="s">
        <v>1122</v>
      </c>
      <c r="E324" s="162"/>
      <c r="F324" s="134"/>
      <c r="G324" s="50"/>
      <c r="H324" s="103"/>
      <c r="I324" s="144"/>
      <c r="J324" s="104"/>
      <c r="K324" s="104">
        <f t="shared" ref="K324:K325" si="30">+J324*I324</f>
        <v>0</v>
      </c>
      <c r="L324" s="103">
        <v>1</v>
      </c>
      <c r="M324" s="141">
        <f t="shared" si="29"/>
        <v>-1</v>
      </c>
      <c r="N324" s="103"/>
      <c r="O324" s="103" t="s">
        <v>946</v>
      </c>
      <c r="P324" s="137">
        <f t="shared" si="27"/>
        <v>0</v>
      </c>
    </row>
    <row r="325" spans="1:16" s="92" customFormat="1" x14ac:dyDescent="0.3">
      <c r="A325" s="106" t="s">
        <v>954</v>
      </c>
      <c r="B325" s="102"/>
      <c r="C325" s="25" t="s">
        <v>952</v>
      </c>
      <c r="D325" s="25" t="s">
        <v>1122</v>
      </c>
      <c r="E325" s="162"/>
      <c r="F325" s="134"/>
      <c r="G325" s="50"/>
      <c r="H325" s="103"/>
      <c r="I325" s="144">
        <v>130</v>
      </c>
      <c r="J325" s="104"/>
      <c r="K325" s="104">
        <f t="shared" si="30"/>
        <v>0</v>
      </c>
      <c r="L325" s="103">
        <v>9</v>
      </c>
      <c r="M325" s="151">
        <f t="shared" si="29"/>
        <v>121</v>
      </c>
      <c r="N325" s="103"/>
      <c r="O325" s="103" t="s">
        <v>945</v>
      </c>
      <c r="P325" s="137">
        <f t="shared" si="27"/>
        <v>0</v>
      </c>
    </row>
    <row r="326" spans="1:16" s="92" customFormat="1" x14ac:dyDescent="0.3">
      <c r="A326" s="106" t="s">
        <v>957</v>
      </c>
      <c r="B326" s="102">
        <v>45019</v>
      </c>
      <c r="C326" s="25" t="s">
        <v>958</v>
      </c>
      <c r="D326" s="25" t="s">
        <v>1122</v>
      </c>
      <c r="E326" s="162"/>
      <c r="F326" s="134">
        <v>41.3</v>
      </c>
      <c r="G326" s="50"/>
      <c r="H326" s="107">
        <v>45019</v>
      </c>
      <c r="I326" s="144">
        <f>120+102</f>
        <v>222</v>
      </c>
      <c r="J326" s="104">
        <v>41.3</v>
      </c>
      <c r="K326" s="104">
        <f>+J326*I326</f>
        <v>9168.5999999999985</v>
      </c>
      <c r="L326" s="103">
        <f>1+1+2+2+1+1+4</f>
        <v>12</v>
      </c>
      <c r="M326" s="151">
        <f t="shared" si="29"/>
        <v>210</v>
      </c>
      <c r="N326" s="103"/>
      <c r="O326" s="103" t="s">
        <v>945</v>
      </c>
      <c r="P326" s="137">
        <f t="shared" si="27"/>
        <v>8673</v>
      </c>
    </row>
    <row r="327" spans="1:16" s="105" customFormat="1" ht="15.75" x14ac:dyDescent="0.25">
      <c r="A327" s="106" t="s">
        <v>972</v>
      </c>
      <c r="B327" s="129">
        <v>44852</v>
      </c>
      <c r="C327" s="25" t="s">
        <v>1223</v>
      </c>
      <c r="D327" s="25" t="s">
        <v>1122</v>
      </c>
      <c r="E327" s="162"/>
      <c r="F327" s="134">
        <v>36</v>
      </c>
      <c r="G327" s="50"/>
      <c r="H327" s="107">
        <v>44852</v>
      </c>
      <c r="I327" s="144">
        <v>20</v>
      </c>
      <c r="J327" s="104">
        <v>19.329999999999998</v>
      </c>
      <c r="K327" s="108">
        <f>+I327*J327</f>
        <v>386.59999999999997</v>
      </c>
      <c r="L327" s="103">
        <f>1+1+2+2+5</f>
        <v>11</v>
      </c>
      <c r="M327" s="151">
        <f t="shared" si="29"/>
        <v>9</v>
      </c>
      <c r="N327" s="103" t="s">
        <v>1037</v>
      </c>
      <c r="O327" s="103" t="s">
        <v>947</v>
      </c>
      <c r="P327" s="137">
        <f t="shared" si="27"/>
        <v>324</v>
      </c>
    </row>
    <row r="328" spans="1:16" s="105" customFormat="1" ht="15.75" x14ac:dyDescent="0.25">
      <c r="A328" s="106" t="s">
        <v>973</v>
      </c>
      <c r="B328" s="129">
        <v>44852</v>
      </c>
      <c r="C328" s="25" t="s">
        <v>1036</v>
      </c>
      <c r="D328" s="25" t="s">
        <v>1122</v>
      </c>
      <c r="E328" s="162">
        <v>6</v>
      </c>
      <c r="F328" s="134">
        <v>145.80000000000001</v>
      </c>
      <c r="G328" s="50"/>
      <c r="H328" s="107">
        <v>44852</v>
      </c>
      <c r="I328" s="144">
        <v>10</v>
      </c>
      <c r="J328" s="104">
        <v>145.80000000000001</v>
      </c>
      <c r="K328" s="108">
        <f>+I328*J328</f>
        <v>1458</v>
      </c>
      <c r="L328" s="103">
        <v>7</v>
      </c>
      <c r="M328" s="151">
        <f t="shared" si="29"/>
        <v>9</v>
      </c>
      <c r="N328" s="103" t="s">
        <v>1037</v>
      </c>
      <c r="O328" s="103" t="s">
        <v>947</v>
      </c>
      <c r="P328" s="137">
        <f t="shared" si="27"/>
        <v>1312.2</v>
      </c>
    </row>
    <row r="329" spans="1:16" s="105" customFormat="1" ht="15.75" x14ac:dyDescent="0.25">
      <c r="A329" s="106" t="s">
        <v>974</v>
      </c>
      <c r="B329" s="129">
        <v>45042</v>
      </c>
      <c r="C329" s="25" t="s">
        <v>1040</v>
      </c>
      <c r="D329" s="25" t="s">
        <v>1122</v>
      </c>
      <c r="E329" s="162"/>
      <c r="F329" s="134">
        <v>97.59</v>
      </c>
      <c r="G329" s="50"/>
      <c r="H329" s="107">
        <v>45042</v>
      </c>
      <c r="I329" s="144">
        <v>10</v>
      </c>
      <c r="J329" s="104">
        <v>116.29</v>
      </c>
      <c r="K329" s="108">
        <f>+I329*J329</f>
        <v>1162.9000000000001</v>
      </c>
      <c r="L329" s="103">
        <f>3+2</f>
        <v>5</v>
      </c>
      <c r="M329" s="151">
        <f t="shared" si="29"/>
        <v>5</v>
      </c>
      <c r="N329" s="103" t="s">
        <v>1037</v>
      </c>
      <c r="O329" s="103" t="s">
        <v>947</v>
      </c>
      <c r="P329" s="137">
        <f t="shared" si="27"/>
        <v>487.95000000000005</v>
      </c>
    </row>
    <row r="330" spans="1:16" s="92" customFormat="1" x14ac:dyDescent="0.3">
      <c r="A330" s="106" t="s">
        <v>975</v>
      </c>
      <c r="B330" s="102"/>
      <c r="C330" s="25" t="s">
        <v>960</v>
      </c>
      <c r="D330" s="25" t="s">
        <v>1122</v>
      </c>
      <c r="E330" s="162"/>
      <c r="F330" s="134"/>
      <c r="G330" s="50"/>
      <c r="H330" s="103"/>
      <c r="I330" s="144"/>
      <c r="J330" s="104"/>
      <c r="K330" s="103"/>
      <c r="L330" s="103">
        <v>2</v>
      </c>
      <c r="M330" s="141">
        <f t="shared" si="29"/>
        <v>-2</v>
      </c>
      <c r="N330" s="103"/>
      <c r="O330" s="103" t="s">
        <v>946</v>
      </c>
      <c r="P330" s="137">
        <f t="shared" si="27"/>
        <v>0</v>
      </c>
    </row>
    <row r="331" spans="1:16" s="92" customFormat="1" ht="32.25" x14ac:dyDescent="0.3">
      <c r="A331" s="106" t="s">
        <v>976</v>
      </c>
      <c r="B331" s="129">
        <v>44851</v>
      </c>
      <c r="C331" s="25" t="s">
        <v>961</v>
      </c>
      <c r="D331" s="25" t="s">
        <v>1122</v>
      </c>
      <c r="E331" s="162"/>
      <c r="F331" s="134">
        <v>672.78</v>
      </c>
      <c r="G331" s="50"/>
      <c r="H331" s="107">
        <v>44851</v>
      </c>
      <c r="I331" s="144">
        <v>25</v>
      </c>
      <c r="J331" s="104">
        <v>672.78</v>
      </c>
      <c r="K331" s="108">
        <f>+I331*J331</f>
        <v>16819.5</v>
      </c>
      <c r="L331" s="103">
        <v>3</v>
      </c>
      <c r="M331" s="151">
        <f t="shared" si="29"/>
        <v>22</v>
      </c>
      <c r="N331" s="121" t="s">
        <v>1006</v>
      </c>
      <c r="O331" s="103" t="s">
        <v>946</v>
      </c>
      <c r="P331" s="137">
        <f>+F331*M331</f>
        <v>14801.16</v>
      </c>
    </row>
    <row r="332" spans="1:16" s="92" customFormat="1" x14ac:dyDescent="0.3">
      <c r="A332" s="106" t="s">
        <v>977</v>
      </c>
      <c r="B332" s="129">
        <v>45111</v>
      </c>
      <c r="C332" s="25" t="s">
        <v>962</v>
      </c>
      <c r="D332" s="25" t="s">
        <v>1122</v>
      </c>
      <c r="E332" s="162">
        <v>11</v>
      </c>
      <c r="F332" s="134">
        <f>+J332</f>
        <v>2360</v>
      </c>
      <c r="G332" s="50"/>
      <c r="H332" s="107">
        <v>45111</v>
      </c>
      <c r="I332" s="144">
        <v>12</v>
      </c>
      <c r="J332" s="104">
        <v>2360</v>
      </c>
      <c r="K332" s="108">
        <f>+I332*J332</f>
        <v>28320</v>
      </c>
      <c r="L332" s="103">
        <v>0</v>
      </c>
      <c r="M332" s="141">
        <f t="shared" si="29"/>
        <v>23</v>
      </c>
      <c r="N332" s="103"/>
      <c r="O332" s="103" t="s">
        <v>946</v>
      </c>
      <c r="P332" s="137">
        <f t="shared" si="27"/>
        <v>54280</v>
      </c>
    </row>
    <row r="333" spans="1:16" s="92" customFormat="1" x14ac:dyDescent="0.3">
      <c r="A333" s="106" t="s">
        <v>978</v>
      </c>
      <c r="B333" s="129">
        <v>44852</v>
      </c>
      <c r="C333" s="25" t="s">
        <v>963</v>
      </c>
      <c r="D333" s="25" t="s">
        <v>1122</v>
      </c>
      <c r="E333" s="162"/>
      <c r="F333" s="134">
        <f t="shared" ref="F333:F341" si="31">+J333</f>
        <v>4967.8</v>
      </c>
      <c r="G333" s="50"/>
      <c r="H333" s="107">
        <v>44852</v>
      </c>
      <c r="I333" s="144">
        <v>15</v>
      </c>
      <c r="J333" s="104">
        <f>4210+757.8</f>
        <v>4967.8</v>
      </c>
      <c r="K333" s="108">
        <f>+I333*J333</f>
        <v>74517</v>
      </c>
      <c r="L333" s="103">
        <v>1</v>
      </c>
      <c r="M333" s="141">
        <f t="shared" si="29"/>
        <v>14</v>
      </c>
      <c r="N333" s="103"/>
      <c r="O333" s="103" t="s">
        <v>946</v>
      </c>
      <c r="P333" s="137">
        <f t="shared" si="27"/>
        <v>69549.2</v>
      </c>
    </row>
    <row r="334" spans="1:16" s="92" customFormat="1" x14ac:dyDescent="0.3">
      <c r="A334" s="106" t="s">
        <v>979</v>
      </c>
      <c r="B334" s="129">
        <v>44852</v>
      </c>
      <c r="C334" s="25" t="s">
        <v>964</v>
      </c>
      <c r="D334" s="25" t="s">
        <v>1122</v>
      </c>
      <c r="E334" s="162"/>
      <c r="F334" s="134">
        <f t="shared" si="31"/>
        <v>3776</v>
      </c>
      <c r="G334" s="50"/>
      <c r="H334" s="107">
        <v>44852</v>
      </c>
      <c r="I334" s="144">
        <v>16</v>
      </c>
      <c r="J334" s="104">
        <f>3200+576</f>
        <v>3776</v>
      </c>
      <c r="K334" s="108">
        <f>+I334*J334</f>
        <v>60416</v>
      </c>
      <c r="L334" s="103"/>
      <c r="M334" s="141">
        <f t="shared" si="29"/>
        <v>16</v>
      </c>
      <c r="N334" s="103"/>
      <c r="O334" s="103" t="s">
        <v>946</v>
      </c>
      <c r="P334" s="137">
        <f t="shared" si="27"/>
        <v>60416</v>
      </c>
    </row>
    <row r="335" spans="1:16" s="92" customFormat="1" x14ac:dyDescent="0.3">
      <c r="A335" s="106" t="s">
        <v>980</v>
      </c>
      <c r="B335" s="129">
        <v>44852</v>
      </c>
      <c r="C335" s="25" t="s">
        <v>965</v>
      </c>
      <c r="D335" s="25" t="s">
        <v>1122</v>
      </c>
      <c r="E335" s="162"/>
      <c r="F335" s="134">
        <f t="shared" si="31"/>
        <v>2254.98</v>
      </c>
      <c r="G335" s="50"/>
      <c r="H335" s="107">
        <v>44852</v>
      </c>
      <c r="I335" s="144">
        <v>5</v>
      </c>
      <c r="J335" s="104">
        <f>1911+343.98</f>
        <v>2254.98</v>
      </c>
      <c r="K335" s="108">
        <f t="shared" ref="K335:K345" si="32">+I335*J335</f>
        <v>11274.9</v>
      </c>
      <c r="L335" s="103"/>
      <c r="M335" s="141">
        <f t="shared" si="29"/>
        <v>5</v>
      </c>
      <c r="N335" s="103"/>
      <c r="O335" s="103" t="s">
        <v>946</v>
      </c>
      <c r="P335" s="137">
        <f t="shared" si="27"/>
        <v>11274.9</v>
      </c>
    </row>
    <row r="336" spans="1:16" s="92" customFormat="1" x14ac:dyDescent="0.3">
      <c r="A336" s="106" t="s">
        <v>981</v>
      </c>
      <c r="B336" s="129">
        <v>44852</v>
      </c>
      <c r="C336" s="25" t="s">
        <v>966</v>
      </c>
      <c r="D336" s="25" t="s">
        <v>1122</v>
      </c>
      <c r="E336" s="162"/>
      <c r="F336" s="134">
        <f t="shared" si="31"/>
        <v>3776</v>
      </c>
      <c r="G336" s="50"/>
      <c r="H336" s="107">
        <v>44852</v>
      </c>
      <c r="I336" s="144">
        <v>20</v>
      </c>
      <c r="J336" s="104">
        <f>3200+576</f>
        <v>3776</v>
      </c>
      <c r="K336" s="108">
        <f t="shared" si="32"/>
        <v>75520</v>
      </c>
      <c r="L336" s="103">
        <f>1+1</f>
        <v>2</v>
      </c>
      <c r="M336" s="141">
        <f t="shared" si="29"/>
        <v>18</v>
      </c>
      <c r="N336" s="103"/>
      <c r="O336" s="103" t="s">
        <v>946</v>
      </c>
      <c r="P336" s="137">
        <f t="shared" si="27"/>
        <v>67968</v>
      </c>
    </row>
    <row r="337" spans="1:16" s="92" customFormat="1" x14ac:dyDescent="0.3">
      <c r="A337" s="106" t="s">
        <v>982</v>
      </c>
      <c r="B337" s="129">
        <v>44852</v>
      </c>
      <c r="C337" s="25" t="s">
        <v>967</v>
      </c>
      <c r="D337" s="25" t="s">
        <v>1122</v>
      </c>
      <c r="E337" s="162"/>
      <c r="F337" s="134">
        <f t="shared" si="31"/>
        <v>5664</v>
      </c>
      <c r="G337" s="50"/>
      <c r="H337" s="107">
        <v>44852</v>
      </c>
      <c r="I337" s="144">
        <v>10</v>
      </c>
      <c r="J337" s="104">
        <f>4800+864</f>
        <v>5664</v>
      </c>
      <c r="K337" s="108">
        <f t="shared" si="32"/>
        <v>56640</v>
      </c>
      <c r="L337" s="103"/>
      <c r="M337" s="141">
        <f t="shared" si="29"/>
        <v>10</v>
      </c>
      <c r="N337" s="103"/>
      <c r="O337" s="103" t="s">
        <v>946</v>
      </c>
      <c r="P337" s="137">
        <f t="shared" si="27"/>
        <v>56640</v>
      </c>
    </row>
    <row r="338" spans="1:16" s="92" customFormat="1" x14ac:dyDescent="0.3">
      <c r="A338" s="106" t="s">
        <v>983</v>
      </c>
      <c r="B338" s="129">
        <v>44852</v>
      </c>
      <c r="C338" s="25" t="s">
        <v>968</v>
      </c>
      <c r="D338" s="25" t="s">
        <v>1122</v>
      </c>
      <c r="E338" s="162"/>
      <c r="F338" s="134">
        <f t="shared" si="31"/>
        <v>2419</v>
      </c>
      <c r="G338" s="50"/>
      <c r="H338" s="107">
        <v>44852</v>
      </c>
      <c r="I338" s="144">
        <v>35</v>
      </c>
      <c r="J338" s="104">
        <f>2050+369</f>
        <v>2419</v>
      </c>
      <c r="K338" s="108">
        <f t="shared" si="32"/>
        <v>84665</v>
      </c>
      <c r="L338" s="103">
        <v>3</v>
      </c>
      <c r="M338" s="141">
        <f t="shared" si="29"/>
        <v>32</v>
      </c>
      <c r="N338" s="103"/>
      <c r="O338" s="103" t="s">
        <v>946</v>
      </c>
      <c r="P338" s="137">
        <f t="shared" si="27"/>
        <v>77408</v>
      </c>
    </row>
    <row r="339" spans="1:16" s="92" customFormat="1" x14ac:dyDescent="0.3">
      <c r="A339" s="106" t="s">
        <v>984</v>
      </c>
      <c r="B339" s="129">
        <v>45111</v>
      </c>
      <c r="C339" s="25" t="s">
        <v>969</v>
      </c>
      <c r="D339" s="25" t="s">
        <v>1122</v>
      </c>
      <c r="E339" s="162">
        <v>5</v>
      </c>
      <c r="F339" s="134">
        <f>+J339</f>
        <v>5103.5</v>
      </c>
      <c r="G339" s="50"/>
      <c r="H339" s="107">
        <v>44852</v>
      </c>
      <c r="I339" s="144">
        <v>8</v>
      </c>
      <c r="J339" s="104">
        <v>5103.5</v>
      </c>
      <c r="K339" s="108">
        <f t="shared" si="32"/>
        <v>40828</v>
      </c>
      <c r="L339" s="103"/>
      <c r="M339" s="141">
        <f t="shared" si="29"/>
        <v>13</v>
      </c>
      <c r="N339" s="103"/>
      <c r="O339" s="103" t="s">
        <v>946</v>
      </c>
      <c r="P339" s="137">
        <f t="shared" si="27"/>
        <v>66345.5</v>
      </c>
    </row>
    <row r="340" spans="1:16" s="92" customFormat="1" x14ac:dyDescent="0.3">
      <c r="A340" s="106" t="s">
        <v>985</v>
      </c>
      <c r="B340" s="129">
        <v>44862</v>
      </c>
      <c r="C340" s="25" t="s">
        <v>994</v>
      </c>
      <c r="D340" s="25" t="s">
        <v>1122</v>
      </c>
      <c r="E340" s="162"/>
      <c r="F340" s="134">
        <f t="shared" si="31"/>
        <v>10325</v>
      </c>
      <c r="G340" s="50"/>
      <c r="H340" s="107">
        <v>44862</v>
      </c>
      <c r="I340" s="144">
        <v>40</v>
      </c>
      <c r="J340" s="104">
        <f>8750+1575</f>
        <v>10325</v>
      </c>
      <c r="K340" s="108">
        <f t="shared" si="32"/>
        <v>413000</v>
      </c>
      <c r="L340" s="103">
        <v>18</v>
      </c>
      <c r="M340" s="141">
        <f t="shared" si="29"/>
        <v>22</v>
      </c>
      <c r="N340" s="103"/>
      <c r="O340" s="103" t="s">
        <v>946</v>
      </c>
      <c r="P340" s="137">
        <f t="shared" si="27"/>
        <v>227150</v>
      </c>
    </row>
    <row r="341" spans="1:16" s="92" customFormat="1" x14ac:dyDescent="0.3">
      <c r="A341" s="106" t="s">
        <v>986</v>
      </c>
      <c r="B341" s="129">
        <v>44862</v>
      </c>
      <c r="C341" s="25" t="s">
        <v>995</v>
      </c>
      <c r="D341" s="25" t="s">
        <v>1122</v>
      </c>
      <c r="E341" s="162"/>
      <c r="F341" s="134">
        <f t="shared" si="31"/>
        <v>1546.98</v>
      </c>
      <c r="G341" s="50"/>
      <c r="H341" s="107">
        <v>44862</v>
      </c>
      <c r="I341" s="144">
        <v>4</v>
      </c>
      <c r="J341" s="104">
        <f>1311+235.98</f>
        <v>1546.98</v>
      </c>
      <c r="K341" s="108">
        <f t="shared" si="32"/>
        <v>6187.92</v>
      </c>
      <c r="L341" s="103"/>
      <c r="M341" s="141">
        <f t="shared" si="29"/>
        <v>4</v>
      </c>
      <c r="N341" s="103"/>
      <c r="O341" s="103" t="s">
        <v>946</v>
      </c>
      <c r="P341" s="137">
        <f t="shared" si="27"/>
        <v>6187.92</v>
      </c>
    </row>
    <row r="342" spans="1:16" s="92" customFormat="1" x14ac:dyDescent="0.3">
      <c r="A342" s="106" t="s">
        <v>987</v>
      </c>
      <c r="B342" s="164"/>
      <c r="C342" s="25" t="s">
        <v>295</v>
      </c>
      <c r="D342" s="25" t="s">
        <v>1122</v>
      </c>
      <c r="E342" s="162"/>
      <c r="F342" s="134"/>
      <c r="G342" s="50"/>
      <c r="H342" s="103"/>
      <c r="I342" s="144"/>
      <c r="J342" s="104"/>
      <c r="K342" s="108">
        <f t="shared" si="32"/>
        <v>0</v>
      </c>
      <c r="L342" s="103">
        <v>1</v>
      </c>
      <c r="M342" s="141">
        <f t="shared" si="29"/>
        <v>-1</v>
      </c>
      <c r="N342" s="103"/>
      <c r="O342" s="103" t="s">
        <v>946</v>
      </c>
      <c r="P342" s="137">
        <f t="shared" si="27"/>
        <v>0</v>
      </c>
    </row>
    <row r="343" spans="1:16" s="92" customFormat="1" x14ac:dyDescent="0.3">
      <c r="A343" s="106" t="s">
        <v>988</v>
      </c>
      <c r="B343" s="129">
        <v>45020</v>
      </c>
      <c r="C343" s="25" t="s">
        <v>970</v>
      </c>
      <c r="D343" s="25" t="s">
        <v>1122</v>
      </c>
      <c r="E343" s="162"/>
      <c r="F343" s="134">
        <v>4012</v>
      </c>
      <c r="G343" s="50"/>
      <c r="H343" s="107">
        <v>45020</v>
      </c>
      <c r="I343" s="144">
        <v>2</v>
      </c>
      <c r="J343" s="104">
        <v>4012</v>
      </c>
      <c r="K343" s="108">
        <f t="shared" si="32"/>
        <v>8024</v>
      </c>
      <c r="L343" s="103">
        <v>5</v>
      </c>
      <c r="M343" s="141">
        <f t="shared" si="29"/>
        <v>-3</v>
      </c>
      <c r="N343" s="103"/>
      <c r="O343" s="103" t="s">
        <v>946</v>
      </c>
      <c r="P343" s="137">
        <f t="shared" si="27"/>
        <v>-12036</v>
      </c>
    </row>
    <row r="344" spans="1:16" s="92" customFormat="1" x14ac:dyDescent="0.3">
      <c r="A344" s="106" t="s">
        <v>989</v>
      </c>
      <c r="B344" s="129">
        <v>44903</v>
      </c>
      <c r="C344" s="25" t="s">
        <v>971</v>
      </c>
      <c r="D344" s="25" t="s">
        <v>1122</v>
      </c>
      <c r="E344" s="162"/>
      <c r="F344" s="134">
        <v>118.15</v>
      </c>
      <c r="G344" s="50"/>
      <c r="H344" s="107">
        <v>44903</v>
      </c>
      <c r="I344" s="144">
        <f>2*12</f>
        <v>24</v>
      </c>
      <c r="J344" s="104">
        <v>118.15</v>
      </c>
      <c r="K344" s="108">
        <f t="shared" si="32"/>
        <v>2835.6000000000004</v>
      </c>
      <c r="L344" s="103">
        <f>3+3</f>
        <v>6</v>
      </c>
      <c r="M344" s="141">
        <f t="shared" si="29"/>
        <v>18</v>
      </c>
      <c r="N344" s="103"/>
      <c r="O344" s="103" t="s">
        <v>946</v>
      </c>
      <c r="P344" s="137">
        <f t="shared" si="27"/>
        <v>2126.7000000000003</v>
      </c>
    </row>
    <row r="345" spans="1:16" s="92" customFormat="1" x14ac:dyDescent="0.3">
      <c r="A345" s="106" t="s">
        <v>990</v>
      </c>
      <c r="B345" s="129">
        <v>44851</v>
      </c>
      <c r="C345" s="25" t="s">
        <v>996</v>
      </c>
      <c r="D345" s="25" t="s">
        <v>1122</v>
      </c>
      <c r="E345" s="162"/>
      <c r="F345" s="134">
        <v>240.72</v>
      </c>
      <c r="G345" s="50"/>
      <c r="H345" s="107">
        <v>44851</v>
      </c>
      <c r="I345" s="144">
        <v>30</v>
      </c>
      <c r="J345" s="104">
        <v>240.72</v>
      </c>
      <c r="K345" s="108">
        <f t="shared" si="32"/>
        <v>7221.6</v>
      </c>
      <c r="L345" s="103">
        <v>1</v>
      </c>
      <c r="M345" s="141">
        <f t="shared" si="29"/>
        <v>29</v>
      </c>
      <c r="N345" s="121"/>
      <c r="O345" s="103"/>
      <c r="P345" s="137">
        <f t="shared" ref="P345:P408" si="33">+F345*M345</f>
        <v>6980.88</v>
      </c>
    </row>
    <row r="346" spans="1:16" s="92" customFormat="1" x14ac:dyDescent="0.3">
      <c r="A346" s="106" t="s">
        <v>991</v>
      </c>
      <c r="B346" s="129">
        <v>44851</v>
      </c>
      <c r="C346" s="25" t="s">
        <v>997</v>
      </c>
      <c r="D346" s="25" t="s">
        <v>1122</v>
      </c>
      <c r="E346" s="162"/>
      <c r="F346" s="134">
        <v>40.119999999999997</v>
      </c>
      <c r="G346" s="50"/>
      <c r="H346" s="107">
        <v>44851</v>
      </c>
      <c r="I346" s="144">
        <v>10</v>
      </c>
      <c r="J346" s="104">
        <v>40.119999999999997</v>
      </c>
      <c r="K346" s="108">
        <f>+I346*J346</f>
        <v>401.2</v>
      </c>
      <c r="L346" s="103"/>
      <c r="M346" s="141">
        <f t="shared" si="29"/>
        <v>10</v>
      </c>
      <c r="N346" s="121"/>
      <c r="O346" s="103"/>
      <c r="P346" s="137">
        <f t="shared" si="33"/>
        <v>401.2</v>
      </c>
    </row>
    <row r="347" spans="1:16" s="92" customFormat="1" x14ac:dyDescent="0.3">
      <c r="A347" s="106" t="s">
        <v>992</v>
      </c>
      <c r="B347" s="129">
        <v>45111</v>
      </c>
      <c r="C347" s="25" t="s">
        <v>998</v>
      </c>
      <c r="D347" s="25" t="s">
        <v>1122</v>
      </c>
      <c r="E347" s="162">
        <v>25</v>
      </c>
      <c r="F347" s="134">
        <v>141.6</v>
      </c>
      <c r="G347" s="50"/>
      <c r="H347" s="107">
        <v>45111</v>
      </c>
      <c r="I347" s="144">
        <v>10</v>
      </c>
      <c r="J347" s="104">
        <v>165.2</v>
      </c>
      <c r="K347" s="108">
        <f t="shared" ref="K347:K365" si="34">+I347*J347</f>
        <v>1652</v>
      </c>
      <c r="L347" s="103"/>
      <c r="M347" s="141">
        <f t="shared" si="29"/>
        <v>35</v>
      </c>
      <c r="N347" s="121"/>
      <c r="O347" s="103"/>
      <c r="P347" s="137">
        <f t="shared" si="33"/>
        <v>4956</v>
      </c>
    </row>
    <row r="348" spans="1:16" s="92" customFormat="1" x14ac:dyDescent="0.3">
      <c r="A348" s="106" t="s">
        <v>993</v>
      </c>
      <c r="B348" s="129">
        <v>44851</v>
      </c>
      <c r="C348" s="25" t="s">
        <v>999</v>
      </c>
      <c r="D348" s="25" t="s">
        <v>1122</v>
      </c>
      <c r="E348" s="162"/>
      <c r="F348" s="134">
        <v>1443.73</v>
      </c>
      <c r="G348" s="50"/>
      <c r="H348" s="107">
        <v>44851</v>
      </c>
      <c r="I348" s="144">
        <v>4</v>
      </c>
      <c r="J348" s="104">
        <v>1443.73</v>
      </c>
      <c r="K348" s="104">
        <f t="shared" si="34"/>
        <v>5774.92</v>
      </c>
      <c r="L348" s="103"/>
      <c r="M348" s="141">
        <f t="shared" si="29"/>
        <v>4</v>
      </c>
      <c r="N348" s="121"/>
      <c r="O348" s="103"/>
      <c r="P348" s="137">
        <f t="shared" si="33"/>
        <v>5774.92</v>
      </c>
    </row>
    <row r="349" spans="1:16" s="92" customFormat="1" x14ac:dyDescent="0.3">
      <c r="A349" s="106" t="s">
        <v>1015</v>
      </c>
      <c r="B349" s="129">
        <v>44851</v>
      </c>
      <c r="C349" s="25" t="s">
        <v>1000</v>
      </c>
      <c r="D349" s="25" t="s">
        <v>1122</v>
      </c>
      <c r="E349" s="162"/>
      <c r="F349" s="134">
        <v>1177.05</v>
      </c>
      <c r="G349" s="50"/>
      <c r="H349" s="107">
        <v>44851</v>
      </c>
      <c r="I349" s="144">
        <v>10</v>
      </c>
      <c r="J349" s="104">
        <v>1177.05</v>
      </c>
      <c r="K349" s="104">
        <f t="shared" si="34"/>
        <v>11770.5</v>
      </c>
      <c r="L349" s="103">
        <v>1</v>
      </c>
      <c r="M349" s="151">
        <f t="shared" si="29"/>
        <v>9</v>
      </c>
      <c r="N349" s="121"/>
      <c r="O349" s="103"/>
      <c r="P349" s="137">
        <f t="shared" si="33"/>
        <v>10593.449999999999</v>
      </c>
    </row>
    <row r="350" spans="1:16" s="92" customFormat="1" x14ac:dyDescent="0.3">
      <c r="A350" s="106" t="s">
        <v>1016</v>
      </c>
      <c r="B350" s="129">
        <v>44851</v>
      </c>
      <c r="C350" s="25" t="s">
        <v>1001</v>
      </c>
      <c r="D350" s="25" t="s">
        <v>1122</v>
      </c>
      <c r="E350" s="162"/>
      <c r="F350" s="134">
        <v>1330.45</v>
      </c>
      <c r="G350" s="50"/>
      <c r="H350" s="107">
        <v>44851</v>
      </c>
      <c r="I350" s="144">
        <v>4</v>
      </c>
      <c r="J350" s="104">
        <v>1330.45</v>
      </c>
      <c r="K350" s="104">
        <f t="shared" si="34"/>
        <v>5321.8</v>
      </c>
      <c r="L350" s="103"/>
      <c r="M350" s="141">
        <f t="shared" si="29"/>
        <v>4</v>
      </c>
      <c r="N350" s="121"/>
      <c r="O350" s="103"/>
      <c r="P350" s="137">
        <f t="shared" si="33"/>
        <v>5321.8</v>
      </c>
    </row>
    <row r="351" spans="1:16" s="92" customFormat="1" x14ac:dyDescent="0.3">
      <c r="A351" s="106" t="s">
        <v>1017</v>
      </c>
      <c r="B351" s="129">
        <v>44851</v>
      </c>
      <c r="C351" s="25" t="s">
        <v>1002</v>
      </c>
      <c r="D351" s="25" t="s">
        <v>1122</v>
      </c>
      <c r="E351" s="162"/>
      <c r="F351" s="134">
        <v>676.14</v>
      </c>
      <c r="G351" s="50"/>
      <c r="H351" s="107">
        <v>44851</v>
      </c>
      <c r="I351" s="144">
        <v>4</v>
      </c>
      <c r="J351" s="104">
        <v>676.14</v>
      </c>
      <c r="K351" s="104">
        <f t="shared" si="34"/>
        <v>2704.56</v>
      </c>
      <c r="L351" s="103"/>
      <c r="M351" s="141">
        <f t="shared" si="29"/>
        <v>4</v>
      </c>
      <c r="N351" s="121"/>
      <c r="O351" s="103"/>
      <c r="P351" s="137">
        <f t="shared" si="33"/>
        <v>2704.56</v>
      </c>
    </row>
    <row r="352" spans="1:16" s="92" customFormat="1" ht="32.25" x14ac:dyDescent="0.3">
      <c r="A352" s="106" t="s">
        <v>1018</v>
      </c>
      <c r="B352" s="129">
        <v>44851</v>
      </c>
      <c r="C352" s="25" t="s">
        <v>1003</v>
      </c>
      <c r="D352" s="25" t="s">
        <v>1122</v>
      </c>
      <c r="E352" s="162"/>
      <c r="F352" s="134">
        <v>693.84</v>
      </c>
      <c r="G352" s="50"/>
      <c r="H352" s="107">
        <v>44851</v>
      </c>
      <c r="I352" s="144">
        <v>4</v>
      </c>
      <c r="J352" s="104">
        <v>693.84</v>
      </c>
      <c r="K352" s="104">
        <f t="shared" si="34"/>
        <v>2775.36</v>
      </c>
      <c r="L352" s="103"/>
      <c r="M352" s="141">
        <f t="shared" si="29"/>
        <v>4</v>
      </c>
      <c r="N352" s="121" t="s">
        <v>1006</v>
      </c>
      <c r="O352" s="103" t="s">
        <v>946</v>
      </c>
      <c r="P352" s="137">
        <f t="shared" si="33"/>
        <v>2775.36</v>
      </c>
    </row>
    <row r="353" spans="1:16" customFormat="1" ht="31.5" x14ac:dyDescent="0.25">
      <c r="A353" s="106" t="s">
        <v>1019</v>
      </c>
      <c r="B353" s="129">
        <v>44851</v>
      </c>
      <c r="C353" s="25" t="s">
        <v>1004</v>
      </c>
      <c r="D353" s="25" t="s">
        <v>1122</v>
      </c>
      <c r="E353" s="162"/>
      <c r="F353" s="134">
        <v>1632.53</v>
      </c>
      <c r="G353" s="50"/>
      <c r="H353" s="107">
        <v>44851</v>
      </c>
      <c r="I353" s="144">
        <v>4</v>
      </c>
      <c r="J353" s="104">
        <v>1632.53</v>
      </c>
      <c r="K353" s="104">
        <f t="shared" si="34"/>
        <v>6530.12</v>
      </c>
      <c r="L353" s="117"/>
      <c r="M353" s="141">
        <f t="shared" si="29"/>
        <v>4</v>
      </c>
      <c r="N353" s="121" t="s">
        <v>1006</v>
      </c>
      <c r="O353" s="117" t="s">
        <v>946</v>
      </c>
      <c r="P353" s="137">
        <f t="shared" si="33"/>
        <v>6530.12</v>
      </c>
    </row>
    <row r="354" spans="1:16" s="2" customFormat="1" ht="31.5" x14ac:dyDescent="0.25">
      <c r="A354" s="106" t="s">
        <v>1020</v>
      </c>
      <c r="B354" s="129">
        <v>44851</v>
      </c>
      <c r="C354" s="25" t="s">
        <v>1005</v>
      </c>
      <c r="D354" s="25" t="s">
        <v>1122</v>
      </c>
      <c r="E354" s="162"/>
      <c r="F354" s="134">
        <v>3268.6</v>
      </c>
      <c r="G354" s="50"/>
      <c r="H354" s="107">
        <v>44851</v>
      </c>
      <c r="I354" s="144">
        <v>1</v>
      </c>
      <c r="J354" s="104">
        <v>3268.6</v>
      </c>
      <c r="K354" s="104">
        <f t="shared" si="34"/>
        <v>3268.6</v>
      </c>
      <c r="L354" s="117"/>
      <c r="M354" s="141">
        <f t="shared" si="29"/>
        <v>1</v>
      </c>
      <c r="N354" s="121" t="s">
        <v>1006</v>
      </c>
      <c r="O354" s="117" t="s">
        <v>946</v>
      </c>
      <c r="P354" s="137">
        <f t="shared" si="33"/>
        <v>3268.6</v>
      </c>
    </row>
    <row r="355" spans="1:16" ht="32.25" x14ac:dyDescent="0.3">
      <c r="A355" s="106" t="s">
        <v>1021</v>
      </c>
      <c r="B355" s="129">
        <v>44851</v>
      </c>
      <c r="C355" s="25" t="s">
        <v>1007</v>
      </c>
      <c r="D355" s="25" t="s">
        <v>1122</v>
      </c>
      <c r="E355" s="162"/>
      <c r="F355" s="134">
        <v>3908.16</v>
      </c>
      <c r="G355" s="50"/>
      <c r="H355" s="107">
        <v>44851</v>
      </c>
      <c r="I355" s="144">
        <v>15</v>
      </c>
      <c r="J355" s="104">
        <v>3908.16</v>
      </c>
      <c r="K355" s="104">
        <f t="shared" si="34"/>
        <v>58622.399999999994</v>
      </c>
      <c r="L355" s="117"/>
      <c r="M355" s="141">
        <f t="shared" si="29"/>
        <v>15</v>
      </c>
      <c r="N355" s="121" t="s">
        <v>1006</v>
      </c>
      <c r="O355" s="117" t="s">
        <v>946</v>
      </c>
      <c r="P355" s="137">
        <f t="shared" si="33"/>
        <v>58622.399999999994</v>
      </c>
    </row>
    <row r="356" spans="1:16" ht="23.25" customHeight="1" x14ac:dyDescent="0.3">
      <c r="A356" s="106" t="s">
        <v>1022</v>
      </c>
      <c r="B356" s="129">
        <v>45111</v>
      </c>
      <c r="C356" s="25" t="s">
        <v>1008</v>
      </c>
      <c r="D356" s="25" t="s">
        <v>1122</v>
      </c>
      <c r="E356" s="162">
        <v>0</v>
      </c>
      <c r="F356" s="134">
        <v>1711</v>
      </c>
      <c r="G356" s="50"/>
      <c r="H356" s="107">
        <v>45111</v>
      </c>
      <c r="I356" s="144">
        <v>20</v>
      </c>
      <c r="J356" s="104">
        <v>4973.7</v>
      </c>
      <c r="K356" s="104">
        <f t="shared" si="34"/>
        <v>99474</v>
      </c>
      <c r="L356" s="117">
        <v>0</v>
      </c>
      <c r="M356" s="141">
        <f t="shared" si="29"/>
        <v>20</v>
      </c>
      <c r="N356" s="121"/>
      <c r="O356" s="117"/>
      <c r="P356" s="137">
        <f t="shared" si="33"/>
        <v>34220</v>
      </c>
    </row>
    <row r="357" spans="1:16" ht="32.25" x14ac:dyDescent="0.3">
      <c r="A357" s="106" t="s">
        <v>1023</v>
      </c>
      <c r="B357" s="129">
        <v>45111</v>
      </c>
      <c r="C357" s="25" t="s">
        <v>1009</v>
      </c>
      <c r="D357" s="25" t="s">
        <v>1122</v>
      </c>
      <c r="E357" s="162">
        <v>5</v>
      </c>
      <c r="F357" s="134">
        <v>1165.8399999999999</v>
      </c>
      <c r="G357" s="50"/>
      <c r="H357" s="107">
        <v>45111</v>
      </c>
      <c r="I357" s="144">
        <v>20</v>
      </c>
      <c r="J357" s="104">
        <v>2242</v>
      </c>
      <c r="K357" s="104">
        <f t="shared" si="34"/>
        <v>44840</v>
      </c>
      <c r="L357" s="117"/>
      <c r="M357" s="141">
        <f t="shared" si="29"/>
        <v>25</v>
      </c>
      <c r="N357" s="121" t="s">
        <v>1006</v>
      </c>
      <c r="O357" s="117" t="s">
        <v>946</v>
      </c>
      <c r="P357" s="137">
        <f t="shared" si="33"/>
        <v>29145.999999999996</v>
      </c>
    </row>
    <row r="358" spans="1:16" ht="23.25" customHeight="1" x14ac:dyDescent="0.3">
      <c r="A358" s="106" t="s">
        <v>1024</v>
      </c>
      <c r="B358" s="129">
        <v>44851</v>
      </c>
      <c r="C358" s="25" t="s">
        <v>1010</v>
      </c>
      <c r="D358" s="25" t="s">
        <v>1122</v>
      </c>
      <c r="E358" s="162"/>
      <c r="F358" s="134">
        <v>4399.04</v>
      </c>
      <c r="G358" s="50"/>
      <c r="H358" s="107">
        <v>44851</v>
      </c>
      <c r="I358" s="144">
        <v>5</v>
      </c>
      <c r="J358" s="104">
        <v>4399.04</v>
      </c>
      <c r="K358" s="104">
        <f t="shared" si="34"/>
        <v>21995.200000000001</v>
      </c>
      <c r="L358" s="117"/>
      <c r="M358" s="141">
        <f t="shared" si="29"/>
        <v>5</v>
      </c>
      <c r="N358" s="121" t="s">
        <v>1006</v>
      </c>
      <c r="O358" s="117" t="s">
        <v>946</v>
      </c>
      <c r="P358" s="137">
        <f t="shared" si="33"/>
        <v>21995.200000000001</v>
      </c>
    </row>
    <row r="359" spans="1:16" ht="32.25" x14ac:dyDescent="0.3">
      <c r="A359" s="106" t="s">
        <v>1025</v>
      </c>
      <c r="B359" s="129">
        <v>44851</v>
      </c>
      <c r="C359" s="25" t="s">
        <v>1011</v>
      </c>
      <c r="D359" s="25" t="s">
        <v>1122</v>
      </c>
      <c r="E359" s="162"/>
      <c r="F359" s="134">
        <v>4399.04</v>
      </c>
      <c r="G359" s="50"/>
      <c r="H359" s="107">
        <v>44851</v>
      </c>
      <c r="I359" s="144">
        <v>5</v>
      </c>
      <c r="J359" s="118">
        <v>4399.04</v>
      </c>
      <c r="K359" s="118">
        <f t="shared" si="34"/>
        <v>21995.200000000001</v>
      </c>
      <c r="L359" s="117"/>
      <c r="M359" s="141">
        <f t="shared" si="29"/>
        <v>5</v>
      </c>
      <c r="N359" s="121" t="s">
        <v>1006</v>
      </c>
      <c r="O359" s="117" t="s">
        <v>946</v>
      </c>
      <c r="P359" s="137">
        <f t="shared" si="33"/>
        <v>21995.200000000001</v>
      </c>
    </row>
    <row r="360" spans="1:16" ht="32.25" x14ac:dyDescent="0.3">
      <c r="A360" s="106" t="s">
        <v>1026</v>
      </c>
      <c r="B360" s="129">
        <v>44851</v>
      </c>
      <c r="C360" s="25" t="s">
        <v>1012</v>
      </c>
      <c r="D360" s="25" t="s">
        <v>1122</v>
      </c>
      <c r="E360" s="162"/>
      <c r="F360" s="134">
        <v>4399.04</v>
      </c>
      <c r="G360" s="50"/>
      <c r="H360" s="107">
        <v>44851</v>
      </c>
      <c r="I360" s="144">
        <v>5</v>
      </c>
      <c r="J360" s="118">
        <v>4399.04</v>
      </c>
      <c r="K360" s="118">
        <f t="shared" si="34"/>
        <v>21995.200000000001</v>
      </c>
      <c r="L360" s="117"/>
      <c r="M360" s="141">
        <f t="shared" si="29"/>
        <v>5</v>
      </c>
      <c r="N360" s="121" t="s">
        <v>1006</v>
      </c>
      <c r="O360" s="117" t="s">
        <v>946</v>
      </c>
      <c r="P360" s="137">
        <f t="shared" si="33"/>
        <v>21995.200000000001</v>
      </c>
    </row>
    <row r="361" spans="1:16" ht="32.25" x14ac:dyDescent="0.3">
      <c r="A361" s="106" t="s">
        <v>1027</v>
      </c>
      <c r="B361" s="129">
        <v>44851</v>
      </c>
      <c r="C361" s="25" t="s">
        <v>1013</v>
      </c>
      <c r="D361" s="25" t="s">
        <v>1122</v>
      </c>
      <c r="E361" s="162"/>
      <c r="F361" s="134">
        <v>1869.12</v>
      </c>
      <c r="G361" s="50"/>
      <c r="H361" s="107">
        <v>44851</v>
      </c>
      <c r="I361" s="144">
        <v>12</v>
      </c>
      <c r="J361" s="118">
        <v>1869.12</v>
      </c>
      <c r="K361" s="118">
        <f t="shared" si="34"/>
        <v>22429.439999999999</v>
      </c>
      <c r="L361" s="117"/>
      <c r="M361" s="141">
        <f t="shared" si="29"/>
        <v>12</v>
      </c>
      <c r="N361" s="121" t="s">
        <v>1006</v>
      </c>
      <c r="O361" s="117" t="s">
        <v>946</v>
      </c>
      <c r="P361" s="137">
        <f t="shared" si="33"/>
        <v>22429.439999999999</v>
      </c>
    </row>
    <row r="362" spans="1:16" ht="32.25" x14ac:dyDescent="0.3">
      <c r="A362" s="106" t="s">
        <v>1028</v>
      </c>
      <c r="B362" s="129">
        <v>44851</v>
      </c>
      <c r="C362" s="25" t="s">
        <v>1014</v>
      </c>
      <c r="D362" s="25" t="s">
        <v>1122</v>
      </c>
      <c r="E362" s="162"/>
      <c r="F362" s="134">
        <v>41.3</v>
      </c>
      <c r="G362" s="50"/>
      <c r="H362" s="107">
        <v>44851</v>
      </c>
      <c r="I362" s="144">
        <v>30</v>
      </c>
      <c r="J362" s="118">
        <v>41.3</v>
      </c>
      <c r="K362" s="118">
        <f t="shared" si="34"/>
        <v>1239</v>
      </c>
      <c r="L362" s="117"/>
      <c r="M362" s="141">
        <f t="shared" si="29"/>
        <v>30</v>
      </c>
      <c r="N362" s="121" t="s">
        <v>1006</v>
      </c>
      <c r="O362" s="117" t="s">
        <v>946</v>
      </c>
      <c r="P362" s="137">
        <f t="shared" si="33"/>
        <v>1239</v>
      </c>
    </row>
    <row r="363" spans="1:16" s="105" customFormat="1" ht="15.75" x14ac:dyDescent="0.25">
      <c r="A363" s="106" t="s">
        <v>1029</v>
      </c>
      <c r="B363" s="129">
        <v>44852</v>
      </c>
      <c r="C363" s="25" t="s">
        <v>1038</v>
      </c>
      <c r="D363" s="25" t="s">
        <v>1122</v>
      </c>
      <c r="E363" s="162"/>
      <c r="F363" s="134">
        <v>18.77</v>
      </c>
      <c r="G363" s="50"/>
      <c r="H363" s="107">
        <v>44852</v>
      </c>
      <c r="I363" s="144">
        <v>10</v>
      </c>
      <c r="J363" s="104">
        <v>18.77</v>
      </c>
      <c r="K363" s="104">
        <f t="shared" si="34"/>
        <v>187.7</v>
      </c>
      <c r="L363" s="103"/>
      <c r="M363" s="141">
        <f t="shared" si="29"/>
        <v>10</v>
      </c>
      <c r="N363" s="121" t="s">
        <v>1037</v>
      </c>
      <c r="O363" s="103" t="s">
        <v>947</v>
      </c>
      <c r="P363" s="137">
        <f t="shared" si="33"/>
        <v>187.7</v>
      </c>
    </row>
    <row r="364" spans="1:16" s="105" customFormat="1" ht="15.75" x14ac:dyDescent="0.25">
      <c r="A364" s="106" t="s">
        <v>1030</v>
      </c>
      <c r="B364" s="129">
        <v>44852</v>
      </c>
      <c r="C364" s="25" t="s">
        <v>1041</v>
      </c>
      <c r="D364" s="25" t="s">
        <v>1122</v>
      </c>
      <c r="E364" s="162">
        <v>56</v>
      </c>
      <c r="F364" s="134">
        <v>44.55</v>
      </c>
      <c r="G364" s="50"/>
      <c r="H364" s="107">
        <v>44852</v>
      </c>
      <c r="I364" s="144">
        <v>40</v>
      </c>
      <c r="J364" s="104">
        <v>44.55</v>
      </c>
      <c r="K364" s="104">
        <f t="shared" si="34"/>
        <v>1782</v>
      </c>
      <c r="L364" s="103">
        <v>4</v>
      </c>
      <c r="M364" s="151">
        <f>+E364+I364-L364</f>
        <v>92</v>
      </c>
      <c r="N364" s="121" t="s">
        <v>1037</v>
      </c>
      <c r="O364" s="103" t="s">
        <v>947</v>
      </c>
      <c r="P364" s="137">
        <f t="shared" si="33"/>
        <v>4098.5999999999995</v>
      </c>
    </row>
    <row r="365" spans="1:16" s="105" customFormat="1" ht="15.75" x14ac:dyDescent="0.25">
      <c r="A365" s="106" t="s">
        <v>1031</v>
      </c>
      <c r="B365" s="129">
        <v>44851</v>
      </c>
      <c r="C365" s="25" t="s">
        <v>1042</v>
      </c>
      <c r="D365" s="25" t="s">
        <v>1122</v>
      </c>
      <c r="E365" s="162">
        <v>1</v>
      </c>
      <c r="F365" s="134">
        <v>650</v>
      </c>
      <c r="G365" s="50"/>
      <c r="H365" s="107">
        <v>44851</v>
      </c>
      <c r="I365" s="144">
        <v>2</v>
      </c>
      <c r="J365" s="104">
        <v>650</v>
      </c>
      <c r="K365" s="104">
        <f t="shared" si="34"/>
        <v>1300</v>
      </c>
      <c r="L365" s="103"/>
      <c r="M365" s="151">
        <f t="shared" si="29"/>
        <v>3</v>
      </c>
      <c r="N365" s="121" t="s">
        <v>1037</v>
      </c>
      <c r="O365" s="103" t="s">
        <v>947</v>
      </c>
      <c r="P365" s="137">
        <f t="shared" si="33"/>
        <v>1950</v>
      </c>
    </row>
    <row r="366" spans="1:16" s="105" customFormat="1" ht="15.75" x14ac:dyDescent="0.25">
      <c r="A366" s="106" t="s">
        <v>1032</v>
      </c>
      <c r="B366" s="129">
        <v>44852</v>
      </c>
      <c r="C366" s="25" t="s">
        <v>1043</v>
      </c>
      <c r="D366" s="25" t="s">
        <v>1122</v>
      </c>
      <c r="E366" s="162"/>
      <c r="F366" s="134">
        <v>27</v>
      </c>
      <c r="G366" s="50"/>
      <c r="H366" s="107">
        <v>44852</v>
      </c>
      <c r="I366" s="144">
        <f>10*12</f>
        <v>120</v>
      </c>
      <c r="J366" s="104">
        <v>27</v>
      </c>
      <c r="K366" s="104">
        <f>+J366*I366</f>
        <v>3240</v>
      </c>
      <c r="L366" s="103">
        <v>72</v>
      </c>
      <c r="M366" s="151">
        <f t="shared" si="29"/>
        <v>48</v>
      </c>
      <c r="N366" s="121" t="s">
        <v>1037</v>
      </c>
      <c r="O366" s="103" t="s">
        <v>947</v>
      </c>
      <c r="P366" s="137">
        <f t="shared" si="33"/>
        <v>1296</v>
      </c>
    </row>
    <row r="367" spans="1:16" s="105" customFormat="1" ht="15.75" x14ac:dyDescent="0.25">
      <c r="A367" s="106" t="s">
        <v>1033</v>
      </c>
      <c r="B367" s="129">
        <v>44852</v>
      </c>
      <c r="C367" s="25" t="s">
        <v>1044</v>
      </c>
      <c r="D367" s="25" t="s">
        <v>1122</v>
      </c>
      <c r="E367" s="162"/>
      <c r="F367" s="134">
        <v>45.89</v>
      </c>
      <c r="G367" s="50"/>
      <c r="H367" s="107">
        <v>44852</v>
      </c>
      <c r="I367" s="144">
        <v>120</v>
      </c>
      <c r="J367" s="104">
        <v>45.89</v>
      </c>
      <c r="K367" s="104">
        <f>+J367*I367</f>
        <v>5506.8</v>
      </c>
      <c r="L367" s="103">
        <v>72</v>
      </c>
      <c r="M367" s="151">
        <f t="shared" si="29"/>
        <v>48</v>
      </c>
      <c r="N367" s="121" t="s">
        <v>1037</v>
      </c>
      <c r="O367" s="103" t="s">
        <v>947</v>
      </c>
      <c r="P367" s="137">
        <f t="shared" si="33"/>
        <v>2202.7200000000003</v>
      </c>
    </row>
    <row r="368" spans="1:16" s="105" customFormat="1" ht="15.75" x14ac:dyDescent="0.25">
      <c r="A368" s="106" t="s">
        <v>1034</v>
      </c>
      <c r="B368" s="129">
        <v>44852</v>
      </c>
      <c r="C368" s="25" t="s">
        <v>1045</v>
      </c>
      <c r="D368" s="25" t="s">
        <v>1122</v>
      </c>
      <c r="E368" s="162"/>
      <c r="F368" s="134">
        <v>51.33</v>
      </c>
      <c r="G368" s="50"/>
      <c r="H368" s="107">
        <v>44852</v>
      </c>
      <c r="I368" s="144">
        <v>120</v>
      </c>
      <c r="J368" s="104">
        <v>51.33</v>
      </c>
      <c r="K368" s="104">
        <f t="shared" ref="K368:K383" si="35">+J368*I368</f>
        <v>6159.5999999999995</v>
      </c>
      <c r="L368" s="103"/>
      <c r="M368" s="141">
        <f t="shared" ref="M368:M426" si="36">+E368+I368-L368</f>
        <v>120</v>
      </c>
      <c r="N368" s="121" t="s">
        <v>1037</v>
      </c>
      <c r="O368" s="103" t="s">
        <v>947</v>
      </c>
      <c r="P368" s="137">
        <f t="shared" si="33"/>
        <v>6159.5999999999995</v>
      </c>
    </row>
    <row r="369" spans="1:16" s="105" customFormat="1" ht="15.75" x14ac:dyDescent="0.25">
      <c r="A369" s="106" t="s">
        <v>1057</v>
      </c>
      <c r="B369" s="129">
        <v>44852</v>
      </c>
      <c r="C369" s="25" t="s">
        <v>1046</v>
      </c>
      <c r="D369" s="25" t="s">
        <v>1122</v>
      </c>
      <c r="E369" s="162"/>
      <c r="F369" s="134">
        <v>127.65</v>
      </c>
      <c r="G369" s="50"/>
      <c r="H369" s="107">
        <v>44852</v>
      </c>
      <c r="I369" s="144">
        <v>120</v>
      </c>
      <c r="J369" s="104">
        <v>127.65</v>
      </c>
      <c r="K369" s="104">
        <f t="shared" si="35"/>
        <v>15318</v>
      </c>
      <c r="L369" s="103"/>
      <c r="M369" s="141">
        <f t="shared" si="36"/>
        <v>120</v>
      </c>
      <c r="N369" s="121" t="s">
        <v>1037</v>
      </c>
      <c r="O369" s="103" t="s">
        <v>947</v>
      </c>
      <c r="P369" s="137">
        <f t="shared" si="33"/>
        <v>15318</v>
      </c>
    </row>
    <row r="370" spans="1:16" s="105" customFormat="1" ht="15.75" x14ac:dyDescent="0.25">
      <c r="A370" s="106" t="s">
        <v>1058</v>
      </c>
      <c r="B370" s="129">
        <v>44852</v>
      </c>
      <c r="C370" s="25" t="s">
        <v>1047</v>
      </c>
      <c r="D370" s="25" t="s">
        <v>1122</v>
      </c>
      <c r="E370" s="162"/>
      <c r="F370" s="134">
        <v>5442.16</v>
      </c>
      <c r="G370" s="50"/>
      <c r="H370" s="107">
        <v>44852</v>
      </c>
      <c r="I370" s="144">
        <v>5</v>
      </c>
      <c r="J370" s="104">
        <v>5442.16</v>
      </c>
      <c r="K370" s="104">
        <f t="shared" si="35"/>
        <v>27210.799999999999</v>
      </c>
      <c r="L370" s="103">
        <v>1</v>
      </c>
      <c r="M370" s="151">
        <f t="shared" si="36"/>
        <v>4</v>
      </c>
      <c r="N370" s="121" t="s">
        <v>1037</v>
      </c>
      <c r="O370" s="103" t="s">
        <v>947</v>
      </c>
      <c r="P370" s="137">
        <f t="shared" si="33"/>
        <v>21768.639999999999</v>
      </c>
    </row>
    <row r="371" spans="1:16" s="105" customFormat="1" ht="15.75" x14ac:dyDescent="0.25">
      <c r="A371" s="106" t="s">
        <v>1059</v>
      </c>
      <c r="B371" s="129">
        <v>44852</v>
      </c>
      <c r="C371" s="25" t="s">
        <v>1048</v>
      </c>
      <c r="D371" s="25" t="s">
        <v>1122</v>
      </c>
      <c r="E371" s="162"/>
      <c r="F371" s="134">
        <v>5330</v>
      </c>
      <c r="G371" s="50"/>
      <c r="H371" s="107">
        <v>44852</v>
      </c>
      <c r="I371" s="144">
        <v>1</v>
      </c>
      <c r="J371" s="104">
        <v>5330</v>
      </c>
      <c r="K371" s="104">
        <f t="shared" si="35"/>
        <v>5330</v>
      </c>
      <c r="L371" s="103">
        <v>1</v>
      </c>
      <c r="M371" s="141">
        <f t="shared" si="36"/>
        <v>0</v>
      </c>
      <c r="N371" s="121" t="s">
        <v>1037</v>
      </c>
      <c r="O371" s="103" t="s">
        <v>947</v>
      </c>
      <c r="P371" s="137">
        <f t="shared" si="33"/>
        <v>0</v>
      </c>
    </row>
    <row r="372" spans="1:16" s="105" customFormat="1" ht="15.75" x14ac:dyDescent="0.25">
      <c r="A372" s="106" t="s">
        <v>1060</v>
      </c>
      <c r="B372" s="129">
        <v>44852</v>
      </c>
      <c r="C372" s="25" t="s">
        <v>1049</v>
      </c>
      <c r="D372" s="25" t="s">
        <v>1122</v>
      </c>
      <c r="E372" s="162"/>
      <c r="F372" s="134">
        <v>678.24</v>
      </c>
      <c r="G372" s="50"/>
      <c r="H372" s="107">
        <v>44852</v>
      </c>
      <c r="I372" s="144">
        <v>5</v>
      </c>
      <c r="J372" s="104">
        <v>678.24</v>
      </c>
      <c r="K372" s="104">
        <f t="shared" si="35"/>
        <v>3391.2</v>
      </c>
      <c r="L372" s="103">
        <v>1</v>
      </c>
      <c r="M372" s="151">
        <f t="shared" si="36"/>
        <v>4</v>
      </c>
      <c r="N372" s="121" t="s">
        <v>1037</v>
      </c>
      <c r="O372" s="103" t="s">
        <v>947</v>
      </c>
      <c r="P372" s="137">
        <f t="shared" si="33"/>
        <v>2712.96</v>
      </c>
    </row>
    <row r="373" spans="1:16" s="105" customFormat="1" ht="15.75" x14ac:dyDescent="0.25">
      <c r="A373" s="106" t="s">
        <v>1061</v>
      </c>
      <c r="B373" s="129">
        <v>44852</v>
      </c>
      <c r="C373" s="25" t="s">
        <v>1050</v>
      </c>
      <c r="D373" s="25" t="s">
        <v>1122</v>
      </c>
      <c r="E373" s="162"/>
      <c r="F373" s="134">
        <v>678.24</v>
      </c>
      <c r="G373" s="50"/>
      <c r="H373" s="107">
        <v>44852</v>
      </c>
      <c r="I373" s="144">
        <v>5</v>
      </c>
      <c r="J373" s="104">
        <v>678.24</v>
      </c>
      <c r="K373" s="104">
        <f t="shared" si="35"/>
        <v>3391.2</v>
      </c>
      <c r="L373" s="103">
        <v>1</v>
      </c>
      <c r="M373" s="151">
        <f t="shared" si="36"/>
        <v>4</v>
      </c>
      <c r="N373" s="121" t="s">
        <v>1037</v>
      </c>
      <c r="O373" s="103" t="s">
        <v>947</v>
      </c>
      <c r="P373" s="137">
        <f t="shared" si="33"/>
        <v>2712.96</v>
      </c>
    </row>
    <row r="374" spans="1:16" s="105" customFormat="1" ht="15.75" x14ac:dyDescent="0.25">
      <c r="A374" s="106" t="s">
        <v>1062</v>
      </c>
      <c r="B374" s="129">
        <v>44852</v>
      </c>
      <c r="C374" s="25" t="s">
        <v>1051</v>
      </c>
      <c r="D374" s="25" t="s">
        <v>1122</v>
      </c>
      <c r="E374" s="162"/>
      <c r="F374" s="134">
        <v>511</v>
      </c>
      <c r="G374" s="50"/>
      <c r="H374" s="107">
        <v>44852</v>
      </c>
      <c r="I374" s="144">
        <v>3</v>
      </c>
      <c r="J374" s="104">
        <v>511</v>
      </c>
      <c r="K374" s="104">
        <f t="shared" si="35"/>
        <v>1533</v>
      </c>
      <c r="L374" s="103">
        <v>2</v>
      </c>
      <c r="M374" s="151">
        <f t="shared" si="36"/>
        <v>1</v>
      </c>
      <c r="N374" s="121" t="s">
        <v>1037</v>
      </c>
      <c r="O374" s="103" t="s">
        <v>947</v>
      </c>
      <c r="P374" s="137">
        <f t="shared" si="33"/>
        <v>511</v>
      </c>
    </row>
    <row r="375" spans="1:16" s="105" customFormat="1" ht="15.75" x14ac:dyDescent="0.25">
      <c r="A375" s="106" t="s">
        <v>1063</v>
      </c>
      <c r="B375" s="129">
        <v>44852</v>
      </c>
      <c r="C375" s="25" t="s">
        <v>1052</v>
      </c>
      <c r="D375" s="25" t="s">
        <v>1122</v>
      </c>
      <c r="E375" s="162"/>
      <c r="F375" s="134">
        <v>511</v>
      </c>
      <c r="G375" s="50"/>
      <c r="H375" s="107">
        <v>44852</v>
      </c>
      <c r="I375" s="144">
        <v>3</v>
      </c>
      <c r="J375" s="104">
        <v>511</v>
      </c>
      <c r="K375" s="104">
        <f t="shared" si="35"/>
        <v>1533</v>
      </c>
      <c r="L375" s="103"/>
      <c r="M375" s="141">
        <f t="shared" si="36"/>
        <v>3</v>
      </c>
      <c r="N375" s="121" t="s">
        <v>1037</v>
      </c>
      <c r="O375" s="103" t="s">
        <v>947</v>
      </c>
      <c r="P375" s="137">
        <f t="shared" si="33"/>
        <v>1533</v>
      </c>
    </row>
    <row r="376" spans="1:16" s="105" customFormat="1" ht="15.75" x14ac:dyDescent="0.25">
      <c r="A376" s="106" t="s">
        <v>1064</v>
      </c>
      <c r="B376" s="129">
        <v>44852</v>
      </c>
      <c r="C376" s="25" t="s">
        <v>1053</v>
      </c>
      <c r="D376" s="25" t="s">
        <v>1122</v>
      </c>
      <c r="E376" s="162"/>
      <c r="F376" s="134">
        <v>511</v>
      </c>
      <c r="G376" s="50"/>
      <c r="H376" s="107">
        <v>44852</v>
      </c>
      <c r="I376" s="144">
        <v>3</v>
      </c>
      <c r="J376" s="104">
        <v>511</v>
      </c>
      <c r="K376" s="104">
        <f t="shared" si="35"/>
        <v>1533</v>
      </c>
      <c r="L376" s="103">
        <v>2</v>
      </c>
      <c r="M376" s="151">
        <f t="shared" si="36"/>
        <v>1</v>
      </c>
      <c r="N376" s="121" t="s">
        <v>1037</v>
      </c>
      <c r="O376" s="103" t="s">
        <v>947</v>
      </c>
      <c r="P376" s="137">
        <f t="shared" si="33"/>
        <v>511</v>
      </c>
    </row>
    <row r="377" spans="1:16" s="105" customFormat="1" ht="15.75" x14ac:dyDescent="0.25">
      <c r="A377" s="106" t="s">
        <v>1065</v>
      </c>
      <c r="B377" s="129">
        <v>44852</v>
      </c>
      <c r="C377" s="25" t="s">
        <v>1054</v>
      </c>
      <c r="D377" s="25" t="s">
        <v>1122</v>
      </c>
      <c r="E377" s="162"/>
      <c r="F377" s="134">
        <v>511</v>
      </c>
      <c r="G377" s="50"/>
      <c r="H377" s="107">
        <v>44852</v>
      </c>
      <c r="I377" s="144">
        <v>3</v>
      </c>
      <c r="J377" s="104">
        <v>511</v>
      </c>
      <c r="K377" s="104">
        <f t="shared" si="35"/>
        <v>1533</v>
      </c>
      <c r="L377" s="103">
        <v>1</v>
      </c>
      <c r="M377" s="151">
        <f t="shared" si="36"/>
        <v>2</v>
      </c>
      <c r="N377" s="121" t="s">
        <v>1037</v>
      </c>
      <c r="O377" s="103" t="s">
        <v>947</v>
      </c>
      <c r="P377" s="137">
        <f t="shared" si="33"/>
        <v>1022</v>
      </c>
    </row>
    <row r="378" spans="1:16" s="105" customFormat="1" ht="15.75" x14ac:dyDescent="0.25">
      <c r="A378" s="106" t="s">
        <v>1066</v>
      </c>
      <c r="B378" s="129">
        <v>44852</v>
      </c>
      <c r="C378" s="25" t="s">
        <v>1055</v>
      </c>
      <c r="D378" s="25" t="s">
        <v>1122</v>
      </c>
      <c r="E378" s="162">
        <v>32</v>
      </c>
      <c r="F378" s="134">
        <v>3.32</v>
      </c>
      <c r="G378" s="50"/>
      <c r="H378" s="107">
        <v>44852</v>
      </c>
      <c r="I378" s="144">
        <v>20</v>
      </c>
      <c r="J378" s="104">
        <v>3.32</v>
      </c>
      <c r="K378" s="104">
        <f t="shared" si="35"/>
        <v>66.399999999999991</v>
      </c>
      <c r="L378" s="103"/>
      <c r="M378" s="151">
        <f t="shared" si="36"/>
        <v>52</v>
      </c>
      <c r="N378" s="121" t="s">
        <v>1037</v>
      </c>
      <c r="O378" s="103" t="s">
        <v>947</v>
      </c>
      <c r="P378" s="137">
        <f t="shared" si="33"/>
        <v>172.64</v>
      </c>
    </row>
    <row r="379" spans="1:16" s="105" customFormat="1" ht="15.75" x14ac:dyDescent="0.25">
      <c r="A379" s="106" t="s">
        <v>1067</v>
      </c>
      <c r="B379" s="129">
        <v>44852</v>
      </c>
      <c r="C379" s="25" t="s">
        <v>1056</v>
      </c>
      <c r="D379" s="25" t="s">
        <v>1122</v>
      </c>
      <c r="E379" s="162"/>
      <c r="F379" s="134">
        <v>64.900000000000006</v>
      </c>
      <c r="G379" s="50"/>
      <c r="H379" s="107">
        <v>44852</v>
      </c>
      <c r="I379" s="144">
        <v>5</v>
      </c>
      <c r="J379" s="104">
        <v>64.900000000000006</v>
      </c>
      <c r="K379" s="104">
        <f t="shared" si="35"/>
        <v>324.5</v>
      </c>
      <c r="L379" s="103"/>
      <c r="M379" s="141">
        <f t="shared" si="36"/>
        <v>5</v>
      </c>
      <c r="N379" s="121" t="s">
        <v>1037</v>
      </c>
      <c r="O379" s="103" t="s">
        <v>947</v>
      </c>
      <c r="P379" s="137">
        <f t="shared" si="33"/>
        <v>324.5</v>
      </c>
    </row>
    <row r="380" spans="1:16" s="105" customFormat="1" ht="15.75" x14ac:dyDescent="0.25">
      <c r="A380" s="106" t="s">
        <v>1067</v>
      </c>
      <c r="B380" s="129">
        <v>44852</v>
      </c>
      <c r="C380" s="25" t="s">
        <v>1056</v>
      </c>
      <c r="D380" s="25" t="s">
        <v>1122</v>
      </c>
      <c r="E380" s="162"/>
      <c r="F380" s="134">
        <v>64.900000000000006</v>
      </c>
      <c r="G380" s="50"/>
      <c r="H380" s="107">
        <v>44852</v>
      </c>
      <c r="I380" s="144">
        <v>5</v>
      </c>
      <c r="J380" s="104">
        <v>64.900000000000006</v>
      </c>
      <c r="K380" s="104">
        <f t="shared" si="35"/>
        <v>324.5</v>
      </c>
      <c r="L380" s="103"/>
      <c r="M380" s="141">
        <f t="shared" si="36"/>
        <v>5</v>
      </c>
      <c r="N380" s="121" t="s">
        <v>1037</v>
      </c>
      <c r="O380" s="103" t="s">
        <v>947</v>
      </c>
      <c r="P380" s="137">
        <f t="shared" si="33"/>
        <v>324.5</v>
      </c>
    </row>
    <row r="381" spans="1:16" s="105" customFormat="1" ht="15.75" x14ac:dyDescent="0.25">
      <c r="A381" s="106" t="s">
        <v>1068</v>
      </c>
      <c r="B381" s="129">
        <v>44865</v>
      </c>
      <c r="C381" s="25" t="s">
        <v>1077</v>
      </c>
      <c r="D381" s="25" t="s">
        <v>1122</v>
      </c>
      <c r="E381" s="162"/>
      <c r="F381" s="134">
        <v>8720.2000000000007</v>
      </c>
      <c r="G381" s="50"/>
      <c r="H381" s="107">
        <v>44865</v>
      </c>
      <c r="I381" s="144">
        <v>6</v>
      </c>
      <c r="J381" s="104">
        <v>8720.2000000000007</v>
      </c>
      <c r="K381" s="104">
        <f t="shared" si="35"/>
        <v>52321.200000000004</v>
      </c>
      <c r="L381" s="103">
        <v>1</v>
      </c>
      <c r="M381" s="151">
        <f t="shared" si="36"/>
        <v>5</v>
      </c>
      <c r="N381" s="121" t="s">
        <v>1078</v>
      </c>
      <c r="O381" s="103" t="s">
        <v>947</v>
      </c>
      <c r="P381" s="137">
        <f t="shared" si="33"/>
        <v>43601</v>
      </c>
    </row>
    <row r="382" spans="1:16" s="105" customFormat="1" ht="15.75" x14ac:dyDescent="0.25">
      <c r="A382" s="106" t="s">
        <v>1073</v>
      </c>
      <c r="B382" s="129">
        <v>44865</v>
      </c>
      <c r="C382" s="25" t="s">
        <v>1079</v>
      </c>
      <c r="D382" s="25" t="s">
        <v>1122</v>
      </c>
      <c r="E382" s="162"/>
      <c r="F382" s="134">
        <v>7729</v>
      </c>
      <c r="G382" s="50"/>
      <c r="H382" s="107">
        <v>44865</v>
      </c>
      <c r="I382" s="144">
        <v>5</v>
      </c>
      <c r="J382" s="104">
        <v>7729</v>
      </c>
      <c r="K382" s="104">
        <f t="shared" si="35"/>
        <v>38645</v>
      </c>
      <c r="L382" s="103"/>
      <c r="M382" s="151">
        <f t="shared" si="36"/>
        <v>5</v>
      </c>
      <c r="N382" s="121" t="s">
        <v>1078</v>
      </c>
      <c r="O382" s="103" t="s">
        <v>947</v>
      </c>
      <c r="P382" s="137">
        <f t="shared" si="33"/>
        <v>38645</v>
      </c>
    </row>
    <row r="383" spans="1:16" s="105" customFormat="1" ht="15.75" x14ac:dyDescent="0.25">
      <c r="A383" s="106" t="s">
        <v>1074</v>
      </c>
      <c r="B383" s="129">
        <v>44865</v>
      </c>
      <c r="C383" s="25" t="s">
        <v>1080</v>
      </c>
      <c r="D383" s="25" t="s">
        <v>1122</v>
      </c>
      <c r="E383" s="162"/>
      <c r="F383" s="134">
        <v>4897</v>
      </c>
      <c r="G383" s="50"/>
      <c r="H383" s="107">
        <v>44865</v>
      </c>
      <c r="I383" s="144">
        <v>10</v>
      </c>
      <c r="J383" s="104">
        <v>4897</v>
      </c>
      <c r="K383" s="104">
        <f t="shared" si="35"/>
        <v>48970</v>
      </c>
      <c r="L383" s="103"/>
      <c r="M383" s="141">
        <f t="shared" si="36"/>
        <v>10</v>
      </c>
      <c r="N383" s="121" t="s">
        <v>1078</v>
      </c>
      <c r="O383" s="103" t="s">
        <v>947</v>
      </c>
      <c r="P383" s="137">
        <f t="shared" si="33"/>
        <v>48970</v>
      </c>
    </row>
    <row r="384" spans="1:16" s="105" customFormat="1" ht="15.75" x14ac:dyDescent="0.25">
      <c r="A384" s="106" t="s">
        <v>1075</v>
      </c>
      <c r="B384" s="129">
        <v>44879</v>
      </c>
      <c r="C384" s="25" t="s">
        <v>1072</v>
      </c>
      <c r="D384" s="25" t="s">
        <v>1122</v>
      </c>
      <c r="E384" s="162"/>
      <c r="F384" s="134">
        <v>3717</v>
      </c>
      <c r="G384" s="50"/>
      <c r="H384" s="107">
        <v>44879</v>
      </c>
      <c r="I384" s="144">
        <v>10</v>
      </c>
      <c r="J384" s="104">
        <v>3717</v>
      </c>
      <c r="K384" s="104">
        <f>+J384*I384</f>
        <v>37170</v>
      </c>
      <c r="L384" s="103"/>
      <c r="M384" s="141">
        <f t="shared" si="36"/>
        <v>10</v>
      </c>
      <c r="N384" s="121"/>
      <c r="O384" s="103" t="s">
        <v>946</v>
      </c>
      <c r="P384" s="137">
        <f t="shared" si="33"/>
        <v>37170</v>
      </c>
    </row>
    <row r="385" spans="1:16" s="105" customFormat="1" ht="15.75" x14ac:dyDescent="0.25">
      <c r="A385" s="106" t="s">
        <v>1076</v>
      </c>
      <c r="B385" s="102"/>
      <c r="C385" s="25" t="s">
        <v>1070</v>
      </c>
      <c r="D385" s="25" t="s">
        <v>1122</v>
      </c>
      <c r="E385" s="162"/>
      <c r="F385" s="134"/>
      <c r="G385" s="50"/>
      <c r="H385" s="107"/>
      <c r="I385" s="144"/>
      <c r="J385" s="104"/>
      <c r="K385" s="104"/>
      <c r="L385" s="103">
        <v>1</v>
      </c>
      <c r="M385" s="141">
        <f t="shared" si="36"/>
        <v>-1</v>
      </c>
      <c r="N385" s="121"/>
      <c r="O385" s="103" t="s">
        <v>947</v>
      </c>
      <c r="P385" s="137">
        <f t="shared" si="33"/>
        <v>0</v>
      </c>
    </row>
    <row r="386" spans="1:16" s="105" customFormat="1" ht="15.75" x14ac:dyDescent="0.25">
      <c r="A386" s="106" t="s">
        <v>1081</v>
      </c>
      <c r="B386" s="102"/>
      <c r="C386" s="25" t="s">
        <v>1071</v>
      </c>
      <c r="D386" s="25" t="s">
        <v>1122</v>
      </c>
      <c r="E386" s="162"/>
      <c r="F386" s="134"/>
      <c r="G386" s="50"/>
      <c r="H386" s="107"/>
      <c r="I386" s="144"/>
      <c r="J386" s="104"/>
      <c r="K386" s="104"/>
      <c r="L386" s="103">
        <v>2</v>
      </c>
      <c r="M386" s="141">
        <f t="shared" si="36"/>
        <v>-2</v>
      </c>
      <c r="N386" s="121"/>
      <c r="O386" s="103" t="s">
        <v>947</v>
      </c>
      <c r="P386" s="137">
        <f t="shared" si="33"/>
        <v>0</v>
      </c>
    </row>
    <row r="387" spans="1:16" s="105" customFormat="1" ht="15.75" x14ac:dyDescent="0.25">
      <c r="A387" s="106" t="s">
        <v>1082</v>
      </c>
      <c r="B387" s="102"/>
      <c r="C387" s="25" t="s">
        <v>1069</v>
      </c>
      <c r="D387" s="25" t="s">
        <v>1122</v>
      </c>
      <c r="E387" s="162"/>
      <c r="F387" s="134"/>
      <c r="G387" s="50"/>
      <c r="H387" s="107"/>
      <c r="I387" s="144"/>
      <c r="J387" s="104"/>
      <c r="K387" s="104"/>
      <c r="L387" s="103">
        <v>1</v>
      </c>
      <c r="M387" s="141">
        <f t="shared" si="36"/>
        <v>-1</v>
      </c>
      <c r="N387" s="121"/>
      <c r="O387" s="103" t="s">
        <v>946</v>
      </c>
      <c r="P387" s="137">
        <f t="shared" si="33"/>
        <v>0</v>
      </c>
    </row>
    <row r="388" spans="1:16" s="105" customFormat="1" ht="31.5" x14ac:dyDescent="0.25">
      <c r="A388" s="106" t="s">
        <v>1083</v>
      </c>
      <c r="B388" s="129">
        <v>44903</v>
      </c>
      <c r="C388" s="25" t="s">
        <v>1239</v>
      </c>
      <c r="D388" s="25" t="s">
        <v>1122</v>
      </c>
      <c r="E388" s="162"/>
      <c r="F388" s="134">
        <v>81.13</v>
      </c>
      <c r="G388" s="50"/>
      <c r="H388" s="107">
        <v>44903</v>
      </c>
      <c r="I388" s="144">
        <v>360</v>
      </c>
      <c r="J388" s="104">
        <v>81.13</v>
      </c>
      <c r="K388" s="104">
        <f>+J388*I388</f>
        <v>29206.799999999999</v>
      </c>
      <c r="L388" s="103">
        <f>360+12</f>
        <v>372</v>
      </c>
      <c r="M388" s="151">
        <f t="shared" si="36"/>
        <v>-12</v>
      </c>
      <c r="N388" s="121" t="s">
        <v>1006</v>
      </c>
      <c r="O388" s="103" t="s">
        <v>945</v>
      </c>
      <c r="P388" s="137">
        <f t="shared" si="33"/>
        <v>-973.56</v>
      </c>
    </row>
    <row r="389" spans="1:16" s="105" customFormat="1" ht="15.75" x14ac:dyDescent="0.25">
      <c r="A389" s="106" t="s">
        <v>1099</v>
      </c>
      <c r="B389" s="129">
        <v>45019</v>
      </c>
      <c r="C389" s="25" t="s">
        <v>1085</v>
      </c>
      <c r="D389" s="25" t="s">
        <v>1122</v>
      </c>
      <c r="E389" s="162"/>
      <c r="F389" s="134">
        <v>81.13</v>
      </c>
      <c r="G389" s="50"/>
      <c r="H389" s="107">
        <v>45019</v>
      </c>
      <c r="I389" s="144">
        <f>90*6</f>
        <v>540</v>
      </c>
      <c r="J389" s="104">
        <v>117.02</v>
      </c>
      <c r="K389" s="104">
        <f t="shared" ref="K389:K424" si="37">+J389*I389</f>
        <v>63190.799999999996</v>
      </c>
      <c r="L389" s="103">
        <f>410+24+3+18</f>
        <v>455</v>
      </c>
      <c r="M389" s="158">
        <f>+E389+I389-L389+6</f>
        <v>91</v>
      </c>
      <c r="N389" s="121"/>
      <c r="O389" s="103" t="s">
        <v>945</v>
      </c>
      <c r="P389" s="137">
        <f t="shared" si="33"/>
        <v>7382.83</v>
      </c>
    </row>
    <row r="390" spans="1:16" s="105" customFormat="1" ht="15.75" x14ac:dyDescent="0.25">
      <c r="A390" s="106" t="s">
        <v>1100</v>
      </c>
      <c r="B390" s="129">
        <v>45019</v>
      </c>
      <c r="C390" s="25" t="s">
        <v>1086</v>
      </c>
      <c r="D390" s="25" t="s">
        <v>1122</v>
      </c>
      <c r="E390" s="162"/>
      <c r="F390" s="134">
        <v>454.3</v>
      </c>
      <c r="G390" s="50"/>
      <c r="H390" s="107">
        <v>45019</v>
      </c>
      <c r="I390" s="144">
        <f>80+15</f>
        <v>95</v>
      </c>
      <c r="J390" s="104">
        <v>454.3</v>
      </c>
      <c r="K390" s="104">
        <f t="shared" si="37"/>
        <v>43158.5</v>
      </c>
      <c r="L390" s="103">
        <v>10</v>
      </c>
      <c r="M390" s="151">
        <f t="shared" si="36"/>
        <v>85</v>
      </c>
      <c r="N390" s="121"/>
      <c r="O390" s="103" t="s">
        <v>945</v>
      </c>
      <c r="P390" s="137">
        <f t="shared" si="33"/>
        <v>38615.5</v>
      </c>
    </row>
    <row r="391" spans="1:16" s="105" customFormat="1" ht="31.5" x14ac:dyDescent="0.25">
      <c r="A391" s="106" t="s">
        <v>1101</v>
      </c>
      <c r="B391" s="129">
        <v>44903</v>
      </c>
      <c r="C391" s="25" t="s">
        <v>1087</v>
      </c>
      <c r="D391" s="25" t="s">
        <v>1122</v>
      </c>
      <c r="E391" s="162"/>
      <c r="F391" s="134">
        <v>116.53</v>
      </c>
      <c r="G391" s="50"/>
      <c r="H391" s="107">
        <v>44903</v>
      </c>
      <c r="I391" s="144">
        <f>20*4</f>
        <v>80</v>
      </c>
      <c r="J391" s="104">
        <v>116.53</v>
      </c>
      <c r="K391" s="104">
        <f t="shared" si="37"/>
        <v>9322.4</v>
      </c>
      <c r="L391" s="103">
        <f>9+1+2+4+1+44+1+1+1+1+1+3+1+2+1+1+1+1</f>
        <v>76</v>
      </c>
      <c r="M391" s="151">
        <f t="shared" si="36"/>
        <v>4</v>
      </c>
      <c r="N391" s="121" t="s">
        <v>1006</v>
      </c>
      <c r="O391" s="103" t="s">
        <v>945</v>
      </c>
      <c r="P391" s="137">
        <f t="shared" si="33"/>
        <v>466.12</v>
      </c>
    </row>
    <row r="392" spans="1:16" s="105" customFormat="1" ht="31.5" x14ac:dyDescent="0.25">
      <c r="A392" s="106" t="s">
        <v>1102</v>
      </c>
      <c r="B392" s="129">
        <v>44903</v>
      </c>
      <c r="C392" s="25" t="s">
        <v>1088</v>
      </c>
      <c r="D392" s="25" t="s">
        <v>1122</v>
      </c>
      <c r="E392" s="162"/>
      <c r="F392" s="134">
        <v>101.33</v>
      </c>
      <c r="G392" s="50"/>
      <c r="H392" s="107">
        <v>44903</v>
      </c>
      <c r="I392" s="144">
        <f>2*12</f>
        <v>24</v>
      </c>
      <c r="J392" s="104">
        <v>101.33</v>
      </c>
      <c r="K392" s="104">
        <f t="shared" si="37"/>
        <v>2431.92</v>
      </c>
      <c r="L392" s="103">
        <v>24</v>
      </c>
      <c r="M392" s="141">
        <f t="shared" si="36"/>
        <v>0</v>
      </c>
      <c r="N392" s="121" t="s">
        <v>1006</v>
      </c>
      <c r="O392" s="103" t="s">
        <v>945</v>
      </c>
      <c r="P392" s="137">
        <f t="shared" si="33"/>
        <v>0</v>
      </c>
    </row>
    <row r="393" spans="1:16" s="105" customFormat="1" ht="31.5" x14ac:dyDescent="0.25">
      <c r="A393" s="106" t="s">
        <v>1103</v>
      </c>
      <c r="B393" s="129">
        <v>44903</v>
      </c>
      <c r="C393" s="25" t="s">
        <v>1089</v>
      </c>
      <c r="D393" s="25" t="s">
        <v>1122</v>
      </c>
      <c r="E393" s="162"/>
      <c r="F393" s="134">
        <v>101.33</v>
      </c>
      <c r="G393" s="50"/>
      <c r="H393" s="107">
        <v>44903</v>
      </c>
      <c r="I393" s="144">
        <f>2*12</f>
        <v>24</v>
      </c>
      <c r="J393" s="104">
        <v>101.33</v>
      </c>
      <c r="K393" s="104">
        <f t="shared" si="37"/>
        <v>2431.92</v>
      </c>
      <c r="L393" s="103">
        <v>24</v>
      </c>
      <c r="M393" s="141">
        <f t="shared" si="36"/>
        <v>0</v>
      </c>
      <c r="N393" s="121" t="s">
        <v>1006</v>
      </c>
      <c r="O393" s="103" t="s">
        <v>945</v>
      </c>
      <c r="P393" s="137">
        <f t="shared" si="33"/>
        <v>0</v>
      </c>
    </row>
    <row r="394" spans="1:16" s="105" customFormat="1" ht="31.5" x14ac:dyDescent="0.25">
      <c r="A394" s="106" t="s">
        <v>1104</v>
      </c>
      <c r="B394" s="129">
        <v>44903</v>
      </c>
      <c r="C394" s="25" t="s">
        <v>1090</v>
      </c>
      <c r="D394" s="25" t="s">
        <v>1122</v>
      </c>
      <c r="E394" s="162"/>
      <c r="F394" s="134">
        <v>79.010000000000005</v>
      </c>
      <c r="G394" s="50"/>
      <c r="H394" s="107">
        <v>44903</v>
      </c>
      <c r="I394" s="144">
        <v>24</v>
      </c>
      <c r="J394" s="104">
        <v>79.010000000000005</v>
      </c>
      <c r="K394" s="104">
        <f t="shared" si="37"/>
        <v>1896.2400000000002</v>
      </c>
      <c r="L394" s="103">
        <v>24</v>
      </c>
      <c r="M394" s="141">
        <f t="shared" si="36"/>
        <v>0</v>
      </c>
      <c r="N394" s="121" t="s">
        <v>1006</v>
      </c>
      <c r="O394" s="103" t="s">
        <v>945</v>
      </c>
      <c r="P394" s="137">
        <f t="shared" si="33"/>
        <v>0</v>
      </c>
    </row>
    <row r="395" spans="1:16" s="105" customFormat="1" ht="31.5" x14ac:dyDescent="0.25">
      <c r="A395" s="106" t="s">
        <v>1105</v>
      </c>
      <c r="B395" s="129">
        <v>44903</v>
      </c>
      <c r="C395" s="25" t="s">
        <v>1091</v>
      </c>
      <c r="D395" s="25" t="s">
        <v>1122</v>
      </c>
      <c r="E395" s="162"/>
      <c r="F395" s="134">
        <v>67.7</v>
      </c>
      <c r="G395" s="50"/>
      <c r="H395" s="107">
        <v>44903</v>
      </c>
      <c r="I395" s="144">
        <v>24</v>
      </c>
      <c r="J395" s="104">
        <v>67.7</v>
      </c>
      <c r="K395" s="104">
        <f t="shared" si="37"/>
        <v>1624.8000000000002</v>
      </c>
      <c r="L395" s="103">
        <v>24</v>
      </c>
      <c r="M395" s="141">
        <f t="shared" si="36"/>
        <v>0</v>
      </c>
      <c r="N395" s="121" t="s">
        <v>1006</v>
      </c>
      <c r="O395" s="103" t="s">
        <v>945</v>
      </c>
      <c r="P395" s="137">
        <f t="shared" si="33"/>
        <v>0</v>
      </c>
    </row>
    <row r="396" spans="1:16" s="105" customFormat="1" ht="31.5" x14ac:dyDescent="0.25">
      <c r="A396" s="106" t="s">
        <v>1106</v>
      </c>
      <c r="B396" s="129">
        <v>44903</v>
      </c>
      <c r="C396" s="25" t="s">
        <v>1092</v>
      </c>
      <c r="D396" s="25" t="s">
        <v>1122</v>
      </c>
      <c r="E396" s="162"/>
      <c r="F396" s="134">
        <v>195.83</v>
      </c>
      <c r="G396" s="50"/>
      <c r="H396" s="107">
        <v>44903</v>
      </c>
      <c r="I396" s="144">
        <v>24</v>
      </c>
      <c r="J396" s="104">
        <v>195.83</v>
      </c>
      <c r="K396" s="104">
        <f t="shared" si="37"/>
        <v>4699.92</v>
      </c>
      <c r="L396" s="103">
        <v>24</v>
      </c>
      <c r="M396" s="141">
        <f t="shared" si="36"/>
        <v>0</v>
      </c>
      <c r="N396" s="121" t="s">
        <v>1006</v>
      </c>
      <c r="O396" s="103" t="s">
        <v>945</v>
      </c>
      <c r="P396" s="137">
        <f t="shared" si="33"/>
        <v>0</v>
      </c>
    </row>
    <row r="397" spans="1:16" s="105" customFormat="1" ht="31.5" x14ac:dyDescent="0.25">
      <c r="A397" s="106" t="s">
        <v>1107</v>
      </c>
      <c r="B397" s="129">
        <v>44903</v>
      </c>
      <c r="C397" s="25" t="s">
        <v>1093</v>
      </c>
      <c r="D397" s="25" t="s">
        <v>1122</v>
      </c>
      <c r="E397" s="162"/>
      <c r="F397" s="134">
        <v>126.8</v>
      </c>
      <c r="G397" s="50"/>
      <c r="H397" s="107">
        <v>44903</v>
      </c>
      <c r="I397" s="144">
        <v>24</v>
      </c>
      <c r="J397" s="104">
        <v>126.8</v>
      </c>
      <c r="K397" s="104">
        <f t="shared" si="37"/>
        <v>3043.2</v>
      </c>
      <c r="L397" s="103">
        <v>24</v>
      </c>
      <c r="M397" s="141">
        <f t="shared" si="36"/>
        <v>0</v>
      </c>
      <c r="N397" s="121" t="s">
        <v>1006</v>
      </c>
      <c r="O397" s="103" t="s">
        <v>945</v>
      </c>
      <c r="P397" s="137">
        <f t="shared" si="33"/>
        <v>0</v>
      </c>
    </row>
    <row r="398" spans="1:16" s="105" customFormat="1" ht="31.5" x14ac:dyDescent="0.25">
      <c r="A398" s="106" t="s">
        <v>1108</v>
      </c>
      <c r="B398" s="129">
        <v>44903</v>
      </c>
      <c r="C398" s="25" t="s">
        <v>1094</v>
      </c>
      <c r="D398" s="25" t="s">
        <v>1122</v>
      </c>
      <c r="E398" s="162"/>
      <c r="F398" s="134">
        <v>129.85</v>
      </c>
      <c r="G398" s="50"/>
      <c r="H398" s="107">
        <v>44903</v>
      </c>
      <c r="I398" s="144">
        <v>24</v>
      </c>
      <c r="J398" s="104">
        <v>129.85</v>
      </c>
      <c r="K398" s="104">
        <f t="shared" si="37"/>
        <v>3116.3999999999996</v>
      </c>
      <c r="L398" s="103">
        <v>24</v>
      </c>
      <c r="M398" s="141">
        <f t="shared" si="36"/>
        <v>0</v>
      </c>
      <c r="N398" s="121" t="s">
        <v>1006</v>
      </c>
      <c r="O398" s="103" t="s">
        <v>945</v>
      </c>
      <c r="P398" s="137">
        <f t="shared" si="33"/>
        <v>0</v>
      </c>
    </row>
    <row r="399" spans="1:16" s="105" customFormat="1" ht="31.5" x14ac:dyDescent="0.25">
      <c r="A399" s="106" t="s">
        <v>1109</v>
      </c>
      <c r="B399" s="129">
        <v>44903</v>
      </c>
      <c r="C399" s="25" t="s">
        <v>1095</v>
      </c>
      <c r="D399" s="25" t="s">
        <v>1122</v>
      </c>
      <c r="E399" s="162"/>
      <c r="F399" s="134">
        <v>1606.5</v>
      </c>
      <c r="G399" s="50"/>
      <c r="H399" s="107">
        <v>44903</v>
      </c>
      <c r="I399" s="144">
        <v>4</v>
      </c>
      <c r="J399" s="104">
        <v>1606.5</v>
      </c>
      <c r="K399" s="104">
        <f t="shared" si="37"/>
        <v>6426</v>
      </c>
      <c r="L399" s="103">
        <v>4</v>
      </c>
      <c r="M399" s="141">
        <f t="shared" si="36"/>
        <v>0</v>
      </c>
      <c r="N399" s="121" t="s">
        <v>1006</v>
      </c>
      <c r="O399" s="103" t="s">
        <v>945</v>
      </c>
      <c r="P399" s="137">
        <f t="shared" si="33"/>
        <v>0</v>
      </c>
    </row>
    <row r="400" spans="1:16" s="105" customFormat="1" ht="31.5" x14ac:dyDescent="0.25">
      <c r="A400" s="106" t="s">
        <v>1110</v>
      </c>
      <c r="B400" s="129">
        <v>44903</v>
      </c>
      <c r="C400" s="25" t="s">
        <v>1096</v>
      </c>
      <c r="D400" s="25" t="s">
        <v>1122</v>
      </c>
      <c r="E400" s="162"/>
      <c r="F400" s="134">
        <v>134.13</v>
      </c>
      <c r="G400" s="50"/>
      <c r="H400" s="107">
        <v>44903</v>
      </c>
      <c r="I400" s="144">
        <v>24</v>
      </c>
      <c r="J400" s="104">
        <v>134.13</v>
      </c>
      <c r="K400" s="104">
        <f t="shared" si="37"/>
        <v>3219.12</v>
      </c>
      <c r="L400" s="103">
        <v>24</v>
      </c>
      <c r="M400" s="141">
        <f t="shared" si="36"/>
        <v>0</v>
      </c>
      <c r="N400" s="121" t="s">
        <v>1006</v>
      </c>
      <c r="O400" s="103" t="s">
        <v>945</v>
      </c>
      <c r="P400" s="137">
        <f t="shared" si="33"/>
        <v>0</v>
      </c>
    </row>
    <row r="401" spans="1:16" s="105" customFormat="1" ht="31.5" x14ac:dyDescent="0.25">
      <c r="A401" s="106" t="s">
        <v>1111</v>
      </c>
      <c r="B401" s="129">
        <v>44903</v>
      </c>
      <c r="C401" s="25" t="s">
        <v>1097</v>
      </c>
      <c r="D401" s="25" t="s">
        <v>1122</v>
      </c>
      <c r="E401" s="162"/>
      <c r="F401" s="134">
        <v>147.35</v>
      </c>
      <c r="G401" s="50"/>
      <c r="H401" s="107">
        <v>44903</v>
      </c>
      <c r="I401" s="144">
        <v>24</v>
      </c>
      <c r="J401" s="104">
        <v>147.35</v>
      </c>
      <c r="K401" s="104">
        <f t="shared" si="37"/>
        <v>3536.3999999999996</v>
      </c>
      <c r="L401" s="103">
        <v>24</v>
      </c>
      <c r="M401" s="141">
        <f t="shared" si="36"/>
        <v>0</v>
      </c>
      <c r="N401" s="121" t="s">
        <v>1006</v>
      </c>
      <c r="O401" s="103" t="s">
        <v>945</v>
      </c>
      <c r="P401" s="137">
        <f t="shared" si="33"/>
        <v>0</v>
      </c>
    </row>
    <row r="402" spans="1:16" s="105" customFormat="1" ht="31.5" x14ac:dyDescent="0.25">
      <c r="A402" s="106" t="s">
        <v>1112</v>
      </c>
      <c r="B402" s="129">
        <v>44903</v>
      </c>
      <c r="C402" s="25" t="s">
        <v>1098</v>
      </c>
      <c r="D402" s="25" t="s">
        <v>1122</v>
      </c>
      <c r="E402" s="162"/>
      <c r="F402" s="134">
        <v>1100.5</v>
      </c>
      <c r="G402" s="50"/>
      <c r="H402" s="107">
        <v>44903</v>
      </c>
      <c r="I402" s="144">
        <v>2</v>
      </c>
      <c r="J402" s="104">
        <v>1100.5</v>
      </c>
      <c r="K402" s="104">
        <f t="shared" si="37"/>
        <v>2201</v>
      </c>
      <c r="L402" s="103">
        <v>2</v>
      </c>
      <c r="M402" s="141">
        <f t="shared" si="36"/>
        <v>0</v>
      </c>
      <c r="N402" s="121" t="s">
        <v>1006</v>
      </c>
      <c r="O402" s="103" t="s">
        <v>945</v>
      </c>
      <c r="P402" s="137">
        <f t="shared" si="33"/>
        <v>0</v>
      </c>
    </row>
    <row r="403" spans="1:16" s="105" customFormat="1" ht="15.75" x14ac:dyDescent="0.25">
      <c r="A403" s="106" t="s">
        <v>1119</v>
      </c>
      <c r="B403" s="102"/>
      <c r="C403" s="25" t="s">
        <v>1114</v>
      </c>
      <c r="D403" s="25" t="s">
        <v>1122</v>
      </c>
      <c r="E403" s="162"/>
      <c r="F403" s="134"/>
      <c r="G403" s="50"/>
      <c r="H403" s="107"/>
      <c r="I403" s="144"/>
      <c r="J403" s="104"/>
      <c r="K403" s="104">
        <f t="shared" si="37"/>
        <v>0</v>
      </c>
      <c r="L403" s="103">
        <v>22</v>
      </c>
      <c r="M403" s="141">
        <f t="shared" si="36"/>
        <v>-22</v>
      </c>
      <c r="N403" s="121"/>
      <c r="O403" s="103" t="s">
        <v>946</v>
      </c>
      <c r="P403" s="137">
        <f t="shared" si="33"/>
        <v>0</v>
      </c>
    </row>
    <row r="404" spans="1:16" s="105" customFormat="1" ht="31.5" x14ac:dyDescent="0.25">
      <c r="A404" s="106" t="s">
        <v>1124</v>
      </c>
      <c r="B404" s="102">
        <v>45020</v>
      </c>
      <c r="C404" s="25" t="s">
        <v>1129</v>
      </c>
      <c r="D404" s="25" t="s">
        <v>1122</v>
      </c>
      <c r="E404" s="164">
        <v>50</v>
      </c>
      <c r="F404" s="134"/>
      <c r="G404" s="50"/>
      <c r="H404" s="107"/>
      <c r="I404" s="144"/>
      <c r="J404" s="104"/>
      <c r="K404" s="104">
        <f t="shared" si="37"/>
        <v>0</v>
      </c>
      <c r="L404" s="103">
        <v>5</v>
      </c>
      <c r="M404" s="141">
        <f t="shared" si="36"/>
        <v>45</v>
      </c>
      <c r="N404" s="121" t="s">
        <v>1132</v>
      </c>
      <c r="O404" s="103" t="s">
        <v>946</v>
      </c>
      <c r="P404" s="137">
        <f t="shared" si="33"/>
        <v>0</v>
      </c>
    </row>
    <row r="405" spans="1:16" s="105" customFormat="1" ht="31.5" x14ac:dyDescent="0.25">
      <c r="A405" s="106" t="s">
        <v>1125</v>
      </c>
      <c r="B405" s="102">
        <v>45020</v>
      </c>
      <c r="C405" s="25" t="s">
        <v>1130</v>
      </c>
      <c r="D405" s="25"/>
      <c r="E405" s="164"/>
      <c r="F405" s="134"/>
      <c r="G405" s="50"/>
      <c r="H405" s="107"/>
      <c r="I405" s="144"/>
      <c r="J405" s="104"/>
      <c r="K405" s="104">
        <f t="shared" si="37"/>
        <v>0</v>
      </c>
      <c r="L405" s="103"/>
      <c r="M405" s="141">
        <f t="shared" si="36"/>
        <v>0</v>
      </c>
      <c r="N405" s="121" t="s">
        <v>1132</v>
      </c>
      <c r="O405" s="103" t="s">
        <v>946</v>
      </c>
      <c r="P405" s="137">
        <f t="shared" si="33"/>
        <v>0</v>
      </c>
    </row>
    <row r="406" spans="1:16" s="105" customFormat="1" ht="31.5" x14ac:dyDescent="0.25">
      <c r="A406" s="106" t="s">
        <v>1126</v>
      </c>
      <c r="B406" s="102">
        <v>45020</v>
      </c>
      <c r="C406" s="25" t="s">
        <v>1131</v>
      </c>
      <c r="D406" s="25" t="s">
        <v>1122</v>
      </c>
      <c r="E406" s="164">
        <v>40</v>
      </c>
      <c r="F406" s="134">
        <v>17.7</v>
      </c>
      <c r="G406" s="50"/>
      <c r="H406" s="102">
        <v>45020</v>
      </c>
      <c r="I406" s="144">
        <v>40</v>
      </c>
      <c r="J406" s="104">
        <v>17.7</v>
      </c>
      <c r="K406" s="104">
        <f t="shared" si="37"/>
        <v>708</v>
      </c>
      <c r="L406" s="103"/>
      <c r="M406" s="141">
        <f t="shared" si="36"/>
        <v>80</v>
      </c>
      <c r="N406" s="121" t="s">
        <v>1132</v>
      </c>
      <c r="O406" s="103" t="s">
        <v>946</v>
      </c>
      <c r="P406" s="137">
        <f t="shared" si="33"/>
        <v>1416</v>
      </c>
    </row>
    <row r="407" spans="1:16" s="105" customFormat="1" ht="15.75" x14ac:dyDescent="0.25">
      <c r="A407" s="106" t="s">
        <v>1127</v>
      </c>
      <c r="B407" s="102">
        <v>45020</v>
      </c>
      <c r="C407" s="25" t="s">
        <v>1133</v>
      </c>
      <c r="D407" s="25" t="s">
        <v>1122</v>
      </c>
      <c r="E407" s="164">
        <v>10</v>
      </c>
      <c r="F407" s="134">
        <v>206.61</v>
      </c>
      <c r="G407" s="50"/>
      <c r="H407" s="102">
        <v>45020</v>
      </c>
      <c r="I407" s="144">
        <v>10</v>
      </c>
      <c r="J407" s="104">
        <v>206.61</v>
      </c>
      <c r="K407" s="104">
        <f t="shared" si="37"/>
        <v>2066.1000000000004</v>
      </c>
      <c r="L407" s="103"/>
      <c r="M407" s="141">
        <f t="shared" si="36"/>
        <v>20</v>
      </c>
      <c r="N407" s="121"/>
      <c r="O407" s="103" t="s">
        <v>946</v>
      </c>
      <c r="P407" s="137">
        <f t="shared" si="33"/>
        <v>4132.2000000000007</v>
      </c>
    </row>
    <row r="408" spans="1:16" s="105" customFormat="1" ht="15.75" x14ac:dyDescent="0.25">
      <c r="A408" s="106" t="s">
        <v>1128</v>
      </c>
      <c r="B408" s="102">
        <v>45020</v>
      </c>
      <c r="C408" s="25" t="s">
        <v>1134</v>
      </c>
      <c r="D408" s="25" t="s">
        <v>1122</v>
      </c>
      <c r="E408" s="164">
        <v>10</v>
      </c>
      <c r="F408" s="134">
        <v>377.6</v>
      </c>
      <c r="G408" s="50"/>
      <c r="H408" s="102">
        <v>45020</v>
      </c>
      <c r="I408" s="144">
        <v>10</v>
      </c>
      <c r="J408" s="104">
        <v>377.6</v>
      </c>
      <c r="K408" s="104">
        <f t="shared" si="37"/>
        <v>3776</v>
      </c>
      <c r="L408" s="103"/>
      <c r="M408" s="141">
        <f t="shared" si="36"/>
        <v>20</v>
      </c>
      <c r="N408" s="121"/>
      <c r="O408" s="103" t="s">
        <v>946</v>
      </c>
      <c r="P408" s="137">
        <f t="shared" si="33"/>
        <v>7552</v>
      </c>
    </row>
    <row r="409" spans="1:16" s="105" customFormat="1" ht="15.75" x14ac:dyDescent="0.25">
      <c r="A409" s="106" t="s">
        <v>1151</v>
      </c>
      <c r="B409" s="102">
        <v>45020</v>
      </c>
      <c r="C409" s="25" t="s">
        <v>1135</v>
      </c>
      <c r="D409" s="25" t="s">
        <v>1122</v>
      </c>
      <c r="E409" s="164">
        <v>10</v>
      </c>
      <c r="F409" s="134">
        <v>2619.6</v>
      </c>
      <c r="G409" s="50"/>
      <c r="H409" s="102">
        <v>45020</v>
      </c>
      <c r="I409" s="144">
        <v>10</v>
      </c>
      <c r="J409" s="104">
        <v>2619.6</v>
      </c>
      <c r="K409" s="104">
        <f t="shared" si="37"/>
        <v>26196</v>
      </c>
      <c r="L409" s="103"/>
      <c r="M409" s="141">
        <f t="shared" si="36"/>
        <v>20</v>
      </c>
      <c r="N409" s="121"/>
      <c r="O409" s="103" t="s">
        <v>946</v>
      </c>
      <c r="P409" s="137">
        <f t="shared" ref="P409:P439" si="38">+F409*M409</f>
        <v>52392</v>
      </c>
    </row>
    <row r="410" spans="1:16" s="105" customFormat="1" ht="15.75" x14ac:dyDescent="0.25">
      <c r="A410" s="106" t="s">
        <v>1152</v>
      </c>
      <c r="B410" s="102">
        <v>45020</v>
      </c>
      <c r="C410" s="25" t="s">
        <v>1136</v>
      </c>
      <c r="D410" s="25" t="s">
        <v>1122</v>
      </c>
      <c r="E410" s="164">
        <v>5</v>
      </c>
      <c r="F410" s="134">
        <v>354</v>
      </c>
      <c r="G410" s="50"/>
      <c r="H410" s="102">
        <v>45020</v>
      </c>
      <c r="I410" s="144">
        <v>5</v>
      </c>
      <c r="J410" s="104">
        <v>354</v>
      </c>
      <c r="K410" s="104">
        <f t="shared" si="37"/>
        <v>1770</v>
      </c>
      <c r="L410" s="103"/>
      <c r="M410" s="141">
        <f t="shared" si="36"/>
        <v>10</v>
      </c>
      <c r="N410" s="121"/>
      <c r="O410" s="103" t="s">
        <v>946</v>
      </c>
      <c r="P410" s="137">
        <f t="shared" si="38"/>
        <v>3540</v>
      </c>
    </row>
    <row r="411" spans="1:16" s="105" customFormat="1" ht="15.75" x14ac:dyDescent="0.25">
      <c r="A411" s="106" t="s">
        <v>1153</v>
      </c>
      <c r="B411" s="102">
        <v>45020</v>
      </c>
      <c r="C411" s="25" t="s">
        <v>1137</v>
      </c>
      <c r="D411" s="25" t="s">
        <v>1122</v>
      </c>
      <c r="E411" s="164">
        <v>12</v>
      </c>
      <c r="F411" s="134">
        <v>1829</v>
      </c>
      <c r="G411" s="50"/>
      <c r="H411" s="102">
        <v>45020</v>
      </c>
      <c r="I411" s="144">
        <v>12</v>
      </c>
      <c r="J411" s="104">
        <v>1829</v>
      </c>
      <c r="K411" s="104">
        <f t="shared" si="37"/>
        <v>21948</v>
      </c>
      <c r="L411" s="103"/>
      <c r="M411" s="141">
        <f t="shared" si="36"/>
        <v>24</v>
      </c>
      <c r="N411" s="121"/>
      <c r="O411" s="103" t="s">
        <v>946</v>
      </c>
      <c r="P411" s="137">
        <f t="shared" si="38"/>
        <v>43896</v>
      </c>
    </row>
    <row r="412" spans="1:16" s="105" customFormat="1" ht="15.75" x14ac:dyDescent="0.25">
      <c r="A412" s="106" t="s">
        <v>1154</v>
      </c>
      <c r="B412" s="102">
        <v>45020</v>
      </c>
      <c r="C412" s="25" t="s">
        <v>1138</v>
      </c>
      <c r="D412" s="25" t="s">
        <v>1122</v>
      </c>
      <c r="E412" s="164">
        <v>3</v>
      </c>
      <c r="F412" s="134">
        <v>4543</v>
      </c>
      <c r="G412" s="50"/>
      <c r="H412" s="102">
        <v>45020</v>
      </c>
      <c r="I412" s="144">
        <v>3</v>
      </c>
      <c r="J412" s="104">
        <v>4543</v>
      </c>
      <c r="K412" s="104">
        <f t="shared" si="37"/>
        <v>13629</v>
      </c>
      <c r="L412" s="103"/>
      <c r="M412" s="141">
        <f t="shared" si="36"/>
        <v>6</v>
      </c>
      <c r="N412" s="121"/>
      <c r="O412" s="103" t="s">
        <v>946</v>
      </c>
      <c r="P412" s="137">
        <f t="shared" si="38"/>
        <v>27258</v>
      </c>
    </row>
    <row r="413" spans="1:16" s="105" customFormat="1" ht="15.75" x14ac:dyDescent="0.25">
      <c r="A413" s="106" t="s">
        <v>1155</v>
      </c>
      <c r="B413" s="102">
        <v>45020</v>
      </c>
      <c r="C413" s="25" t="s">
        <v>1139</v>
      </c>
      <c r="D413" s="25" t="s">
        <v>1122</v>
      </c>
      <c r="E413" s="164">
        <v>10</v>
      </c>
      <c r="F413" s="134">
        <v>153.4</v>
      </c>
      <c r="G413" s="50"/>
      <c r="H413" s="102">
        <v>45020</v>
      </c>
      <c r="I413" s="144">
        <v>10</v>
      </c>
      <c r="J413" s="104">
        <v>153.4</v>
      </c>
      <c r="K413" s="104">
        <f t="shared" si="37"/>
        <v>1534</v>
      </c>
      <c r="L413" s="103"/>
      <c r="M413" s="141">
        <f t="shared" si="36"/>
        <v>20</v>
      </c>
      <c r="N413" s="121"/>
      <c r="O413" s="103" t="s">
        <v>946</v>
      </c>
      <c r="P413" s="137">
        <f t="shared" si="38"/>
        <v>3068</v>
      </c>
    </row>
    <row r="414" spans="1:16" s="105" customFormat="1" ht="15.75" x14ac:dyDescent="0.25">
      <c r="A414" s="106" t="s">
        <v>1156</v>
      </c>
      <c r="B414" s="102">
        <v>45020</v>
      </c>
      <c r="C414" s="25" t="s">
        <v>1140</v>
      </c>
      <c r="D414" s="25" t="s">
        <v>1122</v>
      </c>
      <c r="E414" s="164">
        <v>3</v>
      </c>
      <c r="F414" s="134">
        <v>4425</v>
      </c>
      <c r="G414" s="50"/>
      <c r="H414" s="102">
        <v>45020</v>
      </c>
      <c r="I414" s="144">
        <v>3</v>
      </c>
      <c r="J414" s="104">
        <v>4425</v>
      </c>
      <c r="K414" s="104">
        <f t="shared" si="37"/>
        <v>13275</v>
      </c>
      <c r="L414" s="103">
        <v>3</v>
      </c>
      <c r="M414" s="151">
        <f t="shared" si="36"/>
        <v>3</v>
      </c>
      <c r="N414" s="121"/>
      <c r="O414" s="103" t="s">
        <v>945</v>
      </c>
      <c r="P414" s="137">
        <f t="shared" si="38"/>
        <v>13275</v>
      </c>
    </row>
    <row r="415" spans="1:16" s="105" customFormat="1" ht="15.75" x14ac:dyDescent="0.25">
      <c r="A415" s="106" t="s">
        <v>1157</v>
      </c>
      <c r="B415" s="102">
        <v>45020</v>
      </c>
      <c r="C415" s="25" t="s">
        <v>1141</v>
      </c>
      <c r="D415" s="25" t="s">
        <v>1122</v>
      </c>
      <c r="E415" s="164">
        <v>10</v>
      </c>
      <c r="F415" s="134">
        <v>276.12</v>
      </c>
      <c r="G415" s="50"/>
      <c r="H415" s="102">
        <v>45020</v>
      </c>
      <c r="I415" s="144">
        <v>10</v>
      </c>
      <c r="J415" s="104">
        <v>276.12</v>
      </c>
      <c r="K415" s="104">
        <f t="shared" si="37"/>
        <v>2761.2</v>
      </c>
      <c r="L415" s="103"/>
      <c r="M415" s="141">
        <f t="shared" si="36"/>
        <v>20</v>
      </c>
      <c r="N415" s="121"/>
      <c r="O415" s="103" t="s">
        <v>946</v>
      </c>
      <c r="P415" s="137">
        <f t="shared" si="38"/>
        <v>5522.4</v>
      </c>
    </row>
    <row r="416" spans="1:16" s="105" customFormat="1" ht="15.75" x14ac:dyDescent="0.25">
      <c r="A416" s="106" t="s">
        <v>1158</v>
      </c>
      <c r="B416" s="102">
        <v>45020</v>
      </c>
      <c r="C416" s="25" t="s">
        <v>1142</v>
      </c>
      <c r="D416" s="25" t="s">
        <v>1122</v>
      </c>
      <c r="E416" s="164">
        <v>10</v>
      </c>
      <c r="F416" s="134">
        <v>348.1</v>
      </c>
      <c r="G416" s="50"/>
      <c r="H416" s="102">
        <v>45020</v>
      </c>
      <c r="I416" s="144">
        <v>10</v>
      </c>
      <c r="J416" s="104">
        <v>348.1</v>
      </c>
      <c r="K416" s="104">
        <f t="shared" si="37"/>
        <v>3481</v>
      </c>
      <c r="L416" s="103"/>
      <c r="M416" s="141">
        <f t="shared" si="36"/>
        <v>20</v>
      </c>
      <c r="N416" s="121"/>
      <c r="O416" s="103" t="s">
        <v>946</v>
      </c>
      <c r="P416" s="137">
        <f t="shared" si="38"/>
        <v>6962</v>
      </c>
    </row>
    <row r="417" spans="1:16" s="105" customFormat="1" ht="15.75" x14ac:dyDescent="0.25">
      <c r="A417" s="106" t="s">
        <v>1159</v>
      </c>
      <c r="B417" s="102">
        <v>45020</v>
      </c>
      <c r="C417" s="25" t="s">
        <v>1143</v>
      </c>
      <c r="D417" s="25" t="s">
        <v>1122</v>
      </c>
      <c r="E417" s="164">
        <v>12</v>
      </c>
      <c r="F417" s="134">
        <v>165.16</v>
      </c>
      <c r="G417" s="50"/>
      <c r="H417" s="102">
        <v>45020</v>
      </c>
      <c r="I417" s="144">
        <v>12</v>
      </c>
      <c r="J417" s="104">
        <v>165.16</v>
      </c>
      <c r="K417" s="104">
        <f t="shared" si="37"/>
        <v>1981.92</v>
      </c>
      <c r="L417" s="103"/>
      <c r="M417" s="141">
        <f t="shared" si="36"/>
        <v>24</v>
      </c>
      <c r="N417" s="121"/>
      <c r="O417" s="103" t="s">
        <v>946</v>
      </c>
      <c r="P417" s="137">
        <f t="shared" si="38"/>
        <v>3963.84</v>
      </c>
    </row>
    <row r="418" spans="1:16" s="105" customFormat="1" ht="15.75" x14ac:dyDescent="0.25">
      <c r="A418" s="106" t="s">
        <v>1160</v>
      </c>
      <c r="B418" s="102">
        <v>45020</v>
      </c>
      <c r="C418" s="25" t="s">
        <v>1144</v>
      </c>
      <c r="D418" s="25" t="s">
        <v>1122</v>
      </c>
      <c r="E418" s="164">
        <v>1</v>
      </c>
      <c r="F418" s="134">
        <v>48675</v>
      </c>
      <c r="G418" s="50"/>
      <c r="H418" s="102">
        <v>45020</v>
      </c>
      <c r="I418" s="144">
        <v>1</v>
      </c>
      <c r="J418" s="104">
        <v>48675</v>
      </c>
      <c r="K418" s="104">
        <f t="shared" si="37"/>
        <v>48675</v>
      </c>
      <c r="L418" s="103"/>
      <c r="M418" s="141">
        <f t="shared" si="36"/>
        <v>2</v>
      </c>
      <c r="N418" s="121"/>
      <c r="O418" s="103" t="s">
        <v>946</v>
      </c>
      <c r="P418" s="137">
        <f t="shared" si="38"/>
        <v>97350</v>
      </c>
    </row>
    <row r="419" spans="1:16" s="105" customFormat="1" ht="15.75" x14ac:dyDescent="0.25">
      <c r="A419" s="106" t="s">
        <v>1161</v>
      </c>
      <c r="B419" s="102">
        <v>45020</v>
      </c>
      <c r="C419" s="25" t="s">
        <v>1145</v>
      </c>
      <c r="D419" s="25" t="s">
        <v>1122</v>
      </c>
      <c r="E419" s="164">
        <v>1</v>
      </c>
      <c r="F419" s="134">
        <v>67571.820000000007</v>
      </c>
      <c r="G419" s="50"/>
      <c r="H419" s="102">
        <v>45020</v>
      </c>
      <c r="I419" s="144">
        <v>1</v>
      </c>
      <c r="J419" s="104">
        <v>67571.820000000007</v>
      </c>
      <c r="K419" s="104">
        <f t="shared" si="37"/>
        <v>67571.820000000007</v>
      </c>
      <c r="L419" s="103"/>
      <c r="M419" s="141">
        <f t="shared" si="36"/>
        <v>2</v>
      </c>
      <c r="N419" s="121"/>
      <c r="O419" s="103" t="s">
        <v>946</v>
      </c>
      <c r="P419" s="137">
        <f t="shared" si="38"/>
        <v>135143.64000000001</v>
      </c>
    </row>
    <row r="420" spans="1:16" s="105" customFormat="1" ht="15.75" x14ac:dyDescent="0.25">
      <c r="A420" s="106" t="s">
        <v>1162</v>
      </c>
      <c r="B420" s="102">
        <v>45020</v>
      </c>
      <c r="C420" s="25" t="s">
        <v>1146</v>
      </c>
      <c r="D420" s="25" t="s">
        <v>1122</v>
      </c>
      <c r="E420" s="164">
        <v>15</v>
      </c>
      <c r="F420" s="134">
        <v>873.2</v>
      </c>
      <c r="G420" s="50"/>
      <c r="H420" s="102">
        <v>45020</v>
      </c>
      <c r="I420" s="144">
        <v>15</v>
      </c>
      <c r="J420" s="104">
        <v>873.2</v>
      </c>
      <c r="K420" s="104">
        <f t="shared" si="37"/>
        <v>13098</v>
      </c>
      <c r="L420" s="103"/>
      <c r="M420" s="141">
        <f t="shared" si="36"/>
        <v>30</v>
      </c>
      <c r="N420" s="121"/>
      <c r="O420" s="103" t="s">
        <v>946</v>
      </c>
      <c r="P420" s="137">
        <f t="shared" si="38"/>
        <v>26196</v>
      </c>
    </row>
    <row r="421" spans="1:16" s="105" customFormat="1" ht="15.75" x14ac:dyDescent="0.25">
      <c r="A421" s="106" t="s">
        <v>1163</v>
      </c>
      <c r="B421" s="102">
        <v>45020</v>
      </c>
      <c r="C421" s="25" t="s">
        <v>1147</v>
      </c>
      <c r="D421" s="25" t="s">
        <v>1122</v>
      </c>
      <c r="E421" s="162">
        <v>20</v>
      </c>
      <c r="F421" s="134">
        <v>324.5</v>
      </c>
      <c r="G421" s="50"/>
      <c r="H421" s="102">
        <v>45020</v>
      </c>
      <c r="I421" s="144">
        <v>20</v>
      </c>
      <c r="J421" s="104">
        <v>324.5</v>
      </c>
      <c r="K421" s="104">
        <f t="shared" si="37"/>
        <v>6490</v>
      </c>
      <c r="L421" s="103"/>
      <c r="M421" s="141">
        <f t="shared" si="36"/>
        <v>40</v>
      </c>
      <c r="N421" s="121"/>
      <c r="O421" s="103" t="s">
        <v>946</v>
      </c>
      <c r="P421" s="137">
        <f t="shared" si="38"/>
        <v>12980</v>
      </c>
    </row>
    <row r="422" spans="1:16" s="105" customFormat="1" ht="15.75" x14ac:dyDescent="0.25">
      <c r="A422" s="106" t="s">
        <v>1164</v>
      </c>
      <c r="B422" s="102">
        <v>45020</v>
      </c>
      <c r="C422" s="25" t="s">
        <v>1148</v>
      </c>
      <c r="D422" s="25" t="s">
        <v>1122</v>
      </c>
      <c r="E422" s="162">
        <v>300</v>
      </c>
      <c r="F422" s="134">
        <v>3.48</v>
      </c>
      <c r="G422" s="50"/>
      <c r="H422" s="102">
        <v>45020</v>
      </c>
      <c r="I422" s="144">
        <v>300</v>
      </c>
      <c r="J422" s="104">
        <v>3.48</v>
      </c>
      <c r="K422" s="104">
        <f t="shared" si="37"/>
        <v>1044</v>
      </c>
      <c r="L422" s="103"/>
      <c r="M422" s="141">
        <f t="shared" si="36"/>
        <v>600</v>
      </c>
      <c r="N422" s="121"/>
      <c r="O422" s="103" t="s">
        <v>946</v>
      </c>
      <c r="P422" s="137">
        <f t="shared" si="38"/>
        <v>2088</v>
      </c>
    </row>
    <row r="423" spans="1:16" s="105" customFormat="1" ht="15.75" x14ac:dyDescent="0.25">
      <c r="A423" s="106" t="s">
        <v>1165</v>
      </c>
      <c r="B423" s="102">
        <v>45020</v>
      </c>
      <c r="C423" s="25" t="s">
        <v>1149</v>
      </c>
      <c r="D423" s="25" t="s">
        <v>1122</v>
      </c>
      <c r="E423" s="162">
        <v>3</v>
      </c>
      <c r="F423" s="134">
        <v>1062</v>
      </c>
      <c r="G423" s="50"/>
      <c r="H423" s="102">
        <v>45020</v>
      </c>
      <c r="I423" s="144">
        <v>3</v>
      </c>
      <c r="J423" s="13">
        <v>1062</v>
      </c>
      <c r="K423" s="104">
        <f t="shared" si="37"/>
        <v>3186</v>
      </c>
      <c r="L423" s="103"/>
      <c r="M423" s="141">
        <f t="shared" si="36"/>
        <v>6</v>
      </c>
      <c r="N423" s="121"/>
      <c r="O423" s="103" t="s">
        <v>946</v>
      </c>
      <c r="P423" s="137">
        <f t="shared" si="38"/>
        <v>6372</v>
      </c>
    </row>
    <row r="424" spans="1:16" s="105" customFormat="1" ht="15.75" x14ac:dyDescent="0.25">
      <c r="A424" s="106" t="s">
        <v>1166</v>
      </c>
      <c r="B424" s="102">
        <v>45020</v>
      </c>
      <c r="C424" s="25" t="s">
        <v>1150</v>
      </c>
      <c r="D424" s="25" t="s">
        <v>1122</v>
      </c>
      <c r="E424" s="162">
        <v>7</v>
      </c>
      <c r="F424" s="134">
        <v>1298</v>
      </c>
      <c r="G424" s="50"/>
      <c r="H424" s="102">
        <v>45020</v>
      </c>
      <c r="I424" s="144">
        <v>7</v>
      </c>
      <c r="J424" s="13">
        <v>1298</v>
      </c>
      <c r="K424" s="104">
        <f t="shared" si="37"/>
        <v>9086</v>
      </c>
      <c r="L424" s="103"/>
      <c r="M424" s="141">
        <f t="shared" si="36"/>
        <v>14</v>
      </c>
      <c r="N424" s="121"/>
      <c r="O424" s="103" t="s">
        <v>946</v>
      </c>
      <c r="P424" s="137">
        <f t="shared" si="38"/>
        <v>18172</v>
      </c>
    </row>
    <row r="425" spans="1:16" s="105" customFormat="1" ht="15.75" x14ac:dyDescent="0.25">
      <c r="A425" s="106" t="s">
        <v>1169</v>
      </c>
      <c r="B425" s="102">
        <v>45019</v>
      </c>
      <c r="C425" s="25" t="s">
        <v>1171</v>
      </c>
      <c r="D425" s="25" t="s">
        <v>1172</v>
      </c>
      <c r="E425" s="162"/>
      <c r="F425" s="134">
        <v>3540</v>
      </c>
      <c r="G425" s="50"/>
      <c r="H425" s="102">
        <v>45019</v>
      </c>
      <c r="I425" s="144">
        <v>15</v>
      </c>
      <c r="J425" s="13">
        <v>3540</v>
      </c>
      <c r="K425" s="104">
        <f>+J425*I425</f>
        <v>53100</v>
      </c>
      <c r="L425" s="103">
        <v>1</v>
      </c>
      <c r="M425" s="141">
        <f t="shared" si="36"/>
        <v>14</v>
      </c>
      <c r="N425" s="121"/>
      <c r="O425" s="103" t="s">
        <v>945</v>
      </c>
      <c r="P425" s="137">
        <f>+F425*M425</f>
        <v>49560</v>
      </c>
    </row>
    <row r="426" spans="1:16" s="105" customFormat="1" ht="15.75" x14ac:dyDescent="0.25">
      <c r="A426" s="106" t="s">
        <v>1170</v>
      </c>
      <c r="B426" s="102">
        <v>45019</v>
      </c>
      <c r="C426" s="25" t="s">
        <v>1174</v>
      </c>
      <c r="D426" s="25" t="s">
        <v>1173</v>
      </c>
      <c r="E426" s="162">
        <v>6</v>
      </c>
      <c r="F426" s="134">
        <v>1500.96</v>
      </c>
      <c r="G426" s="50"/>
      <c r="H426" s="102">
        <v>45019</v>
      </c>
      <c r="I426" s="144">
        <f>16*6</f>
        <v>96</v>
      </c>
      <c r="J426" s="13">
        <v>1500.96</v>
      </c>
      <c r="K426" s="104">
        <f>+J426*I426</f>
        <v>144092.16</v>
      </c>
      <c r="L426" s="103">
        <f>11+1+1</f>
        <v>13</v>
      </c>
      <c r="M426" s="141">
        <f t="shared" si="36"/>
        <v>89</v>
      </c>
      <c r="N426" s="121"/>
      <c r="O426" s="103" t="s">
        <v>945</v>
      </c>
      <c r="P426" s="137">
        <f t="shared" si="38"/>
        <v>133585.44</v>
      </c>
    </row>
    <row r="427" spans="1:16" s="192" customFormat="1" ht="15.75" x14ac:dyDescent="0.25">
      <c r="A427" s="181" t="s">
        <v>1177</v>
      </c>
      <c r="B427" s="182">
        <v>45019</v>
      </c>
      <c r="C427" s="183" t="s">
        <v>1175</v>
      </c>
      <c r="D427" s="183" t="s">
        <v>1176</v>
      </c>
      <c r="E427" s="184">
        <v>0</v>
      </c>
      <c r="F427" s="185">
        <v>154.51</v>
      </c>
      <c r="G427" s="186"/>
      <c r="H427" s="182">
        <v>45127</v>
      </c>
      <c r="I427" s="187">
        <v>36</v>
      </c>
      <c r="J427" s="188">
        <v>181.92</v>
      </c>
      <c r="K427" s="189">
        <f>+J427*I427</f>
        <v>6549.12</v>
      </c>
      <c r="L427" s="190">
        <v>1</v>
      </c>
      <c r="M427" s="190">
        <f>+E427+I427-L427</f>
        <v>35</v>
      </c>
      <c r="N427" s="191"/>
      <c r="O427" s="190" t="s">
        <v>945</v>
      </c>
      <c r="P427" s="189">
        <f>+F427*M427</f>
        <v>5407.8499999999995</v>
      </c>
    </row>
    <row r="428" spans="1:16" s="105" customFormat="1" ht="15.75" x14ac:dyDescent="0.25">
      <c r="A428" s="106" t="s">
        <v>1178</v>
      </c>
      <c r="B428" s="102">
        <v>45019</v>
      </c>
      <c r="C428" s="25" t="s">
        <v>1179</v>
      </c>
      <c r="D428" s="25" t="s">
        <v>1122</v>
      </c>
      <c r="E428" s="162">
        <v>5</v>
      </c>
      <c r="F428" s="134">
        <v>223.06</v>
      </c>
      <c r="G428" s="50"/>
      <c r="H428" s="102">
        <v>45019</v>
      </c>
      <c r="I428" s="144">
        <v>12</v>
      </c>
      <c r="J428" s="13">
        <v>223.06</v>
      </c>
      <c r="K428" s="104">
        <f t="shared" ref="K428:K439" si="39">+J428*I428</f>
        <v>2676.7200000000003</v>
      </c>
      <c r="L428" s="103"/>
      <c r="M428" s="151">
        <f>+E428+I428-L428</f>
        <v>17</v>
      </c>
      <c r="N428" s="121"/>
      <c r="O428" s="103" t="s">
        <v>945</v>
      </c>
      <c r="P428" s="137">
        <f t="shared" si="38"/>
        <v>3792.02</v>
      </c>
    </row>
    <row r="429" spans="1:16" s="105" customFormat="1" ht="15.75" x14ac:dyDescent="0.25">
      <c r="A429" s="106" t="s">
        <v>1181</v>
      </c>
      <c r="B429" s="102">
        <v>45019</v>
      </c>
      <c r="C429" s="25" t="s">
        <v>1180</v>
      </c>
      <c r="D429" s="25" t="s">
        <v>1122</v>
      </c>
      <c r="E429" s="162"/>
      <c r="F429" s="134">
        <v>236</v>
      </c>
      <c r="G429" s="50"/>
      <c r="H429" s="102">
        <v>45019</v>
      </c>
      <c r="I429" s="144">
        <v>12</v>
      </c>
      <c r="J429" s="13">
        <v>236</v>
      </c>
      <c r="K429" s="104">
        <f t="shared" si="39"/>
        <v>2832</v>
      </c>
      <c r="L429" s="117">
        <v>1</v>
      </c>
      <c r="M429" s="151">
        <f t="shared" ref="M429:M473" si="40">+E429+I429-L429</f>
        <v>11</v>
      </c>
      <c r="N429" s="121"/>
      <c r="O429" s="103" t="s">
        <v>945</v>
      </c>
      <c r="P429" s="137">
        <f t="shared" si="38"/>
        <v>2596</v>
      </c>
    </row>
    <row r="430" spans="1:16" s="105" customFormat="1" ht="15.75" x14ac:dyDescent="0.25">
      <c r="A430" s="106" t="s">
        <v>1182</v>
      </c>
      <c r="B430" s="102">
        <v>45019</v>
      </c>
      <c r="C430" s="25" t="s">
        <v>1183</v>
      </c>
      <c r="D430" s="25" t="s">
        <v>1122</v>
      </c>
      <c r="E430" s="162"/>
      <c r="F430" s="134">
        <v>248.52</v>
      </c>
      <c r="G430" s="50"/>
      <c r="H430" s="102">
        <v>45019</v>
      </c>
      <c r="I430" s="144">
        <v>12</v>
      </c>
      <c r="J430" s="13">
        <v>248.52</v>
      </c>
      <c r="K430" s="104">
        <f t="shared" si="39"/>
        <v>2982.2400000000002</v>
      </c>
      <c r="L430" s="117">
        <v>6</v>
      </c>
      <c r="M430" s="151">
        <f t="shared" si="40"/>
        <v>6</v>
      </c>
      <c r="N430" s="121"/>
      <c r="O430" s="103" t="s">
        <v>945</v>
      </c>
      <c r="P430" s="137">
        <f t="shared" si="38"/>
        <v>1491.1200000000001</v>
      </c>
    </row>
    <row r="431" spans="1:16" s="105" customFormat="1" ht="15.75" x14ac:dyDescent="0.25">
      <c r="A431" s="106" t="s">
        <v>1184</v>
      </c>
      <c r="B431" s="102">
        <v>45019</v>
      </c>
      <c r="C431" s="25" t="s">
        <v>650</v>
      </c>
      <c r="D431" s="25" t="s">
        <v>1122</v>
      </c>
      <c r="E431" s="162">
        <v>1900</v>
      </c>
      <c r="F431" s="134">
        <v>4.01</v>
      </c>
      <c r="G431" s="50"/>
      <c r="H431" s="102">
        <v>45019</v>
      </c>
      <c r="I431" s="144">
        <v>700</v>
      </c>
      <c r="J431" s="130">
        <v>4.01</v>
      </c>
      <c r="K431" s="104">
        <f t="shared" si="39"/>
        <v>2807</v>
      </c>
      <c r="L431" s="117">
        <v>300</v>
      </c>
      <c r="M431" s="151">
        <f t="shared" si="40"/>
        <v>2300</v>
      </c>
      <c r="N431" s="121"/>
      <c r="O431" s="103" t="s">
        <v>945</v>
      </c>
      <c r="P431" s="137">
        <f t="shared" si="38"/>
        <v>9223</v>
      </c>
    </row>
    <row r="432" spans="1:16" s="105" customFormat="1" ht="15.75" x14ac:dyDescent="0.25">
      <c r="A432" s="106" t="s">
        <v>1185</v>
      </c>
      <c r="B432" s="102">
        <v>45019</v>
      </c>
      <c r="C432" s="25" t="s">
        <v>1186</v>
      </c>
      <c r="D432" s="25" t="s">
        <v>1122</v>
      </c>
      <c r="E432" s="162">
        <v>50</v>
      </c>
      <c r="F432" s="134">
        <v>66.67</v>
      </c>
      <c r="G432" s="50">
        <f>+E432*F432</f>
        <v>3333.5</v>
      </c>
      <c r="H432" s="102">
        <v>45019</v>
      </c>
      <c r="I432" s="144"/>
      <c r="J432" s="13">
        <v>66.67</v>
      </c>
      <c r="K432" s="104">
        <f t="shared" si="39"/>
        <v>0</v>
      </c>
      <c r="L432" s="117">
        <v>3</v>
      </c>
      <c r="M432" s="141">
        <f t="shared" si="40"/>
        <v>47</v>
      </c>
      <c r="N432" s="122"/>
      <c r="O432" s="117" t="s">
        <v>945</v>
      </c>
      <c r="P432" s="137">
        <f t="shared" si="38"/>
        <v>3133.4900000000002</v>
      </c>
    </row>
    <row r="433" spans="1:16" s="105" customFormat="1" ht="15.75" x14ac:dyDescent="0.25">
      <c r="A433" s="106" t="s">
        <v>1187</v>
      </c>
      <c r="B433" s="102">
        <v>45016</v>
      </c>
      <c r="C433" s="25" t="s">
        <v>1189</v>
      </c>
      <c r="D433" s="25" t="s">
        <v>1122</v>
      </c>
      <c r="E433" s="162">
        <v>8</v>
      </c>
      <c r="F433" s="134">
        <v>3371.25</v>
      </c>
      <c r="G433" s="50"/>
      <c r="H433" s="102">
        <v>45016</v>
      </c>
      <c r="I433" s="144">
        <v>8</v>
      </c>
      <c r="J433" s="130">
        <v>3371.25</v>
      </c>
      <c r="K433" s="104">
        <f t="shared" si="39"/>
        <v>26970</v>
      </c>
      <c r="L433" s="117"/>
      <c r="M433" s="141">
        <f t="shared" si="40"/>
        <v>16</v>
      </c>
      <c r="N433" s="122"/>
      <c r="O433" s="117" t="s">
        <v>945</v>
      </c>
      <c r="P433" s="137">
        <f t="shared" si="38"/>
        <v>53940</v>
      </c>
    </row>
    <row r="434" spans="1:16" s="105" customFormat="1" ht="15.75" x14ac:dyDescent="0.25">
      <c r="A434" s="106" t="s">
        <v>1188</v>
      </c>
      <c r="B434" s="102">
        <v>45016</v>
      </c>
      <c r="C434" s="25" t="s">
        <v>1191</v>
      </c>
      <c r="D434" s="25" t="s">
        <v>1122</v>
      </c>
      <c r="E434" s="162"/>
      <c r="F434" s="134">
        <v>510.94</v>
      </c>
      <c r="G434" s="50"/>
      <c r="H434" s="102">
        <v>45016</v>
      </c>
      <c r="I434" s="144">
        <v>5</v>
      </c>
      <c r="J434" s="130">
        <v>510.94</v>
      </c>
      <c r="K434" s="118">
        <f t="shared" si="39"/>
        <v>2554.6999999999998</v>
      </c>
      <c r="L434" s="117"/>
      <c r="M434" s="141">
        <f t="shared" si="40"/>
        <v>5</v>
      </c>
      <c r="N434" s="122"/>
      <c r="O434" s="117" t="s">
        <v>945</v>
      </c>
      <c r="P434" s="137">
        <f>+F434*M434</f>
        <v>2554.6999999999998</v>
      </c>
    </row>
    <row r="435" spans="1:16" s="105" customFormat="1" ht="15.75" x14ac:dyDescent="0.25">
      <c r="A435" s="106" t="s">
        <v>1197</v>
      </c>
      <c r="B435" s="102">
        <v>45016</v>
      </c>
      <c r="C435" s="25" t="s">
        <v>1192</v>
      </c>
      <c r="D435" s="25" t="s">
        <v>1122</v>
      </c>
      <c r="E435" s="162">
        <v>0</v>
      </c>
      <c r="F435" s="134">
        <v>7003.3</v>
      </c>
      <c r="G435" s="50"/>
      <c r="H435" s="102">
        <v>45016</v>
      </c>
      <c r="I435" s="144">
        <v>4</v>
      </c>
      <c r="J435" s="130">
        <v>7003.3</v>
      </c>
      <c r="K435" s="118">
        <f t="shared" si="39"/>
        <v>28013.200000000001</v>
      </c>
      <c r="L435" s="117">
        <v>4</v>
      </c>
      <c r="M435" s="141">
        <f t="shared" si="40"/>
        <v>0</v>
      </c>
      <c r="N435" s="122"/>
      <c r="O435" s="117" t="s">
        <v>945</v>
      </c>
      <c r="P435" s="137">
        <f>+F435*M435</f>
        <v>0</v>
      </c>
    </row>
    <row r="436" spans="1:16" s="105" customFormat="1" ht="15.75" x14ac:dyDescent="0.25">
      <c r="A436" s="106" t="s">
        <v>1198</v>
      </c>
      <c r="B436" s="102">
        <v>45016</v>
      </c>
      <c r="C436" s="25" t="s">
        <v>1193</v>
      </c>
      <c r="D436" s="25" t="s">
        <v>1122</v>
      </c>
      <c r="E436" s="162"/>
      <c r="F436" s="134">
        <v>55.61</v>
      </c>
      <c r="G436" s="50"/>
      <c r="H436" s="102">
        <v>45016</v>
      </c>
      <c r="I436" s="144">
        <v>80</v>
      </c>
      <c r="J436" s="130">
        <v>55.61</v>
      </c>
      <c r="K436" s="118">
        <f t="shared" si="39"/>
        <v>4448.8</v>
      </c>
      <c r="L436" s="117">
        <v>1</v>
      </c>
      <c r="M436" s="141">
        <f t="shared" si="40"/>
        <v>79</v>
      </c>
      <c r="N436" s="122"/>
      <c r="O436" s="117" t="s">
        <v>946</v>
      </c>
      <c r="P436" s="137">
        <f t="shared" si="38"/>
        <v>4393.1899999999996</v>
      </c>
    </row>
    <row r="437" spans="1:16" s="105" customFormat="1" ht="15.75" x14ac:dyDescent="0.25">
      <c r="A437" s="106" t="s">
        <v>1199</v>
      </c>
      <c r="B437" s="102">
        <v>45016</v>
      </c>
      <c r="C437" s="25" t="s">
        <v>1194</v>
      </c>
      <c r="D437" s="25" t="s">
        <v>1122</v>
      </c>
      <c r="E437" s="162"/>
      <c r="F437" s="134">
        <v>21.82</v>
      </c>
      <c r="G437" s="50"/>
      <c r="H437" s="102">
        <v>45016</v>
      </c>
      <c r="I437" s="144">
        <v>80</v>
      </c>
      <c r="J437" s="130">
        <v>21.82</v>
      </c>
      <c r="K437" s="118">
        <f t="shared" si="39"/>
        <v>1745.6</v>
      </c>
      <c r="L437" s="117"/>
      <c r="M437" s="141">
        <f t="shared" si="40"/>
        <v>80</v>
      </c>
      <c r="N437" s="122"/>
      <c r="O437" s="117" t="s">
        <v>946</v>
      </c>
      <c r="P437" s="137">
        <f t="shared" si="38"/>
        <v>1745.6</v>
      </c>
    </row>
    <row r="438" spans="1:16" s="105" customFormat="1" ht="15.75" x14ac:dyDescent="0.25">
      <c r="A438" s="106" t="s">
        <v>1200</v>
      </c>
      <c r="B438" s="102">
        <v>45016</v>
      </c>
      <c r="C438" s="25" t="s">
        <v>1195</v>
      </c>
      <c r="D438" s="25" t="s">
        <v>1122</v>
      </c>
      <c r="E438" s="162"/>
      <c r="F438" s="134">
        <v>35240.699999999997</v>
      </c>
      <c r="G438" s="50"/>
      <c r="H438" s="102">
        <v>45016</v>
      </c>
      <c r="I438" s="144">
        <v>4</v>
      </c>
      <c r="J438" s="130">
        <v>35240.699999999997</v>
      </c>
      <c r="K438" s="118">
        <f t="shared" si="39"/>
        <v>140962.79999999999</v>
      </c>
      <c r="L438" s="117">
        <v>4</v>
      </c>
      <c r="M438" s="141">
        <f t="shared" si="40"/>
        <v>0</v>
      </c>
      <c r="N438" s="122"/>
      <c r="O438" s="117" t="s">
        <v>946</v>
      </c>
      <c r="P438" s="137">
        <f t="shared" si="38"/>
        <v>0</v>
      </c>
    </row>
    <row r="439" spans="1:16" s="105" customFormat="1" ht="15.75" x14ac:dyDescent="0.25">
      <c r="A439" s="106" t="s">
        <v>1201</v>
      </c>
      <c r="B439" s="102">
        <v>45016</v>
      </c>
      <c r="C439" s="25" t="s">
        <v>1196</v>
      </c>
      <c r="D439" s="25" t="s">
        <v>1122</v>
      </c>
      <c r="E439" s="162"/>
      <c r="F439" s="134">
        <v>1770</v>
      </c>
      <c r="G439" s="101"/>
      <c r="H439" s="102">
        <v>45016</v>
      </c>
      <c r="I439" s="144">
        <v>30</v>
      </c>
      <c r="J439" s="130">
        <v>1770</v>
      </c>
      <c r="K439" s="118">
        <f t="shared" si="39"/>
        <v>53100</v>
      </c>
      <c r="L439" s="117">
        <v>30</v>
      </c>
      <c r="M439" s="145">
        <f t="shared" si="40"/>
        <v>0</v>
      </c>
      <c r="N439" s="122"/>
      <c r="O439" s="117" t="s">
        <v>947</v>
      </c>
      <c r="P439" s="149">
        <f t="shared" si="38"/>
        <v>0</v>
      </c>
    </row>
    <row r="440" spans="1:16" s="105" customFormat="1" ht="15.75" x14ac:dyDescent="0.25">
      <c r="A440" s="106" t="s">
        <v>1202</v>
      </c>
      <c r="B440" s="102"/>
      <c r="C440" s="25" t="s">
        <v>1205</v>
      </c>
      <c r="D440" s="25" t="s">
        <v>1122</v>
      </c>
      <c r="E440" s="162"/>
      <c r="F440" s="134"/>
      <c r="G440" s="101"/>
      <c r="H440" s="119"/>
      <c r="I440" s="144"/>
      <c r="J440" s="130"/>
      <c r="K440" s="118"/>
      <c r="L440" s="117">
        <v>12</v>
      </c>
      <c r="M440" s="145">
        <f t="shared" si="40"/>
        <v>-12</v>
      </c>
      <c r="N440" s="122"/>
      <c r="O440" s="117" t="s">
        <v>947</v>
      </c>
      <c r="P440" s="149"/>
    </row>
    <row r="441" spans="1:16" s="105" customFormat="1" ht="15.75" x14ac:dyDescent="0.25">
      <c r="A441" s="106" t="s">
        <v>1203</v>
      </c>
      <c r="B441" s="102"/>
      <c r="C441" s="25" t="s">
        <v>1206</v>
      </c>
      <c r="D441" s="25" t="s">
        <v>1122</v>
      </c>
      <c r="E441" s="162"/>
      <c r="F441" s="134"/>
      <c r="G441" s="101"/>
      <c r="H441" s="119"/>
      <c r="I441" s="144">
        <v>310</v>
      </c>
      <c r="J441" s="130"/>
      <c r="K441" s="118"/>
      <c r="L441" s="117">
        <v>24</v>
      </c>
      <c r="M441" s="150">
        <f t="shared" si="40"/>
        <v>286</v>
      </c>
      <c r="N441" s="122"/>
      <c r="O441" s="117" t="s">
        <v>947</v>
      </c>
      <c r="P441" s="149"/>
    </row>
    <row r="442" spans="1:16" s="105" customFormat="1" ht="15.75" x14ac:dyDescent="0.25">
      <c r="A442" s="106" t="s">
        <v>1204</v>
      </c>
      <c r="B442" s="102"/>
      <c r="C442" s="25" t="s">
        <v>1207</v>
      </c>
      <c r="D442" s="25" t="s">
        <v>1122</v>
      </c>
      <c r="E442" s="162"/>
      <c r="F442" s="134"/>
      <c r="G442" s="101"/>
      <c r="H442" s="119"/>
      <c r="I442" s="144">
        <v>101</v>
      </c>
      <c r="J442" s="130"/>
      <c r="K442" s="118"/>
      <c r="L442" s="117">
        <v>15</v>
      </c>
      <c r="M442" s="150">
        <f t="shared" si="40"/>
        <v>86</v>
      </c>
      <c r="N442" s="122"/>
      <c r="O442" s="117" t="s">
        <v>947</v>
      </c>
      <c r="P442" s="149"/>
    </row>
    <row r="443" spans="1:16" s="105" customFormat="1" ht="15.75" x14ac:dyDescent="0.25">
      <c r="A443" s="106" t="s">
        <v>1213</v>
      </c>
      <c r="B443" s="102"/>
      <c r="C443" s="25" t="s">
        <v>1208</v>
      </c>
      <c r="D443" s="25" t="s">
        <v>1122</v>
      </c>
      <c r="E443" s="162"/>
      <c r="F443" s="134"/>
      <c r="G443" s="101"/>
      <c r="H443" s="119"/>
      <c r="I443" s="144">
        <v>500</v>
      </c>
      <c r="J443" s="130"/>
      <c r="K443" s="118"/>
      <c r="L443" s="117">
        <f>15+54</f>
        <v>69</v>
      </c>
      <c r="M443" s="145">
        <f t="shared" si="40"/>
        <v>431</v>
      </c>
      <c r="N443" s="122"/>
      <c r="O443" s="117" t="s">
        <v>947</v>
      </c>
      <c r="P443" s="149"/>
    </row>
    <row r="444" spans="1:16" s="105" customFormat="1" ht="15.75" x14ac:dyDescent="0.25">
      <c r="A444" s="106" t="s">
        <v>1214</v>
      </c>
      <c r="B444" s="102"/>
      <c r="C444" s="25" t="s">
        <v>1209</v>
      </c>
      <c r="D444" s="25" t="s">
        <v>1122</v>
      </c>
      <c r="E444" s="162"/>
      <c r="F444" s="134"/>
      <c r="G444" s="101"/>
      <c r="H444" s="119"/>
      <c r="I444" s="144">
        <v>300</v>
      </c>
      <c r="J444" s="130"/>
      <c r="K444" s="118"/>
      <c r="L444" s="117">
        <v>100</v>
      </c>
      <c r="M444" s="145">
        <f>+E444+I444-L444</f>
        <v>200</v>
      </c>
      <c r="N444" s="122"/>
      <c r="O444" s="117" t="s">
        <v>947</v>
      </c>
      <c r="P444" s="149"/>
    </row>
    <row r="445" spans="1:16" s="105" customFormat="1" ht="15.75" x14ac:dyDescent="0.25">
      <c r="A445" s="106" t="s">
        <v>1215</v>
      </c>
      <c r="B445" s="102"/>
      <c r="C445" s="25" t="s">
        <v>1210</v>
      </c>
      <c r="D445" s="25" t="s">
        <v>1122</v>
      </c>
      <c r="E445" s="162"/>
      <c r="F445" s="134"/>
      <c r="G445" s="101"/>
      <c r="H445" s="119"/>
      <c r="I445" s="144">
        <v>99</v>
      </c>
      <c r="J445" s="130"/>
      <c r="K445" s="118"/>
      <c r="L445" s="117">
        <v>3</v>
      </c>
      <c r="M445" s="145">
        <f t="shared" si="40"/>
        <v>96</v>
      </c>
      <c r="N445" s="122"/>
      <c r="O445" s="117" t="s">
        <v>947</v>
      </c>
      <c r="P445" s="149"/>
    </row>
    <row r="446" spans="1:16" s="105" customFormat="1" ht="15.75" x14ac:dyDescent="0.25">
      <c r="A446" s="106" t="s">
        <v>1216</v>
      </c>
      <c r="B446" s="102"/>
      <c r="C446" s="25" t="s">
        <v>1211</v>
      </c>
      <c r="D446" s="25" t="s">
        <v>1122</v>
      </c>
      <c r="E446" s="162"/>
      <c r="F446" s="134"/>
      <c r="G446" s="101"/>
      <c r="H446" s="119"/>
      <c r="I446" s="144"/>
      <c r="J446" s="130"/>
      <c r="K446" s="118"/>
      <c r="L446" s="117">
        <v>4</v>
      </c>
      <c r="M446" s="145">
        <f t="shared" si="40"/>
        <v>-4</v>
      </c>
      <c r="N446" s="122"/>
      <c r="O446" s="117" t="s">
        <v>946</v>
      </c>
      <c r="P446" s="149"/>
    </row>
    <row r="447" spans="1:16" s="105" customFormat="1" ht="15.75" x14ac:dyDescent="0.25">
      <c r="A447" s="106" t="s">
        <v>1217</v>
      </c>
      <c r="B447" s="102"/>
      <c r="C447" s="25" t="s">
        <v>1212</v>
      </c>
      <c r="D447" s="25" t="s">
        <v>1122</v>
      </c>
      <c r="E447" s="162"/>
      <c r="F447" s="134"/>
      <c r="G447" s="101"/>
      <c r="H447" s="119"/>
      <c r="I447" s="144"/>
      <c r="J447" s="130"/>
      <c r="K447" s="118"/>
      <c r="L447" s="117">
        <v>1</v>
      </c>
      <c r="M447" s="145">
        <f t="shared" si="40"/>
        <v>-1</v>
      </c>
      <c r="N447" s="122"/>
      <c r="O447" s="117" t="s">
        <v>946</v>
      </c>
      <c r="P447" s="149"/>
    </row>
    <row r="448" spans="1:16" s="105" customFormat="1" ht="15.75" x14ac:dyDescent="0.25">
      <c r="A448" s="106" t="s">
        <v>1245</v>
      </c>
      <c r="B448" s="102"/>
      <c r="C448" s="25" t="s">
        <v>1221</v>
      </c>
      <c r="D448" s="25" t="s">
        <v>1122</v>
      </c>
      <c r="E448" s="162"/>
      <c r="F448" s="134"/>
      <c r="G448" s="101"/>
      <c r="H448" s="119"/>
      <c r="I448" s="144">
        <v>10</v>
      </c>
      <c r="J448" s="130">
        <v>361.99</v>
      </c>
      <c r="K448" s="118">
        <f t="shared" ref="K448" si="41">+J448*I448</f>
        <v>3619.9</v>
      </c>
      <c r="L448" s="117">
        <v>1</v>
      </c>
      <c r="M448" s="150">
        <f t="shared" si="40"/>
        <v>9</v>
      </c>
      <c r="N448" s="122"/>
      <c r="O448" s="117" t="s">
        <v>945</v>
      </c>
      <c r="P448" s="149"/>
    </row>
    <row r="449" spans="1:16" s="105" customFormat="1" ht="15.75" x14ac:dyDescent="0.25">
      <c r="A449" s="106" t="s">
        <v>1246</v>
      </c>
      <c r="B449" s="102"/>
      <c r="C449" s="25" t="s">
        <v>1225</v>
      </c>
      <c r="D449" s="25" t="s">
        <v>1122</v>
      </c>
      <c r="E449" s="162"/>
      <c r="F449" s="134"/>
      <c r="G449" s="101"/>
      <c r="H449" s="119"/>
      <c r="I449" s="144">
        <v>6</v>
      </c>
      <c r="J449" s="130"/>
      <c r="K449" s="118"/>
      <c r="L449" s="117"/>
      <c r="M449" s="150">
        <f t="shared" si="40"/>
        <v>6</v>
      </c>
      <c r="N449" s="122"/>
      <c r="O449" s="117" t="s">
        <v>947</v>
      </c>
      <c r="P449" s="149"/>
    </row>
    <row r="450" spans="1:16" s="105" customFormat="1" ht="15.75" x14ac:dyDescent="0.25">
      <c r="A450" s="106" t="s">
        <v>1247</v>
      </c>
      <c r="B450" s="102">
        <v>45042</v>
      </c>
      <c r="C450" s="25" t="s">
        <v>1226</v>
      </c>
      <c r="D450" s="25" t="s">
        <v>1122</v>
      </c>
      <c r="E450" s="162">
        <f>12*4</f>
        <v>48</v>
      </c>
      <c r="F450" s="134"/>
      <c r="G450" s="101"/>
      <c r="H450" s="114">
        <v>45042</v>
      </c>
      <c r="I450" s="144"/>
      <c r="J450" s="130"/>
      <c r="K450" s="118"/>
      <c r="L450" s="117">
        <f>48-33</f>
        <v>15</v>
      </c>
      <c r="M450" s="150">
        <f t="shared" si="40"/>
        <v>33</v>
      </c>
      <c r="N450" s="122"/>
      <c r="O450" s="117" t="s">
        <v>947</v>
      </c>
      <c r="P450" s="149"/>
    </row>
    <row r="451" spans="1:16" s="105" customFormat="1" ht="15.75" x14ac:dyDescent="0.25">
      <c r="A451" s="106" t="s">
        <v>1248</v>
      </c>
      <c r="B451" s="102">
        <v>45042</v>
      </c>
      <c r="C451" s="25" t="s">
        <v>1227</v>
      </c>
      <c r="D451" s="25" t="s">
        <v>1122</v>
      </c>
      <c r="E451" s="162">
        <v>10</v>
      </c>
      <c r="F451" s="134">
        <v>38.29</v>
      </c>
      <c r="G451" s="101"/>
      <c r="H451" s="114">
        <v>45042</v>
      </c>
      <c r="I451" s="144">
        <v>10</v>
      </c>
      <c r="J451" s="130">
        <v>38.29</v>
      </c>
      <c r="K451" s="118">
        <f t="shared" ref="K451" si="42">+J451*I451</f>
        <v>382.9</v>
      </c>
      <c r="L451" s="117"/>
      <c r="M451" s="150">
        <f t="shared" si="40"/>
        <v>20</v>
      </c>
      <c r="N451" s="122"/>
      <c r="O451" s="117" t="s">
        <v>947</v>
      </c>
      <c r="P451" s="137">
        <f>+F451*M451</f>
        <v>765.8</v>
      </c>
    </row>
    <row r="452" spans="1:16" s="105" customFormat="1" ht="15.75" x14ac:dyDescent="0.25">
      <c r="A452" s="106" t="s">
        <v>1249</v>
      </c>
      <c r="B452" s="102"/>
      <c r="C452" s="25" t="s">
        <v>1229</v>
      </c>
      <c r="D452" s="25" t="s">
        <v>1122</v>
      </c>
      <c r="E452" s="162"/>
      <c r="F452" s="134"/>
      <c r="G452" s="101"/>
      <c r="H452" s="114"/>
      <c r="I452" s="144">
        <v>100</v>
      </c>
      <c r="J452" s="130"/>
      <c r="K452" s="118"/>
      <c r="L452" s="117">
        <v>50</v>
      </c>
      <c r="M452" s="150">
        <f t="shared" si="40"/>
        <v>50</v>
      </c>
      <c r="N452" s="122"/>
      <c r="O452" s="117" t="s">
        <v>947</v>
      </c>
      <c r="P452" s="137">
        <f t="shared" ref="P452:P473" si="43">+F452*M452</f>
        <v>0</v>
      </c>
    </row>
    <row r="453" spans="1:16" s="105" customFormat="1" ht="15.75" x14ac:dyDescent="0.25">
      <c r="A453" s="106" t="s">
        <v>1250</v>
      </c>
      <c r="B453" s="102"/>
      <c r="C453" s="25" t="s">
        <v>1230</v>
      </c>
      <c r="D453" s="25" t="s">
        <v>1122</v>
      </c>
      <c r="E453" s="162"/>
      <c r="F453" s="134">
        <v>71.650000000000006</v>
      </c>
      <c r="G453" s="101"/>
      <c r="H453" s="114"/>
      <c r="I453" s="144">
        <v>10</v>
      </c>
      <c r="J453" s="130">
        <v>71.650000000000006</v>
      </c>
      <c r="K453" s="104">
        <f t="shared" ref="K453:K472" si="44">+J453*I453</f>
        <v>716.5</v>
      </c>
      <c r="L453" s="117">
        <v>1</v>
      </c>
      <c r="M453" s="150">
        <f t="shared" si="40"/>
        <v>9</v>
      </c>
      <c r="N453" s="122"/>
      <c r="O453" s="117" t="s">
        <v>947</v>
      </c>
      <c r="P453" s="137">
        <f t="shared" si="43"/>
        <v>644.85</v>
      </c>
    </row>
    <row r="454" spans="1:16" s="105" customFormat="1" ht="15.75" x14ac:dyDescent="0.25">
      <c r="A454" s="106" t="s">
        <v>1251</v>
      </c>
      <c r="B454" s="102"/>
      <c r="C454" s="25" t="s">
        <v>1231</v>
      </c>
      <c r="D454" s="25" t="s">
        <v>1232</v>
      </c>
      <c r="E454" s="162"/>
      <c r="F454" s="134"/>
      <c r="G454" s="101"/>
      <c r="H454" s="114"/>
      <c r="I454" s="144">
        <v>13</v>
      </c>
      <c r="J454" s="130"/>
      <c r="K454" s="104">
        <f t="shared" si="44"/>
        <v>0</v>
      </c>
      <c r="L454" s="117"/>
      <c r="M454" s="150">
        <f t="shared" si="40"/>
        <v>13</v>
      </c>
      <c r="N454" s="122"/>
      <c r="O454" s="117" t="s">
        <v>947</v>
      </c>
      <c r="P454" s="137">
        <f t="shared" si="43"/>
        <v>0</v>
      </c>
    </row>
    <row r="455" spans="1:16" s="105" customFormat="1" ht="15.75" x14ac:dyDescent="0.25">
      <c r="A455" s="106" t="s">
        <v>1252</v>
      </c>
      <c r="B455" s="102">
        <v>44193</v>
      </c>
      <c r="C455" s="9" t="s">
        <v>1233</v>
      </c>
      <c r="D455" s="25" t="s">
        <v>1122</v>
      </c>
      <c r="E455" s="162"/>
      <c r="F455" s="134"/>
      <c r="G455" s="101"/>
      <c r="H455" s="102">
        <v>44193</v>
      </c>
      <c r="I455" s="144">
        <v>186</v>
      </c>
      <c r="J455" s="130"/>
      <c r="K455" s="104">
        <f t="shared" si="44"/>
        <v>0</v>
      </c>
      <c r="L455" s="117"/>
      <c r="M455" s="150">
        <f t="shared" si="40"/>
        <v>186</v>
      </c>
      <c r="N455" s="122"/>
      <c r="O455" s="117" t="s">
        <v>947</v>
      </c>
      <c r="P455" s="137">
        <f t="shared" si="43"/>
        <v>0</v>
      </c>
    </row>
    <row r="456" spans="1:16" s="105" customFormat="1" ht="15.75" x14ac:dyDescent="0.25">
      <c r="A456" s="106" t="s">
        <v>1253</v>
      </c>
      <c r="B456" s="102"/>
      <c r="C456" s="25" t="s">
        <v>1234</v>
      </c>
      <c r="D456" s="25" t="s">
        <v>1122</v>
      </c>
      <c r="E456" s="162"/>
      <c r="F456" s="134"/>
      <c r="G456" s="101"/>
      <c r="H456" s="114"/>
      <c r="I456" s="144">
        <v>2</v>
      </c>
      <c r="J456" s="130"/>
      <c r="K456" s="104">
        <f t="shared" si="44"/>
        <v>0</v>
      </c>
      <c r="L456" s="117">
        <v>1</v>
      </c>
      <c r="M456" s="150">
        <f t="shared" si="40"/>
        <v>1</v>
      </c>
      <c r="N456" s="122"/>
      <c r="O456" s="117" t="s">
        <v>947</v>
      </c>
      <c r="P456" s="137">
        <f t="shared" si="43"/>
        <v>0</v>
      </c>
    </row>
    <row r="457" spans="1:16" s="105" customFormat="1" ht="15.75" x14ac:dyDescent="0.25">
      <c r="A457" s="106" t="s">
        <v>1254</v>
      </c>
      <c r="B457" s="102"/>
      <c r="C457" s="25" t="s">
        <v>1235</v>
      </c>
      <c r="D457" s="25" t="s">
        <v>1122</v>
      </c>
      <c r="E457" s="162"/>
      <c r="F457" s="134"/>
      <c r="G457" s="101"/>
      <c r="H457" s="119"/>
      <c r="I457" s="144">
        <v>3</v>
      </c>
      <c r="J457" s="130"/>
      <c r="K457" s="104">
        <f t="shared" si="44"/>
        <v>0</v>
      </c>
      <c r="L457" s="117">
        <v>1</v>
      </c>
      <c r="M457" s="150">
        <f t="shared" si="40"/>
        <v>2</v>
      </c>
      <c r="N457" s="122"/>
      <c r="O457" s="117" t="s">
        <v>947</v>
      </c>
      <c r="P457" s="137">
        <f t="shared" si="43"/>
        <v>0</v>
      </c>
    </row>
    <row r="458" spans="1:16" s="105" customFormat="1" ht="15.75" x14ac:dyDescent="0.25">
      <c r="A458" s="106" t="s">
        <v>1255</v>
      </c>
      <c r="B458" s="102"/>
      <c r="C458" s="25" t="s">
        <v>1236</v>
      </c>
      <c r="D458" s="25" t="s">
        <v>1122</v>
      </c>
      <c r="E458" s="162"/>
      <c r="F458" s="134"/>
      <c r="G458" s="101"/>
      <c r="H458" s="119"/>
      <c r="I458" s="144">
        <v>2</v>
      </c>
      <c r="J458" s="130"/>
      <c r="K458" s="104">
        <f t="shared" si="44"/>
        <v>0</v>
      </c>
      <c r="L458" s="117">
        <v>1</v>
      </c>
      <c r="M458" s="150">
        <f t="shared" si="40"/>
        <v>1</v>
      </c>
      <c r="N458" s="122"/>
      <c r="O458" s="117" t="s">
        <v>947</v>
      </c>
      <c r="P458" s="137">
        <f t="shared" si="43"/>
        <v>0</v>
      </c>
    </row>
    <row r="459" spans="1:16" s="105" customFormat="1" ht="15.75" x14ac:dyDescent="0.25">
      <c r="A459" s="106" t="s">
        <v>1256</v>
      </c>
      <c r="B459" s="102"/>
      <c r="C459" s="9" t="s">
        <v>1237</v>
      </c>
      <c r="D459" s="25" t="s">
        <v>1122</v>
      </c>
      <c r="E459" s="162"/>
      <c r="F459" s="134"/>
      <c r="G459" s="101"/>
      <c r="H459" s="119"/>
      <c r="I459" s="144">
        <v>405</v>
      </c>
      <c r="J459" s="130"/>
      <c r="K459" s="104">
        <f t="shared" si="44"/>
        <v>0</v>
      </c>
      <c r="L459" s="117"/>
      <c r="M459" s="150">
        <f t="shared" si="40"/>
        <v>405</v>
      </c>
      <c r="N459" s="122"/>
      <c r="O459" s="117" t="s">
        <v>947</v>
      </c>
      <c r="P459" s="137">
        <f t="shared" si="43"/>
        <v>0</v>
      </c>
    </row>
    <row r="460" spans="1:16" s="105" customFormat="1" ht="15.75" x14ac:dyDescent="0.25">
      <c r="A460" s="106" t="s">
        <v>1257</v>
      </c>
      <c r="B460" s="102"/>
      <c r="C460" s="9" t="s">
        <v>1238</v>
      </c>
      <c r="D460" s="25" t="s">
        <v>1232</v>
      </c>
      <c r="E460" s="162"/>
      <c r="F460" s="134"/>
      <c r="G460" s="101"/>
      <c r="H460" s="119"/>
      <c r="I460" s="144">
        <v>3</v>
      </c>
      <c r="J460" s="130"/>
      <c r="K460" s="104">
        <f t="shared" si="44"/>
        <v>0</v>
      </c>
      <c r="L460" s="117"/>
      <c r="M460" s="150">
        <f t="shared" si="40"/>
        <v>3</v>
      </c>
      <c r="N460" s="122"/>
      <c r="O460" s="117" t="s">
        <v>947</v>
      </c>
      <c r="P460" s="137">
        <f t="shared" si="43"/>
        <v>0</v>
      </c>
    </row>
    <row r="461" spans="1:16" s="105" customFormat="1" ht="15.75" x14ac:dyDescent="0.25">
      <c r="A461" s="106" t="s">
        <v>1258</v>
      </c>
      <c r="B461" s="129">
        <v>45042</v>
      </c>
      <c r="C461" s="9" t="s">
        <v>1242</v>
      </c>
      <c r="D461" s="25" t="s">
        <v>1122</v>
      </c>
      <c r="E461" s="162"/>
      <c r="F461" s="134">
        <v>355.33</v>
      </c>
      <c r="G461" s="101"/>
      <c r="H461" s="119">
        <v>45042</v>
      </c>
      <c r="I461" s="144">
        <v>10</v>
      </c>
      <c r="J461" s="130">
        <v>355.33</v>
      </c>
      <c r="K461" s="104">
        <f t="shared" si="44"/>
        <v>3553.2999999999997</v>
      </c>
      <c r="L461" s="117">
        <v>2</v>
      </c>
      <c r="M461" s="150">
        <f t="shared" si="40"/>
        <v>8</v>
      </c>
      <c r="N461" s="122"/>
      <c r="O461" s="117" t="s">
        <v>947</v>
      </c>
      <c r="P461" s="137">
        <f>+F461*M461</f>
        <v>2842.64</v>
      </c>
    </row>
    <row r="462" spans="1:16" s="105" customFormat="1" ht="15.75" x14ac:dyDescent="0.25">
      <c r="A462" s="106" t="s">
        <v>1259</v>
      </c>
      <c r="B462" s="129">
        <v>45042</v>
      </c>
      <c r="C462" s="9" t="s">
        <v>1243</v>
      </c>
      <c r="D462" s="25" t="s">
        <v>1122</v>
      </c>
      <c r="E462" s="162"/>
      <c r="F462" s="134">
        <v>24.95</v>
      </c>
      <c r="G462" s="101"/>
      <c r="H462" s="119">
        <v>45042</v>
      </c>
      <c r="I462" s="144">
        <v>28</v>
      </c>
      <c r="J462" s="130">
        <v>24.95</v>
      </c>
      <c r="K462" s="104">
        <f t="shared" si="44"/>
        <v>698.6</v>
      </c>
      <c r="L462" s="117">
        <v>3</v>
      </c>
      <c r="M462" s="150">
        <f t="shared" si="40"/>
        <v>25</v>
      </c>
      <c r="N462" s="122"/>
      <c r="O462" s="117" t="s">
        <v>947</v>
      </c>
      <c r="P462" s="137">
        <f t="shared" si="43"/>
        <v>623.75</v>
      </c>
    </row>
    <row r="463" spans="1:16" s="105" customFormat="1" ht="15.75" x14ac:dyDescent="0.25">
      <c r="A463" s="106" t="s">
        <v>1260</v>
      </c>
      <c r="B463" s="129">
        <v>45042</v>
      </c>
      <c r="C463" s="9" t="s">
        <v>1270</v>
      </c>
      <c r="D463" s="25" t="s">
        <v>1122</v>
      </c>
      <c r="E463" s="162"/>
      <c r="F463" s="134">
        <v>29</v>
      </c>
      <c r="G463" s="101"/>
      <c r="H463" s="119">
        <v>45042</v>
      </c>
      <c r="I463" s="144">
        <v>15</v>
      </c>
      <c r="J463" s="130">
        <v>29</v>
      </c>
      <c r="K463" s="104">
        <f t="shared" si="44"/>
        <v>435</v>
      </c>
      <c r="L463" s="117">
        <v>8</v>
      </c>
      <c r="M463" s="150">
        <f t="shared" si="40"/>
        <v>7</v>
      </c>
      <c r="N463" s="122"/>
      <c r="O463" s="117" t="s">
        <v>947</v>
      </c>
      <c r="P463" s="137">
        <f t="shared" si="43"/>
        <v>203</v>
      </c>
    </row>
    <row r="464" spans="1:16" s="105" customFormat="1" ht="15.75" x14ac:dyDescent="0.25">
      <c r="A464" s="106" t="s">
        <v>1261</v>
      </c>
      <c r="B464" s="129">
        <v>45042</v>
      </c>
      <c r="C464" s="9" t="s">
        <v>1244</v>
      </c>
      <c r="D464" s="25" t="s">
        <v>1122</v>
      </c>
      <c r="E464" s="162"/>
      <c r="F464" s="134">
        <v>17</v>
      </c>
      <c r="G464" s="101"/>
      <c r="H464" s="119">
        <v>45042</v>
      </c>
      <c r="I464" s="144">
        <v>36</v>
      </c>
      <c r="J464" s="130">
        <v>17</v>
      </c>
      <c r="K464" s="104">
        <f t="shared" si="44"/>
        <v>612</v>
      </c>
      <c r="L464" s="117"/>
      <c r="M464" s="150">
        <f t="shared" si="40"/>
        <v>36</v>
      </c>
      <c r="N464" s="122"/>
      <c r="O464" s="117" t="s">
        <v>947</v>
      </c>
      <c r="P464" s="137">
        <f t="shared" si="43"/>
        <v>612</v>
      </c>
    </row>
    <row r="465" spans="1:16" s="105" customFormat="1" ht="15.75" x14ac:dyDescent="0.25">
      <c r="A465" s="106" t="s">
        <v>1266</v>
      </c>
      <c r="B465" s="129">
        <v>45042</v>
      </c>
      <c r="C465" s="9" t="s">
        <v>1262</v>
      </c>
      <c r="D465" s="25" t="s">
        <v>1122</v>
      </c>
      <c r="E465" s="162"/>
      <c r="F465" s="134">
        <v>4204</v>
      </c>
      <c r="G465" s="101"/>
      <c r="H465" s="119">
        <v>45042</v>
      </c>
      <c r="I465" s="144">
        <v>2</v>
      </c>
      <c r="J465" s="130">
        <v>4204</v>
      </c>
      <c r="K465" s="104">
        <f t="shared" si="44"/>
        <v>8408</v>
      </c>
      <c r="L465" s="117"/>
      <c r="M465" s="145">
        <f t="shared" si="40"/>
        <v>2</v>
      </c>
      <c r="N465" s="122"/>
      <c r="O465" s="117" t="s">
        <v>947</v>
      </c>
      <c r="P465" s="137">
        <f t="shared" si="43"/>
        <v>8408</v>
      </c>
    </row>
    <row r="466" spans="1:16" s="105" customFormat="1" ht="15.75" x14ac:dyDescent="0.25">
      <c r="A466" s="106" t="s">
        <v>1267</v>
      </c>
      <c r="B466" s="129">
        <v>45042</v>
      </c>
      <c r="C466" s="9" t="s">
        <v>1263</v>
      </c>
      <c r="D466" s="25" t="s">
        <v>1122</v>
      </c>
      <c r="E466" s="162"/>
      <c r="F466" s="134">
        <v>4917.0600000000004</v>
      </c>
      <c r="G466" s="101"/>
      <c r="H466" s="119">
        <v>45042</v>
      </c>
      <c r="I466" s="144">
        <v>2</v>
      </c>
      <c r="J466" s="130">
        <v>4917.0600000000004</v>
      </c>
      <c r="K466" s="104">
        <f t="shared" si="44"/>
        <v>9834.1200000000008</v>
      </c>
      <c r="L466" s="117"/>
      <c r="M466" s="145">
        <f t="shared" si="40"/>
        <v>2</v>
      </c>
      <c r="N466" s="122"/>
      <c r="O466" s="117" t="s">
        <v>947</v>
      </c>
      <c r="P466" s="137">
        <f t="shared" si="43"/>
        <v>9834.1200000000008</v>
      </c>
    </row>
    <row r="467" spans="1:16" s="105" customFormat="1" ht="15.75" x14ac:dyDescent="0.25">
      <c r="A467" s="106" t="s">
        <v>1268</v>
      </c>
      <c r="B467" s="129">
        <v>45042</v>
      </c>
      <c r="C467" s="9" t="s">
        <v>1264</v>
      </c>
      <c r="D467" s="25" t="s">
        <v>1122</v>
      </c>
      <c r="E467" s="162"/>
      <c r="F467" s="134">
        <v>4917.0600000000004</v>
      </c>
      <c r="G467" s="101"/>
      <c r="H467" s="119">
        <v>45042</v>
      </c>
      <c r="I467" s="144">
        <v>2</v>
      </c>
      <c r="J467" s="130">
        <v>4917.0600000000004</v>
      </c>
      <c r="K467" s="104">
        <f t="shared" si="44"/>
        <v>9834.1200000000008</v>
      </c>
      <c r="L467" s="117"/>
      <c r="M467" s="145">
        <f t="shared" si="40"/>
        <v>2</v>
      </c>
      <c r="N467" s="122"/>
      <c r="O467" s="117" t="s">
        <v>947</v>
      </c>
      <c r="P467" s="137">
        <f t="shared" si="43"/>
        <v>9834.1200000000008</v>
      </c>
    </row>
    <row r="468" spans="1:16" s="105" customFormat="1" ht="15.75" x14ac:dyDescent="0.25">
      <c r="A468" s="106" t="s">
        <v>1269</v>
      </c>
      <c r="B468" s="129">
        <v>45042</v>
      </c>
      <c r="C468" s="9" t="s">
        <v>1265</v>
      </c>
      <c r="D468" s="25" t="s">
        <v>1122</v>
      </c>
      <c r="E468" s="162"/>
      <c r="F468" s="134">
        <v>4917.0600000000004</v>
      </c>
      <c r="G468" s="101"/>
      <c r="H468" s="119">
        <v>45042</v>
      </c>
      <c r="I468" s="144">
        <v>2</v>
      </c>
      <c r="J468" s="130">
        <v>4917.0600000000004</v>
      </c>
      <c r="K468" s="104">
        <f t="shared" si="44"/>
        <v>9834.1200000000008</v>
      </c>
      <c r="L468" s="117"/>
      <c r="M468" s="145">
        <f t="shared" si="40"/>
        <v>2</v>
      </c>
      <c r="N468" s="122"/>
      <c r="O468" s="117" t="s">
        <v>947</v>
      </c>
      <c r="P468" s="137">
        <f t="shared" si="43"/>
        <v>9834.1200000000008</v>
      </c>
    </row>
    <row r="469" spans="1:16" s="105" customFormat="1" ht="15.75" x14ac:dyDescent="0.25">
      <c r="A469" s="106" t="s">
        <v>1272</v>
      </c>
      <c r="B469" s="129">
        <v>45051</v>
      </c>
      <c r="C469" s="9" t="s">
        <v>1271</v>
      </c>
      <c r="D469" s="25" t="s">
        <v>1122</v>
      </c>
      <c r="E469" s="162"/>
      <c r="F469" s="134">
        <v>1298</v>
      </c>
      <c r="G469" s="101"/>
      <c r="H469" s="119">
        <v>45051</v>
      </c>
      <c r="I469" s="144">
        <v>3</v>
      </c>
      <c r="J469" s="130">
        <v>1298</v>
      </c>
      <c r="K469" s="118">
        <f t="shared" si="44"/>
        <v>3894</v>
      </c>
      <c r="L469" s="117">
        <v>3</v>
      </c>
      <c r="M469" s="145">
        <f t="shared" si="40"/>
        <v>0</v>
      </c>
      <c r="N469" s="122"/>
      <c r="O469" s="117" t="s">
        <v>947</v>
      </c>
      <c r="P469" s="137">
        <f t="shared" si="43"/>
        <v>0</v>
      </c>
    </row>
    <row r="470" spans="1:16" s="105" customFormat="1" ht="15.75" x14ac:dyDescent="0.25">
      <c r="A470" s="106" t="s">
        <v>1273</v>
      </c>
      <c r="B470" s="102">
        <v>45111</v>
      </c>
      <c r="C470" s="9" t="s">
        <v>1279</v>
      </c>
      <c r="D470" s="25" t="s">
        <v>1122</v>
      </c>
      <c r="E470" s="162"/>
      <c r="F470" s="134">
        <v>5099.96</v>
      </c>
      <c r="G470" s="101"/>
      <c r="H470" s="119"/>
      <c r="I470" s="144">
        <v>4</v>
      </c>
      <c r="J470" s="134">
        <v>5099.96</v>
      </c>
      <c r="K470" s="118">
        <f t="shared" si="44"/>
        <v>20399.84</v>
      </c>
      <c r="L470" s="117"/>
      <c r="M470" s="145">
        <f t="shared" si="40"/>
        <v>4</v>
      </c>
      <c r="N470" s="122"/>
      <c r="O470" s="117"/>
      <c r="P470" s="137">
        <f t="shared" si="43"/>
        <v>20399.84</v>
      </c>
    </row>
    <row r="471" spans="1:16" s="105" customFormat="1" ht="15.75" x14ac:dyDescent="0.25">
      <c r="A471" s="106" t="s">
        <v>1274</v>
      </c>
      <c r="B471" s="102">
        <v>45111</v>
      </c>
      <c r="C471" s="9" t="s">
        <v>1280</v>
      </c>
      <c r="D471" s="25" t="s">
        <v>1122</v>
      </c>
      <c r="E471" s="162"/>
      <c r="F471" s="134">
        <v>462.01</v>
      </c>
      <c r="G471" s="101"/>
      <c r="H471" s="119">
        <v>45111</v>
      </c>
      <c r="I471" s="144">
        <v>15</v>
      </c>
      <c r="J471" s="130">
        <v>462.01</v>
      </c>
      <c r="K471" s="118">
        <f t="shared" si="44"/>
        <v>6930.15</v>
      </c>
      <c r="L471" s="117"/>
      <c r="M471" s="145">
        <f t="shared" si="40"/>
        <v>15</v>
      </c>
      <c r="N471" s="122"/>
      <c r="O471" s="117"/>
      <c r="P471" s="137">
        <f t="shared" si="43"/>
        <v>6930.15</v>
      </c>
    </row>
    <row r="472" spans="1:16" s="105" customFormat="1" ht="15.75" x14ac:dyDescent="0.25">
      <c r="A472" s="106" t="s">
        <v>1275</v>
      </c>
      <c r="B472" s="102">
        <v>45111</v>
      </c>
      <c r="C472" s="9" t="s">
        <v>1281</v>
      </c>
      <c r="D472" s="25" t="s">
        <v>1122</v>
      </c>
      <c r="E472" s="162"/>
      <c r="F472" s="134">
        <v>1365</v>
      </c>
      <c r="G472" s="101"/>
      <c r="H472" s="119">
        <v>45111</v>
      </c>
      <c r="I472" s="144">
        <v>4</v>
      </c>
      <c r="J472" s="130">
        <v>1365</v>
      </c>
      <c r="K472" s="118">
        <f t="shared" si="44"/>
        <v>5460</v>
      </c>
      <c r="L472" s="117"/>
      <c r="M472" s="145">
        <f t="shared" si="40"/>
        <v>4</v>
      </c>
      <c r="N472" s="122"/>
      <c r="O472" s="117"/>
      <c r="P472" s="137">
        <f t="shared" si="43"/>
        <v>5460</v>
      </c>
    </row>
    <row r="473" spans="1:16" s="105" customFormat="1" ht="15.75" x14ac:dyDescent="0.25">
      <c r="A473" s="106" t="s">
        <v>1276</v>
      </c>
      <c r="B473" s="102"/>
      <c r="C473" s="9"/>
      <c r="D473" s="25"/>
      <c r="E473" s="162"/>
      <c r="F473" s="134"/>
      <c r="G473" s="101"/>
      <c r="H473" s="119"/>
      <c r="I473" s="144"/>
      <c r="J473" s="130"/>
      <c r="K473" s="104">
        <f t="shared" ref="K473" si="45">+J473*I473</f>
        <v>0</v>
      </c>
      <c r="L473" s="117"/>
      <c r="M473" s="145">
        <f t="shared" si="40"/>
        <v>0</v>
      </c>
      <c r="N473" s="122"/>
      <c r="O473" s="117"/>
      <c r="P473" s="137">
        <f t="shared" si="43"/>
        <v>0</v>
      </c>
    </row>
    <row r="474" spans="1:16" s="105" customFormat="1" ht="15.75" x14ac:dyDescent="0.25">
      <c r="A474" s="106"/>
      <c r="B474" s="102"/>
      <c r="C474" s="9"/>
      <c r="D474" s="25"/>
      <c r="E474" s="162"/>
      <c r="F474" s="134"/>
      <c r="G474" s="101"/>
      <c r="H474" s="119"/>
      <c r="I474" s="147"/>
      <c r="J474" s="130"/>
      <c r="K474" s="118"/>
      <c r="L474" s="117"/>
      <c r="M474" s="150"/>
      <c r="N474" s="122"/>
      <c r="O474" s="117"/>
      <c r="P474" s="149"/>
    </row>
    <row r="475" spans="1:16" x14ac:dyDescent="0.3">
      <c r="A475" s="69" t="s">
        <v>98</v>
      </c>
      <c r="B475" s="238"/>
      <c r="C475" s="239"/>
      <c r="D475" s="239"/>
      <c r="E475" s="239"/>
      <c r="F475" s="240"/>
      <c r="G475" s="70">
        <f>SUM(G8:G378)</f>
        <v>1518814.3903600003</v>
      </c>
      <c r="H475" s="70"/>
      <c r="I475" s="142"/>
      <c r="J475" s="70">
        <f>SUM(J8:J449)</f>
        <v>325848.3266666666</v>
      </c>
      <c r="K475" s="70">
        <f>SUM(K8:K449)</f>
        <v>2739579.8948000008</v>
      </c>
      <c r="L475" s="70">
        <f>SUM(L8:L449)</f>
        <v>19556</v>
      </c>
      <c r="M475" s="70">
        <f>SUM(M8:M457)</f>
        <v>24748.559999999998</v>
      </c>
      <c r="N475" s="70"/>
      <c r="O475" s="70"/>
      <c r="P475" s="70">
        <f>SUM(P8:P474)</f>
        <v>3721901.8482200024</v>
      </c>
    </row>
    <row r="476" spans="1:16" x14ac:dyDescent="0.3">
      <c r="A476" s="2"/>
      <c r="B476" s="2"/>
      <c r="C476" s="43"/>
      <c r="D476" s="12"/>
      <c r="E476" s="2"/>
      <c r="G476" s="2"/>
      <c r="H476" s="2"/>
      <c r="J476" s="65"/>
      <c r="K476" s="2"/>
      <c r="L476" s="2"/>
      <c r="M476" s="138"/>
      <c r="N476" s="2"/>
      <c r="O476" s="2"/>
      <c r="P476" s="138"/>
    </row>
    <row r="477" spans="1:16" x14ac:dyDescent="0.3">
      <c r="C477" s="96"/>
      <c r="D477" s="96"/>
      <c r="G477" s="63"/>
      <c r="P477" s="143"/>
    </row>
    <row r="478" spans="1:16" x14ac:dyDescent="0.3">
      <c r="A478" s="85" t="s">
        <v>7</v>
      </c>
      <c r="C478" s="96"/>
      <c r="D478" s="96"/>
    </row>
    <row r="479" spans="1:16" x14ac:dyDescent="0.3">
      <c r="C479" s="96"/>
      <c r="D479" s="96"/>
    </row>
    <row r="480" spans="1:16" x14ac:dyDescent="0.3">
      <c r="B480" s="85" t="s">
        <v>531</v>
      </c>
      <c r="C480" s="96"/>
      <c r="D480" s="96"/>
    </row>
    <row r="481" spans="1:4" x14ac:dyDescent="0.3">
      <c r="C481" s="96"/>
      <c r="D481" s="96"/>
    </row>
    <row r="482" spans="1:4" x14ac:dyDescent="0.3">
      <c r="A482" s="97" t="s">
        <v>5</v>
      </c>
      <c r="C482" s="96"/>
      <c r="D482" s="96"/>
    </row>
    <row r="483" spans="1:4" x14ac:dyDescent="0.3">
      <c r="C483" s="96"/>
      <c r="D483" s="96"/>
    </row>
    <row r="484" spans="1:4" x14ac:dyDescent="0.3">
      <c r="A484" s="97"/>
      <c r="C484" s="96"/>
      <c r="D484" s="96"/>
    </row>
    <row r="485" spans="1:4" x14ac:dyDescent="0.3">
      <c r="A485" s="98" t="s">
        <v>924</v>
      </c>
      <c r="C485" s="96"/>
      <c r="D485" s="96"/>
    </row>
    <row r="486" spans="1:4" x14ac:dyDescent="0.3">
      <c r="A486" s="85" t="s">
        <v>925</v>
      </c>
      <c r="C486" s="96"/>
      <c r="D486" s="96"/>
    </row>
    <row r="487" spans="1:4" x14ac:dyDescent="0.3">
      <c r="C487" s="96" t="s">
        <v>506</v>
      </c>
      <c r="D487" s="96"/>
    </row>
    <row r="488" spans="1:4" x14ac:dyDescent="0.3">
      <c r="C488" s="96"/>
      <c r="D488" s="96"/>
    </row>
    <row r="489" spans="1:4" x14ac:dyDescent="0.3">
      <c r="C489" s="96"/>
      <c r="D489" s="96"/>
    </row>
    <row r="490" spans="1:4" x14ac:dyDescent="0.3">
      <c r="C490" s="96"/>
      <c r="D490" s="96"/>
    </row>
    <row r="491" spans="1:4" x14ac:dyDescent="0.3">
      <c r="C491" s="96"/>
      <c r="D491" s="96"/>
    </row>
    <row r="492" spans="1:4" x14ac:dyDescent="0.3">
      <c r="C492" s="96"/>
      <c r="D492" s="96"/>
    </row>
    <row r="493" spans="1:4" x14ac:dyDescent="0.3">
      <c r="C493" s="96"/>
      <c r="D493" s="96"/>
    </row>
    <row r="494" spans="1:4" x14ac:dyDescent="0.3">
      <c r="C494" s="96"/>
      <c r="D494" s="96"/>
    </row>
  </sheetData>
  <mergeCells count="4">
    <mergeCell ref="A3:G3"/>
    <mergeCell ref="A4:G4"/>
    <mergeCell ref="A5:G5"/>
    <mergeCell ref="B475:F47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94"/>
  <sheetViews>
    <sheetView topLeftCell="A449" workbookViewId="0">
      <selection activeCell="P476" sqref="P476"/>
    </sheetView>
  </sheetViews>
  <sheetFormatPr baseColWidth="10" defaultColWidth="14.140625" defaultRowHeight="18.75" x14ac:dyDescent="0.3"/>
  <cols>
    <col min="1" max="1" width="17.28515625" style="85" customWidth="1"/>
    <col min="2" max="2" width="17.42578125" style="85" customWidth="1"/>
    <col min="3" max="3" width="43.5703125" style="85" customWidth="1"/>
    <col min="4" max="4" width="15.42578125" style="85" customWidth="1"/>
    <col min="6" max="6" width="11.42578125" style="174" customWidth="1"/>
    <col min="8" max="8" width="16.28515625" customWidth="1"/>
    <col min="9" max="9" width="11.28515625" style="138" customWidth="1"/>
    <col min="10" max="10" width="14.140625" style="63"/>
    <col min="13" max="13" width="14.140625" style="139"/>
    <col min="15" max="15" width="14.140625" style="85"/>
    <col min="16" max="16" width="14.140625" style="139"/>
    <col min="17" max="16384" width="14.140625" style="85"/>
  </cols>
  <sheetData>
    <row r="3" spans="1:16" ht="26.25" x14ac:dyDescent="0.4">
      <c r="A3" s="244" t="s">
        <v>0</v>
      </c>
      <c r="B3" s="244"/>
      <c r="C3" s="244"/>
      <c r="D3" s="244"/>
      <c r="E3" s="234"/>
      <c r="F3" s="234"/>
      <c r="G3" s="234"/>
      <c r="K3" s="63"/>
      <c r="L3" s="63"/>
    </row>
    <row r="4" spans="1:16" x14ac:dyDescent="0.3">
      <c r="A4" s="245" t="s">
        <v>1</v>
      </c>
      <c r="B4" s="246"/>
      <c r="C4" s="246"/>
      <c r="D4" s="246"/>
      <c r="E4" s="236"/>
      <c r="F4" s="236"/>
      <c r="G4" s="236"/>
    </row>
    <row r="5" spans="1:16" x14ac:dyDescent="0.3">
      <c r="A5" s="237" t="s">
        <v>1282</v>
      </c>
      <c r="B5" s="237"/>
      <c r="C5" s="237"/>
      <c r="D5" s="237"/>
      <c r="E5" s="237"/>
      <c r="F5" s="237"/>
      <c r="G5" s="237"/>
    </row>
    <row r="7" spans="1:16" s="179" customFormat="1" ht="47.25" x14ac:dyDescent="0.25">
      <c r="A7" s="175" t="s">
        <v>118</v>
      </c>
      <c r="B7" s="175" t="s">
        <v>1278</v>
      </c>
      <c r="C7" s="175" t="s">
        <v>2</v>
      </c>
      <c r="D7" s="175" t="s">
        <v>1120</v>
      </c>
      <c r="E7" s="175" t="s">
        <v>3</v>
      </c>
      <c r="F7" s="176" t="s">
        <v>117</v>
      </c>
      <c r="G7" s="177" t="s">
        <v>4</v>
      </c>
      <c r="H7" s="177" t="s">
        <v>9</v>
      </c>
      <c r="I7" s="176" t="s">
        <v>915</v>
      </c>
      <c r="J7" s="178" t="s">
        <v>117</v>
      </c>
      <c r="K7" s="175" t="s">
        <v>4</v>
      </c>
      <c r="L7" s="175" t="s">
        <v>929</v>
      </c>
      <c r="M7" s="176" t="s">
        <v>914</v>
      </c>
      <c r="N7" s="175" t="s">
        <v>927</v>
      </c>
      <c r="O7" s="175" t="s">
        <v>944</v>
      </c>
      <c r="P7" s="176" t="s">
        <v>4</v>
      </c>
    </row>
    <row r="8" spans="1:16" s="92" customFormat="1" x14ac:dyDescent="0.3">
      <c r="A8" s="106" t="s">
        <v>11</v>
      </c>
      <c r="B8" s="102">
        <v>44652</v>
      </c>
      <c r="C8" s="25" t="s">
        <v>1220</v>
      </c>
      <c r="D8" s="25" t="s">
        <v>1121</v>
      </c>
      <c r="E8" s="160">
        <f>18*30</f>
        <v>540</v>
      </c>
      <c r="F8" s="134">
        <v>33.799999999999997</v>
      </c>
      <c r="G8" s="50">
        <f>+F8*18</f>
        <v>608.4</v>
      </c>
      <c r="H8" s="103"/>
      <c r="I8" s="141"/>
      <c r="J8" s="104"/>
      <c r="K8" s="103"/>
      <c r="L8" s="103">
        <v>150</v>
      </c>
      <c r="M8" s="151">
        <f>+E8+I8-L8</f>
        <v>390</v>
      </c>
      <c r="N8" s="103"/>
      <c r="O8" s="103" t="s">
        <v>945</v>
      </c>
      <c r="P8" s="137">
        <f>+F8*M8</f>
        <v>13181.999999999998</v>
      </c>
    </row>
    <row r="9" spans="1:16" s="8" customFormat="1" ht="15.75" x14ac:dyDescent="0.25">
      <c r="A9" s="106" t="s">
        <v>120</v>
      </c>
      <c r="B9" s="102">
        <v>44193</v>
      </c>
      <c r="C9" s="25" t="s">
        <v>533</v>
      </c>
      <c r="D9" s="25" t="s">
        <v>1122</v>
      </c>
      <c r="E9" s="160">
        <v>43</v>
      </c>
      <c r="F9" s="134">
        <v>215</v>
      </c>
      <c r="G9" s="50">
        <f>E9*F9</f>
        <v>9245</v>
      </c>
      <c r="H9" s="103"/>
      <c r="I9" s="141"/>
      <c r="J9" s="104"/>
      <c r="K9" s="103"/>
      <c r="L9" s="103">
        <f>1+1+1+1+1+2</f>
        <v>7</v>
      </c>
      <c r="M9" s="141">
        <f t="shared" ref="M9:M72" si="0">+E9+I9-L9</f>
        <v>36</v>
      </c>
      <c r="N9" s="103"/>
      <c r="O9" s="103" t="s">
        <v>946</v>
      </c>
      <c r="P9" s="137">
        <f t="shared" ref="P9:P23" si="1">+F9*M9</f>
        <v>7740</v>
      </c>
    </row>
    <row r="10" spans="1:16" s="8" customFormat="1" ht="14.25" customHeight="1" x14ac:dyDescent="0.25">
      <c r="A10" s="106" t="s">
        <v>12</v>
      </c>
      <c r="B10" s="102">
        <v>45020</v>
      </c>
      <c r="C10" s="25" t="s">
        <v>534</v>
      </c>
      <c r="D10" s="25" t="s">
        <v>1122</v>
      </c>
      <c r="E10" s="160">
        <v>12</v>
      </c>
      <c r="F10" s="134">
        <v>3540</v>
      </c>
      <c r="G10" s="50">
        <f>E10*F10</f>
        <v>42480</v>
      </c>
      <c r="H10" s="103"/>
      <c r="I10" s="141"/>
      <c r="J10" s="104"/>
      <c r="K10" s="103"/>
      <c r="L10" s="103">
        <v>5</v>
      </c>
      <c r="M10" s="141">
        <f t="shared" si="0"/>
        <v>7</v>
      </c>
      <c r="N10" s="103"/>
      <c r="O10" s="103" t="s">
        <v>946</v>
      </c>
      <c r="P10" s="137">
        <f t="shared" si="1"/>
        <v>24780</v>
      </c>
    </row>
    <row r="11" spans="1:16" s="8" customFormat="1" ht="15.75" x14ac:dyDescent="0.25">
      <c r="A11" s="106" t="s">
        <v>121</v>
      </c>
      <c r="B11" s="102">
        <v>44193</v>
      </c>
      <c r="C11" s="25" t="s">
        <v>535</v>
      </c>
      <c r="D11" s="25" t="s">
        <v>1122</v>
      </c>
      <c r="E11" s="161">
        <v>0</v>
      </c>
      <c r="F11" s="134">
        <v>127.12</v>
      </c>
      <c r="G11" s="50">
        <f t="shared" ref="G11:G25" si="2">E11*F11</f>
        <v>0</v>
      </c>
      <c r="H11" s="103"/>
      <c r="I11" s="141"/>
      <c r="J11" s="104"/>
      <c r="K11" s="103"/>
      <c r="L11" s="103"/>
      <c r="M11" s="141">
        <f t="shared" si="0"/>
        <v>0</v>
      </c>
      <c r="N11" s="103"/>
      <c r="O11" s="103" t="s">
        <v>946</v>
      </c>
      <c r="P11" s="137">
        <f t="shared" si="1"/>
        <v>0</v>
      </c>
    </row>
    <row r="12" spans="1:16" s="8" customFormat="1" ht="15.75" x14ac:dyDescent="0.25">
      <c r="A12" s="106" t="s">
        <v>122</v>
      </c>
      <c r="B12" s="102">
        <v>44193</v>
      </c>
      <c r="C12" s="25" t="s">
        <v>838</v>
      </c>
      <c r="D12" s="25" t="s">
        <v>1122</v>
      </c>
      <c r="E12" s="162">
        <v>1</v>
      </c>
      <c r="F12" s="134">
        <v>30</v>
      </c>
      <c r="G12" s="50">
        <f t="shared" si="2"/>
        <v>30</v>
      </c>
      <c r="H12" s="103"/>
      <c r="I12" s="141"/>
      <c r="J12" s="104"/>
      <c r="K12" s="103"/>
      <c r="L12" s="103"/>
      <c r="M12" s="141">
        <f t="shared" si="0"/>
        <v>1</v>
      </c>
      <c r="N12" s="103"/>
      <c r="O12" s="103" t="s">
        <v>946</v>
      </c>
      <c r="P12" s="137">
        <f t="shared" si="1"/>
        <v>30</v>
      </c>
    </row>
    <row r="13" spans="1:16" s="8" customFormat="1" ht="15.75" x14ac:dyDescent="0.25">
      <c r="A13" s="106" t="s">
        <v>123</v>
      </c>
      <c r="B13" s="102">
        <v>44193</v>
      </c>
      <c r="C13" s="25" t="s">
        <v>840</v>
      </c>
      <c r="D13" s="25" t="s">
        <v>1122</v>
      </c>
      <c r="E13" s="160">
        <v>10</v>
      </c>
      <c r="F13" s="134">
        <v>11</v>
      </c>
      <c r="G13" s="50">
        <f t="shared" si="2"/>
        <v>110</v>
      </c>
      <c r="H13" s="103"/>
      <c r="I13" s="141"/>
      <c r="J13" s="104"/>
      <c r="K13" s="103"/>
      <c r="L13" s="103"/>
      <c r="M13" s="141">
        <f t="shared" si="0"/>
        <v>10</v>
      </c>
      <c r="N13" s="103"/>
      <c r="O13" s="103" t="s">
        <v>946</v>
      </c>
      <c r="P13" s="137">
        <f t="shared" si="1"/>
        <v>110</v>
      </c>
    </row>
    <row r="14" spans="1:16" s="8" customFormat="1" ht="15.75" x14ac:dyDescent="0.25">
      <c r="A14" s="106" t="s">
        <v>13</v>
      </c>
      <c r="B14" s="102">
        <v>44193</v>
      </c>
      <c r="C14" s="25" t="s">
        <v>536</v>
      </c>
      <c r="D14" s="25" t="s">
        <v>1122</v>
      </c>
      <c r="E14" s="160">
        <f>49+60+2</f>
        <v>111</v>
      </c>
      <c r="F14" s="134">
        <v>15.84</v>
      </c>
      <c r="G14" s="50">
        <f t="shared" si="2"/>
        <v>1758.24</v>
      </c>
      <c r="H14" s="103"/>
      <c r="I14" s="141"/>
      <c r="J14" s="104"/>
      <c r="K14" s="103"/>
      <c r="L14" s="103"/>
      <c r="M14" s="141">
        <f t="shared" si="0"/>
        <v>111</v>
      </c>
      <c r="N14" s="103"/>
      <c r="O14" s="103" t="s">
        <v>946</v>
      </c>
      <c r="P14" s="137">
        <f t="shared" si="1"/>
        <v>1758.24</v>
      </c>
    </row>
    <row r="15" spans="1:16" s="8" customFormat="1" ht="15.75" x14ac:dyDescent="0.25">
      <c r="A15" s="106" t="s">
        <v>14</v>
      </c>
      <c r="B15" s="102">
        <v>44193</v>
      </c>
      <c r="C15" s="25" t="s">
        <v>537</v>
      </c>
      <c r="D15" s="25" t="s">
        <v>1122</v>
      </c>
      <c r="E15" s="160">
        <v>52</v>
      </c>
      <c r="F15" s="134">
        <v>22.41</v>
      </c>
      <c r="G15" s="50">
        <f t="shared" si="2"/>
        <v>1165.32</v>
      </c>
      <c r="H15" s="103"/>
      <c r="I15" s="141"/>
      <c r="J15" s="104"/>
      <c r="K15" s="103"/>
      <c r="L15" s="103"/>
      <c r="M15" s="141">
        <f t="shared" si="0"/>
        <v>52</v>
      </c>
      <c r="N15" s="103"/>
      <c r="O15" s="103" t="s">
        <v>946</v>
      </c>
      <c r="P15" s="137">
        <f t="shared" si="1"/>
        <v>1165.32</v>
      </c>
    </row>
    <row r="16" spans="1:16" s="8" customFormat="1" ht="15.75" x14ac:dyDescent="0.25">
      <c r="A16" s="106" t="s">
        <v>15</v>
      </c>
      <c r="B16" s="102">
        <v>44193</v>
      </c>
      <c r="C16" s="25" t="s">
        <v>538</v>
      </c>
      <c r="D16" s="25" t="s">
        <v>1122</v>
      </c>
      <c r="E16" s="160">
        <v>42</v>
      </c>
      <c r="F16" s="134">
        <v>5.5</v>
      </c>
      <c r="G16" s="50">
        <f t="shared" si="2"/>
        <v>231</v>
      </c>
      <c r="H16" s="103"/>
      <c r="I16" s="141"/>
      <c r="J16" s="104"/>
      <c r="K16" s="103"/>
      <c r="L16" s="103"/>
      <c r="M16" s="141">
        <f t="shared" si="0"/>
        <v>42</v>
      </c>
      <c r="N16" s="103"/>
      <c r="O16" s="103" t="s">
        <v>946</v>
      </c>
      <c r="P16" s="137">
        <f t="shared" si="1"/>
        <v>231</v>
      </c>
    </row>
    <row r="17" spans="1:16" s="8" customFormat="1" ht="15.75" x14ac:dyDescent="0.25">
      <c r="A17" s="106" t="s">
        <v>124</v>
      </c>
      <c r="B17" s="102">
        <v>44193</v>
      </c>
      <c r="C17" s="25" t="s">
        <v>539</v>
      </c>
      <c r="D17" s="25" t="s">
        <v>1122</v>
      </c>
      <c r="E17" s="160">
        <v>32</v>
      </c>
      <c r="F17" s="134">
        <v>78.099999999999994</v>
      </c>
      <c r="G17" s="50">
        <f t="shared" si="2"/>
        <v>2499.1999999999998</v>
      </c>
      <c r="H17" s="103"/>
      <c r="I17" s="141"/>
      <c r="J17" s="104"/>
      <c r="K17" s="103"/>
      <c r="L17" s="103">
        <v>2</v>
      </c>
      <c r="M17" s="141">
        <f t="shared" si="0"/>
        <v>30</v>
      </c>
      <c r="N17" s="103"/>
      <c r="O17" s="103" t="s">
        <v>946</v>
      </c>
      <c r="P17" s="137">
        <f t="shared" si="1"/>
        <v>2343</v>
      </c>
    </row>
    <row r="18" spans="1:16" s="8" customFormat="1" ht="15.75" x14ac:dyDescent="0.25">
      <c r="A18" s="106" t="s">
        <v>16</v>
      </c>
      <c r="B18" s="102" t="s">
        <v>107</v>
      </c>
      <c r="C18" s="25" t="s">
        <v>540</v>
      </c>
      <c r="D18" s="25" t="s">
        <v>1122</v>
      </c>
      <c r="E18" s="160">
        <v>131</v>
      </c>
      <c r="F18" s="134">
        <v>5.17</v>
      </c>
      <c r="G18" s="50">
        <f t="shared" si="2"/>
        <v>677.27</v>
      </c>
      <c r="H18" s="103"/>
      <c r="I18" s="141"/>
      <c r="J18" s="104"/>
      <c r="K18" s="103"/>
      <c r="L18" s="103"/>
      <c r="M18" s="141">
        <f t="shared" si="0"/>
        <v>131</v>
      </c>
      <c r="N18" s="103"/>
      <c r="O18" s="103" t="s">
        <v>946</v>
      </c>
      <c r="P18" s="137">
        <f t="shared" si="1"/>
        <v>677.27</v>
      </c>
    </row>
    <row r="19" spans="1:16" s="8" customFormat="1" ht="15.75" x14ac:dyDescent="0.25">
      <c r="A19" s="106" t="s">
        <v>17</v>
      </c>
      <c r="B19" s="102" t="s">
        <v>107</v>
      </c>
      <c r="C19" s="25" t="s">
        <v>541</v>
      </c>
      <c r="D19" s="25" t="s">
        <v>1122</v>
      </c>
      <c r="E19" s="160">
        <v>10</v>
      </c>
      <c r="F19" s="171">
        <v>15</v>
      </c>
      <c r="G19" s="50">
        <f t="shared" si="2"/>
        <v>150</v>
      </c>
      <c r="H19" s="103"/>
      <c r="I19" s="141"/>
      <c r="J19" s="104"/>
      <c r="K19" s="103"/>
      <c r="L19" s="103"/>
      <c r="M19" s="141">
        <f t="shared" si="0"/>
        <v>10</v>
      </c>
      <c r="N19" s="103"/>
      <c r="O19" s="103" t="s">
        <v>946</v>
      </c>
      <c r="P19" s="137">
        <f t="shared" si="1"/>
        <v>150</v>
      </c>
    </row>
    <row r="20" spans="1:16" s="8" customFormat="1" ht="15.75" x14ac:dyDescent="0.25">
      <c r="A20" s="106" t="s">
        <v>18</v>
      </c>
      <c r="B20" s="102">
        <v>44193</v>
      </c>
      <c r="C20" s="25" t="s">
        <v>542</v>
      </c>
      <c r="D20" s="25" t="s">
        <v>1122</v>
      </c>
      <c r="E20" s="161">
        <f>4+7+1</f>
        <v>12</v>
      </c>
      <c r="F20" s="134">
        <v>15</v>
      </c>
      <c r="G20" s="50">
        <f t="shared" si="2"/>
        <v>180</v>
      </c>
      <c r="H20" s="103"/>
      <c r="I20" s="141"/>
      <c r="J20" s="104"/>
      <c r="K20" s="103"/>
      <c r="L20" s="103"/>
      <c r="M20" s="141">
        <f t="shared" si="0"/>
        <v>12</v>
      </c>
      <c r="N20" s="103"/>
      <c r="O20" s="103" t="s">
        <v>946</v>
      </c>
      <c r="P20" s="137">
        <f t="shared" si="1"/>
        <v>180</v>
      </c>
    </row>
    <row r="21" spans="1:16" s="8" customFormat="1" ht="15.75" x14ac:dyDescent="0.25">
      <c r="A21" s="106" t="s">
        <v>19</v>
      </c>
      <c r="B21" s="102">
        <v>44193</v>
      </c>
      <c r="C21" s="25" t="s">
        <v>543</v>
      </c>
      <c r="D21" s="25" t="s">
        <v>1122</v>
      </c>
      <c r="E21" s="161">
        <v>8</v>
      </c>
      <c r="F21" s="134">
        <v>15</v>
      </c>
      <c r="G21" s="50">
        <f t="shared" si="2"/>
        <v>120</v>
      </c>
      <c r="H21" s="103"/>
      <c r="I21" s="141"/>
      <c r="J21" s="104"/>
      <c r="K21" s="103"/>
      <c r="L21" s="103"/>
      <c r="M21" s="141">
        <f t="shared" si="0"/>
        <v>8</v>
      </c>
      <c r="N21" s="103"/>
      <c r="O21" s="103" t="s">
        <v>946</v>
      </c>
      <c r="P21" s="137">
        <f t="shared" si="1"/>
        <v>120</v>
      </c>
    </row>
    <row r="22" spans="1:16" s="8" customFormat="1" ht="15.75" x14ac:dyDescent="0.25">
      <c r="A22" s="106" t="s">
        <v>20</v>
      </c>
      <c r="B22" s="102">
        <v>44193</v>
      </c>
      <c r="C22" s="25" t="s">
        <v>835</v>
      </c>
      <c r="D22" s="25" t="s">
        <v>1122</v>
      </c>
      <c r="E22" s="161">
        <v>1</v>
      </c>
      <c r="F22" s="134">
        <v>15</v>
      </c>
      <c r="G22" s="50">
        <f t="shared" si="2"/>
        <v>15</v>
      </c>
      <c r="H22" s="103"/>
      <c r="I22" s="141"/>
      <c r="J22" s="104"/>
      <c r="K22" s="103"/>
      <c r="L22" s="103"/>
      <c r="M22" s="141">
        <f t="shared" si="0"/>
        <v>1</v>
      </c>
      <c r="N22" s="103"/>
      <c r="O22" s="103" t="s">
        <v>946</v>
      </c>
      <c r="P22" s="137">
        <f t="shared" si="1"/>
        <v>15</v>
      </c>
    </row>
    <row r="23" spans="1:16" s="8" customFormat="1" ht="15.75" x14ac:dyDescent="0.25">
      <c r="A23" s="106" t="s">
        <v>21</v>
      </c>
      <c r="B23" s="102" t="s">
        <v>107</v>
      </c>
      <c r="C23" s="25" t="s">
        <v>544</v>
      </c>
      <c r="D23" s="25" t="s">
        <v>1122</v>
      </c>
      <c r="E23" s="161">
        <v>32</v>
      </c>
      <c r="F23" s="171">
        <v>15</v>
      </c>
      <c r="G23" s="50">
        <f t="shared" si="2"/>
        <v>480</v>
      </c>
      <c r="H23" s="103"/>
      <c r="I23" s="141"/>
      <c r="J23" s="104"/>
      <c r="K23" s="103"/>
      <c r="L23" s="103"/>
      <c r="M23" s="141">
        <f t="shared" si="0"/>
        <v>32</v>
      </c>
      <c r="N23" s="103"/>
      <c r="O23" s="103" t="s">
        <v>946</v>
      </c>
      <c r="P23" s="137">
        <f t="shared" si="1"/>
        <v>480</v>
      </c>
    </row>
    <row r="24" spans="1:16" s="8" customFormat="1" ht="15.75" x14ac:dyDescent="0.25">
      <c r="A24" s="106" t="s">
        <v>23</v>
      </c>
      <c r="B24" s="102">
        <v>45020</v>
      </c>
      <c r="C24" s="25" t="s">
        <v>1167</v>
      </c>
      <c r="D24" s="25" t="s">
        <v>1122</v>
      </c>
      <c r="E24" s="161">
        <v>20</v>
      </c>
      <c r="F24" s="171">
        <v>804.76</v>
      </c>
      <c r="G24" s="50">
        <f t="shared" si="2"/>
        <v>16095.2</v>
      </c>
      <c r="H24" s="103"/>
      <c r="I24" s="141"/>
      <c r="J24" s="104"/>
      <c r="K24" s="103"/>
      <c r="L24" s="103">
        <f>1+3+3+3+3</f>
        <v>13</v>
      </c>
      <c r="M24" s="141">
        <f t="shared" si="0"/>
        <v>7</v>
      </c>
      <c r="N24" s="103"/>
      <c r="O24" s="103" t="s">
        <v>946</v>
      </c>
      <c r="P24" s="137">
        <f>+F24*M24</f>
        <v>5633.32</v>
      </c>
    </row>
    <row r="25" spans="1:16" s="8" customFormat="1" ht="15.75" x14ac:dyDescent="0.25">
      <c r="A25" s="106" t="s">
        <v>24</v>
      </c>
      <c r="B25" s="102">
        <v>44193</v>
      </c>
      <c r="C25" s="25" t="s">
        <v>809</v>
      </c>
      <c r="D25" s="25" t="s">
        <v>1122</v>
      </c>
      <c r="E25" s="161">
        <v>12</v>
      </c>
      <c r="F25" s="171"/>
      <c r="G25" s="50">
        <f t="shared" si="2"/>
        <v>0</v>
      </c>
      <c r="H25" s="103"/>
      <c r="I25" s="141"/>
      <c r="J25" s="104"/>
      <c r="K25" s="103"/>
      <c r="L25" s="103"/>
      <c r="M25" s="141">
        <f t="shared" si="0"/>
        <v>12</v>
      </c>
      <c r="N25" s="103"/>
      <c r="O25" s="103" t="s">
        <v>946</v>
      </c>
      <c r="P25" s="137">
        <f t="shared" ref="P25:P88" si="3">+F25*M25</f>
        <v>0</v>
      </c>
    </row>
    <row r="26" spans="1:16" s="92" customFormat="1" x14ac:dyDescent="0.3">
      <c r="A26" s="106" t="s">
        <v>110</v>
      </c>
      <c r="B26" s="102">
        <v>44193</v>
      </c>
      <c r="C26" s="9" t="s">
        <v>545</v>
      </c>
      <c r="D26" s="25" t="s">
        <v>1122</v>
      </c>
      <c r="E26" s="163">
        <v>10</v>
      </c>
      <c r="F26" s="134">
        <v>225</v>
      </c>
      <c r="G26" s="50">
        <f>E26*F26</f>
        <v>2250</v>
      </c>
      <c r="H26" s="103"/>
      <c r="I26" s="141"/>
      <c r="J26" s="104"/>
      <c r="K26" s="103"/>
      <c r="L26" s="103"/>
      <c r="M26" s="141">
        <f t="shared" si="0"/>
        <v>10</v>
      </c>
      <c r="N26" s="103"/>
      <c r="O26" s="103" t="s">
        <v>947</v>
      </c>
      <c r="P26" s="137">
        <f t="shared" si="3"/>
        <v>2250</v>
      </c>
    </row>
    <row r="27" spans="1:16" s="92" customFormat="1" x14ac:dyDescent="0.3">
      <c r="A27" s="106" t="s">
        <v>125</v>
      </c>
      <c r="B27" s="102">
        <v>45127</v>
      </c>
      <c r="C27" s="9" t="s">
        <v>546</v>
      </c>
      <c r="D27" s="25" t="s">
        <v>1122</v>
      </c>
      <c r="E27" s="163">
        <v>0</v>
      </c>
      <c r="F27" s="134">
        <v>236</v>
      </c>
      <c r="G27" s="50">
        <f>E27*F27</f>
        <v>0</v>
      </c>
      <c r="H27" s="107">
        <v>45127</v>
      </c>
      <c r="I27" s="141">
        <v>10</v>
      </c>
      <c r="J27" s="104"/>
      <c r="K27" s="103"/>
      <c r="L27" s="103"/>
      <c r="M27" s="141">
        <f t="shared" si="0"/>
        <v>10</v>
      </c>
      <c r="N27" s="103"/>
      <c r="O27" s="103" t="s">
        <v>946</v>
      </c>
      <c r="P27" s="137">
        <f t="shared" si="3"/>
        <v>2360</v>
      </c>
    </row>
    <row r="28" spans="1:16" s="92" customFormat="1" x14ac:dyDescent="0.3">
      <c r="A28" s="106" t="s">
        <v>25</v>
      </c>
      <c r="B28" s="102">
        <v>44193</v>
      </c>
      <c r="C28" s="25" t="s">
        <v>547</v>
      </c>
      <c r="D28" s="25" t="s">
        <v>1122</v>
      </c>
      <c r="E28" s="161">
        <v>4</v>
      </c>
      <c r="F28" s="134">
        <v>470</v>
      </c>
      <c r="G28" s="50">
        <f>E28*F28</f>
        <v>1880</v>
      </c>
      <c r="H28" s="103"/>
      <c r="I28" s="141"/>
      <c r="J28" s="104"/>
      <c r="K28" s="103"/>
      <c r="L28" s="103"/>
      <c r="M28" s="141">
        <f t="shared" si="0"/>
        <v>4</v>
      </c>
      <c r="N28" s="103"/>
      <c r="O28" s="103" t="s">
        <v>945</v>
      </c>
      <c r="P28" s="137">
        <f t="shared" si="3"/>
        <v>1880</v>
      </c>
    </row>
    <row r="29" spans="1:16" s="8" customFormat="1" ht="15.75" x14ac:dyDescent="0.25">
      <c r="A29" s="106" t="s">
        <v>126</v>
      </c>
      <c r="B29" s="102" t="s">
        <v>107</v>
      </c>
      <c r="C29" s="25" t="s">
        <v>807</v>
      </c>
      <c r="D29" s="25" t="s">
        <v>1122</v>
      </c>
      <c r="E29" s="161">
        <v>70</v>
      </c>
      <c r="F29" s="134">
        <v>16.46</v>
      </c>
      <c r="G29" s="50">
        <f>+E29*F29</f>
        <v>1152.2</v>
      </c>
      <c r="H29" s="103"/>
      <c r="I29" s="141"/>
      <c r="J29" s="104"/>
      <c r="K29" s="103"/>
      <c r="L29" s="103"/>
      <c r="M29" s="141">
        <f t="shared" si="0"/>
        <v>70</v>
      </c>
      <c r="N29" s="103"/>
      <c r="O29" s="103" t="s">
        <v>946</v>
      </c>
      <c r="P29" s="137">
        <f t="shared" si="3"/>
        <v>1152.2</v>
      </c>
    </row>
    <row r="30" spans="1:16" s="8" customFormat="1" ht="15.75" x14ac:dyDescent="0.25">
      <c r="A30" s="106" t="s">
        <v>26</v>
      </c>
      <c r="B30" s="102" t="s">
        <v>107</v>
      </c>
      <c r="C30" s="25" t="s">
        <v>549</v>
      </c>
      <c r="D30" s="25" t="s">
        <v>1122</v>
      </c>
      <c r="E30" s="161">
        <v>0</v>
      </c>
      <c r="F30" s="171">
        <v>6.4</v>
      </c>
      <c r="G30" s="50">
        <f>E30*F30</f>
        <v>0</v>
      </c>
      <c r="H30" s="103"/>
      <c r="I30" s="141"/>
      <c r="J30" s="104"/>
      <c r="K30" s="103"/>
      <c r="L30" s="103"/>
      <c r="M30" s="141">
        <f t="shared" si="0"/>
        <v>0</v>
      </c>
      <c r="N30" s="103"/>
      <c r="O30" s="103" t="s">
        <v>946</v>
      </c>
      <c r="P30" s="137">
        <f t="shared" si="3"/>
        <v>0</v>
      </c>
    </row>
    <row r="31" spans="1:16" s="8" customFormat="1" ht="15.75" x14ac:dyDescent="0.25">
      <c r="A31" s="106" t="s">
        <v>27</v>
      </c>
      <c r="B31" s="102">
        <v>44193</v>
      </c>
      <c r="C31" s="25" t="s">
        <v>550</v>
      </c>
      <c r="D31" s="25" t="s">
        <v>1122</v>
      </c>
      <c r="E31" s="161">
        <v>0</v>
      </c>
      <c r="F31" s="134">
        <v>105.93</v>
      </c>
      <c r="G31" s="50">
        <f>E31*F31</f>
        <v>0</v>
      </c>
      <c r="H31" s="103"/>
      <c r="I31" s="141"/>
      <c r="J31" s="104"/>
      <c r="K31" s="103"/>
      <c r="L31" s="103"/>
      <c r="M31" s="141">
        <f t="shared" si="0"/>
        <v>0</v>
      </c>
      <c r="N31" s="103"/>
      <c r="O31" s="103" t="s">
        <v>946</v>
      </c>
      <c r="P31" s="137">
        <f t="shared" si="3"/>
        <v>0</v>
      </c>
    </row>
    <row r="32" spans="1:16" s="8" customFormat="1" ht="15.75" x14ac:dyDescent="0.25">
      <c r="A32" s="106" t="s">
        <v>28</v>
      </c>
      <c r="B32" s="102">
        <v>44193</v>
      </c>
      <c r="C32" s="25" t="s">
        <v>806</v>
      </c>
      <c r="D32" s="25" t="s">
        <v>1122</v>
      </c>
      <c r="E32" s="162">
        <v>2</v>
      </c>
      <c r="F32" s="134">
        <v>160</v>
      </c>
      <c r="G32" s="50">
        <f>E32*F32</f>
        <v>320</v>
      </c>
      <c r="H32" s="103"/>
      <c r="I32" s="141"/>
      <c r="J32" s="104"/>
      <c r="K32" s="103"/>
      <c r="L32" s="103">
        <v>1</v>
      </c>
      <c r="M32" s="141">
        <f t="shared" si="0"/>
        <v>1</v>
      </c>
      <c r="N32" s="103"/>
      <c r="O32" s="103" t="s">
        <v>946</v>
      </c>
      <c r="P32" s="137">
        <f t="shared" si="3"/>
        <v>160</v>
      </c>
    </row>
    <row r="33" spans="1:16" s="92" customFormat="1" x14ac:dyDescent="0.3">
      <c r="A33" s="106" t="s">
        <v>127</v>
      </c>
      <c r="B33" s="102">
        <v>44449</v>
      </c>
      <c r="C33" s="25" t="s">
        <v>551</v>
      </c>
      <c r="D33" s="25" t="s">
        <v>1122</v>
      </c>
      <c r="E33" s="161">
        <v>9</v>
      </c>
      <c r="F33" s="134">
        <v>600</v>
      </c>
      <c r="G33" s="50">
        <f t="shared" ref="G33:G61" si="4">E33*F33</f>
        <v>5400</v>
      </c>
      <c r="H33" s="103"/>
      <c r="I33" s="141"/>
      <c r="J33" s="104"/>
      <c r="K33" s="103"/>
      <c r="L33" s="103">
        <v>1</v>
      </c>
      <c r="M33" s="141">
        <f t="shared" si="0"/>
        <v>8</v>
      </c>
      <c r="N33" s="103"/>
      <c r="O33" s="103" t="s">
        <v>945</v>
      </c>
      <c r="P33" s="137">
        <f t="shared" si="3"/>
        <v>4800</v>
      </c>
    </row>
    <row r="34" spans="1:16" s="8" customFormat="1" ht="15.75" x14ac:dyDescent="0.25">
      <c r="A34" s="106" t="s">
        <v>29</v>
      </c>
      <c r="B34" s="102">
        <v>44193</v>
      </c>
      <c r="C34" s="9" t="s">
        <v>552</v>
      </c>
      <c r="D34" s="25" t="s">
        <v>1122</v>
      </c>
      <c r="E34" s="161">
        <f>20+23</f>
        <v>43</v>
      </c>
      <c r="F34" s="134">
        <v>200</v>
      </c>
      <c r="G34" s="50">
        <f t="shared" si="4"/>
        <v>8600</v>
      </c>
      <c r="H34" s="103"/>
      <c r="I34" s="141"/>
      <c r="J34" s="104"/>
      <c r="K34" s="103"/>
      <c r="L34" s="103"/>
      <c r="M34" s="141">
        <f t="shared" si="0"/>
        <v>43</v>
      </c>
      <c r="N34" s="103"/>
      <c r="O34" s="103" t="s">
        <v>947</v>
      </c>
      <c r="P34" s="137">
        <f t="shared" si="3"/>
        <v>8600</v>
      </c>
    </row>
    <row r="35" spans="1:16" s="8" customFormat="1" ht="15.75" x14ac:dyDescent="0.25">
      <c r="A35" s="106" t="s">
        <v>30</v>
      </c>
      <c r="B35" s="102">
        <v>44193</v>
      </c>
      <c r="C35" s="9" t="s">
        <v>553</v>
      </c>
      <c r="D35" s="25" t="s">
        <v>1122</v>
      </c>
      <c r="E35" s="161">
        <v>9</v>
      </c>
      <c r="F35" s="134">
        <v>200</v>
      </c>
      <c r="G35" s="50">
        <f t="shared" si="4"/>
        <v>1800</v>
      </c>
      <c r="H35" s="103"/>
      <c r="I35" s="141"/>
      <c r="J35" s="104"/>
      <c r="K35" s="103"/>
      <c r="L35" s="103"/>
      <c r="M35" s="141">
        <f t="shared" si="0"/>
        <v>9</v>
      </c>
      <c r="N35" s="103"/>
      <c r="O35" s="103" t="s">
        <v>947</v>
      </c>
      <c r="P35" s="137">
        <f t="shared" si="3"/>
        <v>1800</v>
      </c>
    </row>
    <row r="36" spans="1:16" s="92" customFormat="1" x14ac:dyDescent="0.3">
      <c r="A36" s="106" t="s">
        <v>99</v>
      </c>
      <c r="B36" s="102">
        <v>44193</v>
      </c>
      <c r="C36" s="25" t="s">
        <v>548</v>
      </c>
      <c r="D36" s="25" t="s">
        <v>1122</v>
      </c>
      <c r="E36" s="161">
        <v>36</v>
      </c>
      <c r="F36" s="134">
        <v>75</v>
      </c>
      <c r="G36" s="50">
        <f t="shared" si="4"/>
        <v>2700</v>
      </c>
      <c r="H36" s="103"/>
      <c r="I36" s="141"/>
      <c r="J36" s="134"/>
      <c r="K36" s="108"/>
      <c r="L36" s="103">
        <v>36</v>
      </c>
      <c r="M36" s="141">
        <f t="shared" si="0"/>
        <v>0</v>
      </c>
      <c r="N36" s="103"/>
      <c r="O36" s="103" t="s">
        <v>945</v>
      </c>
      <c r="P36" s="137">
        <f>+F36*M36</f>
        <v>0</v>
      </c>
    </row>
    <row r="37" spans="1:16" s="8" customFormat="1" ht="15.75" x14ac:dyDescent="0.25">
      <c r="A37" s="106" t="s">
        <v>31</v>
      </c>
      <c r="B37" s="102">
        <v>44193</v>
      </c>
      <c r="C37" s="25" t="s">
        <v>554</v>
      </c>
      <c r="D37" s="25" t="s">
        <v>1122</v>
      </c>
      <c r="E37" s="161">
        <v>0</v>
      </c>
      <c r="F37" s="134">
        <v>4.24</v>
      </c>
      <c r="G37" s="50">
        <f t="shared" si="4"/>
        <v>0</v>
      </c>
      <c r="H37" s="103"/>
      <c r="I37" s="141"/>
      <c r="J37" s="104"/>
      <c r="K37" s="103"/>
      <c r="L37" s="103"/>
      <c r="M37" s="141">
        <f t="shared" si="0"/>
        <v>0</v>
      </c>
      <c r="N37" s="103"/>
      <c r="O37" s="103" t="s">
        <v>946</v>
      </c>
      <c r="P37" s="137">
        <f>+F37*M37</f>
        <v>0</v>
      </c>
    </row>
    <row r="38" spans="1:16" s="8" customFormat="1" ht="15.75" x14ac:dyDescent="0.25">
      <c r="A38" s="106" t="s">
        <v>32</v>
      </c>
      <c r="B38" s="102">
        <v>44193</v>
      </c>
      <c r="C38" s="25" t="s">
        <v>555</v>
      </c>
      <c r="D38" s="25" t="s">
        <v>1122</v>
      </c>
      <c r="E38" s="161">
        <v>0</v>
      </c>
      <c r="F38" s="134">
        <v>3.39</v>
      </c>
      <c r="G38" s="50">
        <f t="shared" si="4"/>
        <v>0</v>
      </c>
      <c r="H38" s="103"/>
      <c r="I38" s="141"/>
      <c r="J38" s="104"/>
      <c r="K38" s="103"/>
      <c r="L38" s="103"/>
      <c r="M38" s="141">
        <f t="shared" si="0"/>
        <v>0</v>
      </c>
      <c r="N38" s="103"/>
      <c r="O38" s="103" t="s">
        <v>946</v>
      </c>
      <c r="P38" s="137">
        <f t="shared" si="3"/>
        <v>0</v>
      </c>
    </row>
    <row r="39" spans="1:16" s="8" customFormat="1" ht="15.75" x14ac:dyDescent="0.25">
      <c r="A39" s="106" t="s">
        <v>33</v>
      </c>
      <c r="B39" s="102">
        <v>44193</v>
      </c>
      <c r="C39" s="9" t="s">
        <v>556</v>
      </c>
      <c r="D39" s="25" t="s">
        <v>1122</v>
      </c>
      <c r="E39" s="161">
        <v>23</v>
      </c>
      <c r="F39" s="134">
        <v>1625</v>
      </c>
      <c r="G39" s="50">
        <f t="shared" si="4"/>
        <v>37375</v>
      </c>
      <c r="H39" s="103"/>
      <c r="I39" s="141"/>
      <c r="J39" s="104"/>
      <c r="K39" s="103"/>
      <c r="L39" s="103"/>
      <c r="M39" s="141">
        <f t="shared" si="0"/>
        <v>23</v>
      </c>
      <c r="N39" s="103"/>
      <c r="O39" s="103" t="s">
        <v>946</v>
      </c>
      <c r="P39" s="137">
        <f t="shared" si="3"/>
        <v>37375</v>
      </c>
    </row>
    <row r="40" spans="1:16" s="8" customFormat="1" ht="15.75" x14ac:dyDescent="0.25">
      <c r="A40" s="106" t="s">
        <v>34</v>
      </c>
      <c r="B40" s="102">
        <v>44193</v>
      </c>
      <c r="C40" s="9" t="s">
        <v>557</v>
      </c>
      <c r="D40" s="25" t="s">
        <v>1122</v>
      </c>
      <c r="E40" s="161">
        <v>0</v>
      </c>
      <c r="F40" s="134">
        <v>1625</v>
      </c>
      <c r="G40" s="50">
        <f t="shared" si="4"/>
        <v>0</v>
      </c>
      <c r="H40" s="103"/>
      <c r="I40" s="141"/>
      <c r="J40" s="104"/>
      <c r="K40" s="103"/>
      <c r="L40" s="103"/>
      <c r="M40" s="141">
        <f t="shared" si="0"/>
        <v>0</v>
      </c>
      <c r="N40" s="103"/>
      <c r="O40" s="103" t="s">
        <v>946</v>
      </c>
      <c r="P40" s="137">
        <f t="shared" si="3"/>
        <v>0</v>
      </c>
    </row>
    <row r="41" spans="1:16" s="105" customFormat="1" ht="15.75" x14ac:dyDescent="0.25">
      <c r="A41" s="106" t="s">
        <v>111</v>
      </c>
      <c r="B41" s="129">
        <v>44852</v>
      </c>
      <c r="C41" s="9" t="s">
        <v>558</v>
      </c>
      <c r="D41" s="25" t="s">
        <v>1122</v>
      </c>
      <c r="E41" s="161">
        <v>10</v>
      </c>
      <c r="F41" s="134">
        <v>26</v>
      </c>
      <c r="G41" s="50">
        <f t="shared" si="4"/>
        <v>260</v>
      </c>
      <c r="H41" s="107">
        <v>44852</v>
      </c>
      <c r="I41" s="141">
        <v>10</v>
      </c>
      <c r="J41" s="104">
        <v>26</v>
      </c>
      <c r="K41" s="108">
        <f>+I41*J41</f>
        <v>260</v>
      </c>
      <c r="L41" s="103">
        <v>1</v>
      </c>
      <c r="M41" s="141">
        <f t="shared" si="0"/>
        <v>19</v>
      </c>
      <c r="N41" s="103"/>
      <c r="O41" s="103" t="s">
        <v>947</v>
      </c>
      <c r="P41" s="137">
        <f>+F41*M41</f>
        <v>494</v>
      </c>
    </row>
    <row r="42" spans="1:16" s="8" customFormat="1" ht="15.75" x14ac:dyDescent="0.25">
      <c r="A42" s="106" t="s">
        <v>128</v>
      </c>
      <c r="B42" s="102">
        <v>44488</v>
      </c>
      <c r="C42" s="25" t="s">
        <v>560</v>
      </c>
      <c r="D42" s="25" t="s">
        <v>1122</v>
      </c>
      <c r="E42" s="164">
        <v>13</v>
      </c>
      <c r="F42" s="134">
        <v>40</v>
      </c>
      <c r="G42" s="50">
        <f t="shared" si="4"/>
        <v>520</v>
      </c>
      <c r="H42" s="103"/>
      <c r="I42" s="141"/>
      <c r="J42" s="104"/>
      <c r="K42" s="103"/>
      <c r="L42" s="103"/>
      <c r="M42" s="141">
        <f t="shared" si="0"/>
        <v>13</v>
      </c>
      <c r="N42" s="103"/>
      <c r="O42" s="103" t="s">
        <v>946</v>
      </c>
      <c r="P42" s="137">
        <f t="shared" si="3"/>
        <v>520</v>
      </c>
    </row>
    <row r="43" spans="1:16" s="8" customFormat="1" ht="15.75" x14ac:dyDescent="0.25">
      <c r="A43" s="106" t="s">
        <v>129</v>
      </c>
      <c r="B43" s="102">
        <v>44193</v>
      </c>
      <c r="C43" s="9" t="s">
        <v>772</v>
      </c>
      <c r="D43" s="25" t="s">
        <v>1122</v>
      </c>
      <c r="E43" s="161">
        <v>23</v>
      </c>
      <c r="F43" s="134">
        <v>2.4</v>
      </c>
      <c r="G43" s="50">
        <f t="shared" si="4"/>
        <v>55.199999999999996</v>
      </c>
      <c r="H43" s="103"/>
      <c r="I43" s="141"/>
      <c r="J43" s="104"/>
      <c r="K43" s="103"/>
      <c r="L43" s="103">
        <f>12+2+2</f>
        <v>16</v>
      </c>
      <c r="M43" s="141">
        <f t="shared" si="0"/>
        <v>7</v>
      </c>
      <c r="N43" s="103"/>
      <c r="O43" s="103" t="s">
        <v>947</v>
      </c>
      <c r="P43" s="137">
        <f t="shared" si="3"/>
        <v>16.8</v>
      </c>
    </row>
    <row r="44" spans="1:16" s="8" customFormat="1" ht="15.75" x14ac:dyDescent="0.25">
      <c r="A44" s="106" t="s">
        <v>130</v>
      </c>
      <c r="B44" s="102">
        <v>44193</v>
      </c>
      <c r="C44" s="25" t="s">
        <v>562</v>
      </c>
      <c r="D44" s="25" t="s">
        <v>1122</v>
      </c>
      <c r="E44" s="165">
        <v>0</v>
      </c>
      <c r="F44" s="134">
        <v>700</v>
      </c>
      <c r="G44" s="50">
        <f t="shared" si="4"/>
        <v>0</v>
      </c>
      <c r="H44" s="103"/>
      <c r="I44" s="141"/>
      <c r="J44" s="104"/>
      <c r="K44" s="103"/>
      <c r="L44" s="103"/>
      <c r="M44" s="141">
        <f t="shared" si="0"/>
        <v>0</v>
      </c>
      <c r="N44" s="103"/>
      <c r="O44" s="103" t="s">
        <v>946</v>
      </c>
      <c r="P44" s="137">
        <f t="shared" si="3"/>
        <v>0</v>
      </c>
    </row>
    <row r="45" spans="1:16" s="8" customFormat="1" ht="15.75" x14ac:dyDescent="0.25">
      <c r="A45" s="106" t="s">
        <v>35</v>
      </c>
      <c r="B45" s="102">
        <v>44193</v>
      </c>
      <c r="C45" s="9" t="s">
        <v>563</v>
      </c>
      <c r="D45" s="25" t="s">
        <v>1122</v>
      </c>
      <c r="E45" s="161">
        <v>1</v>
      </c>
      <c r="F45" s="134">
        <v>35</v>
      </c>
      <c r="G45" s="50">
        <f t="shared" si="4"/>
        <v>35</v>
      </c>
      <c r="H45" s="103"/>
      <c r="I45" s="141"/>
      <c r="J45" s="104"/>
      <c r="K45" s="103"/>
      <c r="L45" s="103"/>
      <c r="M45" s="141">
        <f t="shared" si="0"/>
        <v>1</v>
      </c>
      <c r="N45" s="103"/>
      <c r="O45" s="103" t="s">
        <v>947</v>
      </c>
      <c r="P45" s="137">
        <f t="shared" si="3"/>
        <v>35</v>
      </c>
    </row>
    <row r="46" spans="1:16" s="92" customFormat="1" x14ac:dyDescent="0.3">
      <c r="A46" s="106" t="s">
        <v>36</v>
      </c>
      <c r="B46" s="102">
        <v>44193</v>
      </c>
      <c r="C46" s="9" t="s">
        <v>564</v>
      </c>
      <c r="D46" s="25" t="s">
        <v>1122</v>
      </c>
      <c r="E46" s="161">
        <v>0</v>
      </c>
      <c r="F46" s="134">
        <v>2719</v>
      </c>
      <c r="G46" s="50">
        <f t="shared" si="4"/>
        <v>0</v>
      </c>
      <c r="H46" s="103"/>
      <c r="I46" s="141"/>
      <c r="J46" s="104"/>
      <c r="K46" s="103"/>
      <c r="L46" s="103"/>
      <c r="M46" s="141">
        <f t="shared" si="0"/>
        <v>0</v>
      </c>
      <c r="N46" s="103"/>
      <c r="O46" s="103" t="s">
        <v>945</v>
      </c>
      <c r="P46" s="137">
        <f t="shared" si="3"/>
        <v>0</v>
      </c>
    </row>
    <row r="47" spans="1:16" s="8" customFormat="1" ht="15.75" x14ac:dyDescent="0.25">
      <c r="A47" s="106" t="s">
        <v>37</v>
      </c>
      <c r="B47" s="102">
        <v>44193</v>
      </c>
      <c r="C47" s="25" t="s">
        <v>797</v>
      </c>
      <c r="D47" s="25" t="s">
        <v>1122</v>
      </c>
      <c r="E47" s="161">
        <v>2</v>
      </c>
      <c r="F47" s="134">
        <v>600</v>
      </c>
      <c r="G47" s="50">
        <f t="shared" si="4"/>
        <v>1200</v>
      </c>
      <c r="H47" s="103"/>
      <c r="I47" s="141"/>
      <c r="J47" s="104"/>
      <c r="K47" s="103"/>
      <c r="L47" s="103"/>
      <c r="M47" s="141">
        <f t="shared" si="0"/>
        <v>2</v>
      </c>
      <c r="N47" s="103"/>
      <c r="O47" s="103" t="s">
        <v>946</v>
      </c>
      <c r="P47" s="137">
        <f t="shared" si="3"/>
        <v>1200</v>
      </c>
    </row>
    <row r="48" spans="1:16" s="8" customFormat="1" ht="15.75" x14ac:dyDescent="0.25">
      <c r="A48" s="106" t="s">
        <v>38</v>
      </c>
      <c r="B48" s="102">
        <v>44678</v>
      </c>
      <c r="C48" s="25" t="s">
        <v>565</v>
      </c>
      <c r="D48" s="25" t="s">
        <v>1122</v>
      </c>
      <c r="E48" s="165">
        <v>5</v>
      </c>
      <c r="F48" s="134">
        <v>1400</v>
      </c>
      <c r="G48" s="50">
        <f t="shared" si="4"/>
        <v>7000</v>
      </c>
      <c r="H48" s="103"/>
      <c r="I48" s="141"/>
      <c r="J48" s="104"/>
      <c r="K48" s="103"/>
      <c r="L48" s="103"/>
      <c r="M48" s="141">
        <f t="shared" si="0"/>
        <v>5</v>
      </c>
      <c r="N48" s="103"/>
      <c r="O48" s="103" t="s">
        <v>946</v>
      </c>
      <c r="P48" s="137">
        <f t="shared" si="3"/>
        <v>7000</v>
      </c>
    </row>
    <row r="49" spans="1:16" s="8" customFormat="1" ht="15.75" x14ac:dyDescent="0.25">
      <c r="A49" s="106" t="s">
        <v>131</v>
      </c>
      <c r="B49" s="102">
        <v>44678</v>
      </c>
      <c r="C49" s="25" t="s">
        <v>567</v>
      </c>
      <c r="D49" s="25" t="s">
        <v>1122</v>
      </c>
      <c r="E49" s="165">
        <v>10</v>
      </c>
      <c r="F49" s="134">
        <v>500</v>
      </c>
      <c r="G49" s="50">
        <f t="shared" si="4"/>
        <v>5000</v>
      </c>
      <c r="H49" s="103"/>
      <c r="I49" s="141"/>
      <c r="J49" s="104"/>
      <c r="K49" s="103"/>
      <c r="L49" s="103"/>
      <c r="M49" s="141">
        <f t="shared" si="0"/>
        <v>10</v>
      </c>
      <c r="N49" s="103"/>
      <c r="O49" s="103" t="s">
        <v>946</v>
      </c>
      <c r="P49" s="137">
        <f t="shared" si="3"/>
        <v>5000</v>
      </c>
    </row>
    <row r="50" spans="1:16" s="8" customFormat="1" ht="15.75" x14ac:dyDescent="0.25">
      <c r="A50" s="106" t="s">
        <v>39</v>
      </c>
      <c r="B50" s="102">
        <v>44678</v>
      </c>
      <c r="C50" s="25" t="s">
        <v>568</v>
      </c>
      <c r="D50" s="25" t="s">
        <v>1122</v>
      </c>
      <c r="E50" s="165">
        <v>6</v>
      </c>
      <c r="F50" s="134">
        <v>5000</v>
      </c>
      <c r="G50" s="50">
        <f t="shared" si="4"/>
        <v>30000</v>
      </c>
      <c r="H50" s="103"/>
      <c r="I50" s="141"/>
      <c r="J50" s="104"/>
      <c r="K50" s="103"/>
      <c r="L50" s="103"/>
      <c r="M50" s="141">
        <f t="shared" si="0"/>
        <v>6</v>
      </c>
      <c r="N50" s="103"/>
      <c r="O50" s="103" t="s">
        <v>946</v>
      </c>
      <c r="P50" s="137">
        <f t="shared" si="3"/>
        <v>30000</v>
      </c>
    </row>
    <row r="51" spans="1:16" s="8" customFormat="1" ht="15.75" x14ac:dyDescent="0.25">
      <c r="A51" s="106" t="s">
        <v>40</v>
      </c>
      <c r="B51" s="102">
        <v>44193</v>
      </c>
      <c r="C51" s="25" t="s">
        <v>803</v>
      </c>
      <c r="D51" s="25" t="s">
        <v>1122</v>
      </c>
      <c r="E51" s="165">
        <v>6</v>
      </c>
      <c r="F51" s="134">
        <v>2600</v>
      </c>
      <c r="G51" s="50">
        <f t="shared" si="4"/>
        <v>15600</v>
      </c>
      <c r="H51" s="103"/>
      <c r="I51" s="141"/>
      <c r="J51" s="104"/>
      <c r="K51" s="103"/>
      <c r="L51" s="103"/>
      <c r="M51" s="141">
        <f t="shared" si="0"/>
        <v>6</v>
      </c>
      <c r="N51" s="103"/>
      <c r="O51" s="103" t="s">
        <v>946</v>
      </c>
      <c r="P51" s="137">
        <f t="shared" si="3"/>
        <v>15600</v>
      </c>
    </row>
    <row r="52" spans="1:16" s="92" customFormat="1" x14ac:dyDescent="0.3">
      <c r="A52" s="106" t="s">
        <v>132</v>
      </c>
      <c r="B52" s="102">
        <v>44193</v>
      </c>
      <c r="C52" s="25" t="s">
        <v>773</v>
      </c>
      <c r="D52" s="25" t="s">
        <v>1122</v>
      </c>
      <c r="E52" s="160">
        <v>2</v>
      </c>
      <c r="F52" s="134">
        <v>325</v>
      </c>
      <c r="G52" s="50">
        <f t="shared" si="4"/>
        <v>650</v>
      </c>
      <c r="H52" s="103"/>
      <c r="I52" s="141"/>
      <c r="J52" s="104"/>
      <c r="K52" s="103"/>
      <c r="L52" s="103">
        <v>2</v>
      </c>
      <c r="M52" s="141">
        <f t="shared" si="0"/>
        <v>0</v>
      </c>
      <c r="N52" s="103"/>
      <c r="O52" s="103" t="s">
        <v>945</v>
      </c>
      <c r="P52" s="137">
        <f t="shared" si="3"/>
        <v>0</v>
      </c>
    </row>
    <row r="53" spans="1:16" s="92" customFormat="1" x14ac:dyDescent="0.3">
      <c r="A53" s="106" t="s">
        <v>41</v>
      </c>
      <c r="B53" s="102">
        <v>44193</v>
      </c>
      <c r="C53" s="25" t="s">
        <v>570</v>
      </c>
      <c r="D53" s="25" t="s">
        <v>1122</v>
      </c>
      <c r="E53" s="160">
        <f>(43*3)+1</f>
        <v>130</v>
      </c>
      <c r="F53" s="134">
        <v>25</v>
      </c>
      <c r="G53" s="50">
        <f t="shared" si="4"/>
        <v>3250</v>
      </c>
      <c r="H53" s="103"/>
      <c r="I53" s="141"/>
      <c r="J53" s="104"/>
      <c r="K53" s="103"/>
      <c r="L53" s="103">
        <f>1+3+1+5+1</f>
        <v>11</v>
      </c>
      <c r="M53" s="141">
        <f t="shared" si="0"/>
        <v>119</v>
      </c>
      <c r="N53" s="103"/>
      <c r="O53" s="103" t="s">
        <v>945</v>
      </c>
      <c r="P53" s="137">
        <f t="shared" si="3"/>
        <v>2975</v>
      </c>
    </row>
    <row r="54" spans="1:16" s="92" customFormat="1" x14ac:dyDescent="0.3">
      <c r="A54" s="106" t="s">
        <v>133</v>
      </c>
      <c r="B54" s="129">
        <v>45019</v>
      </c>
      <c r="C54" s="25" t="s">
        <v>1190</v>
      </c>
      <c r="D54" s="25" t="s">
        <v>1122</v>
      </c>
      <c r="E54" s="160">
        <v>276</v>
      </c>
      <c r="F54" s="134">
        <v>122.19</v>
      </c>
      <c r="G54" s="50">
        <f t="shared" si="4"/>
        <v>33724.44</v>
      </c>
      <c r="H54" s="107">
        <v>45019</v>
      </c>
      <c r="I54" s="141">
        <v>300</v>
      </c>
      <c r="J54" s="104">
        <v>122.19</v>
      </c>
      <c r="K54" s="104">
        <f>+I54*J54</f>
        <v>36657</v>
      </c>
      <c r="L54" s="103">
        <f>124+2+2+2+3+5+4+4+4+3</f>
        <v>153</v>
      </c>
      <c r="M54" s="151">
        <f t="shared" si="0"/>
        <v>423</v>
      </c>
      <c r="N54" s="103"/>
      <c r="O54" s="103" t="s">
        <v>945</v>
      </c>
      <c r="P54" s="137">
        <f t="shared" si="3"/>
        <v>51686.37</v>
      </c>
    </row>
    <row r="55" spans="1:16" s="8" customFormat="1" ht="15.75" x14ac:dyDescent="0.25">
      <c r="A55" s="106" t="s">
        <v>134</v>
      </c>
      <c r="B55" s="129">
        <v>44851</v>
      </c>
      <c r="C55" s="25" t="s">
        <v>572</v>
      </c>
      <c r="D55" s="25" t="s">
        <v>1122</v>
      </c>
      <c r="E55" s="165"/>
      <c r="F55" s="171">
        <v>107.97</v>
      </c>
      <c r="G55" s="50">
        <f t="shared" si="4"/>
        <v>0</v>
      </c>
      <c r="H55" s="107">
        <v>44851</v>
      </c>
      <c r="I55" s="141">
        <v>30</v>
      </c>
      <c r="J55" s="104">
        <v>107.97</v>
      </c>
      <c r="K55" s="104">
        <f>+I55*J55</f>
        <v>3239.1</v>
      </c>
      <c r="L55" s="103">
        <f>2+1+1</f>
        <v>4</v>
      </c>
      <c r="M55" s="141">
        <f t="shared" si="0"/>
        <v>26</v>
      </c>
      <c r="N55" s="103"/>
      <c r="O55" s="103" t="s">
        <v>946</v>
      </c>
      <c r="P55" s="137">
        <f>+F55*M55</f>
        <v>2807.22</v>
      </c>
    </row>
    <row r="56" spans="1:16" s="8" customFormat="1" ht="15.75" x14ac:dyDescent="0.25">
      <c r="A56" s="106" t="s">
        <v>42</v>
      </c>
      <c r="B56" s="102">
        <v>44193</v>
      </c>
      <c r="C56" s="25" t="s">
        <v>573</v>
      </c>
      <c r="D56" s="25" t="s">
        <v>1122</v>
      </c>
      <c r="E56" s="165"/>
      <c r="F56" s="134">
        <v>169.49</v>
      </c>
      <c r="G56" s="50">
        <f t="shared" si="4"/>
        <v>0</v>
      </c>
      <c r="H56" s="103"/>
      <c r="I56" s="141"/>
      <c r="J56" s="104"/>
      <c r="K56" s="103">
        <f t="shared" ref="K56:K65" si="5">+I56*J56</f>
        <v>0</v>
      </c>
      <c r="L56" s="103">
        <v>2</v>
      </c>
      <c r="M56" s="141">
        <f t="shared" si="0"/>
        <v>-2</v>
      </c>
      <c r="N56" s="103"/>
      <c r="O56" s="103" t="s">
        <v>946</v>
      </c>
      <c r="P56" s="137">
        <f t="shared" si="3"/>
        <v>-338.98</v>
      </c>
    </row>
    <row r="57" spans="1:16" s="8" customFormat="1" x14ac:dyDescent="0.25">
      <c r="A57" s="106" t="s">
        <v>109</v>
      </c>
      <c r="B57" s="102">
        <v>44193</v>
      </c>
      <c r="C57" s="25" t="s">
        <v>574</v>
      </c>
      <c r="D57" s="25" t="s">
        <v>1122</v>
      </c>
      <c r="E57" s="160"/>
      <c r="F57" s="134">
        <v>76.27</v>
      </c>
      <c r="G57" s="50">
        <f t="shared" si="4"/>
        <v>0</v>
      </c>
      <c r="H57" s="103"/>
      <c r="I57" s="141"/>
      <c r="J57" s="104"/>
      <c r="K57" s="103">
        <f t="shared" si="5"/>
        <v>0</v>
      </c>
      <c r="L57" s="159"/>
      <c r="M57" s="141">
        <f t="shared" si="0"/>
        <v>0</v>
      </c>
      <c r="N57" s="103"/>
      <c r="O57" s="103" t="s">
        <v>946</v>
      </c>
      <c r="P57" s="137">
        <f t="shared" si="3"/>
        <v>0</v>
      </c>
    </row>
    <row r="58" spans="1:16" s="8" customFormat="1" ht="15.75" x14ac:dyDescent="0.25">
      <c r="A58" s="106" t="s">
        <v>135</v>
      </c>
      <c r="B58" s="102">
        <v>44193</v>
      </c>
      <c r="C58" s="25" t="s">
        <v>575</v>
      </c>
      <c r="D58" s="25" t="s">
        <v>1122</v>
      </c>
      <c r="E58" s="160"/>
      <c r="F58" s="134">
        <v>93.22</v>
      </c>
      <c r="G58" s="50">
        <f t="shared" si="4"/>
        <v>0</v>
      </c>
      <c r="H58" s="103"/>
      <c r="I58" s="141"/>
      <c r="J58" s="104"/>
      <c r="K58" s="103">
        <f t="shared" si="5"/>
        <v>0</v>
      </c>
      <c r="L58" s="103"/>
      <c r="M58" s="141">
        <f t="shared" si="0"/>
        <v>0</v>
      </c>
      <c r="N58" s="103"/>
      <c r="O58" s="103" t="s">
        <v>946</v>
      </c>
      <c r="P58" s="137">
        <f t="shared" si="3"/>
        <v>0</v>
      </c>
    </row>
    <row r="59" spans="1:16" s="8" customFormat="1" ht="15.75" x14ac:dyDescent="0.25">
      <c r="A59" s="106" t="s">
        <v>43</v>
      </c>
      <c r="B59" s="129">
        <v>44851</v>
      </c>
      <c r="C59" s="25" t="s">
        <v>576</v>
      </c>
      <c r="D59" s="25" t="s">
        <v>1122</v>
      </c>
      <c r="E59" s="165"/>
      <c r="F59" s="134">
        <v>171.69</v>
      </c>
      <c r="G59" s="50">
        <f t="shared" si="4"/>
        <v>0</v>
      </c>
      <c r="H59" s="107">
        <v>44851</v>
      </c>
      <c r="I59" s="141">
        <v>30</v>
      </c>
      <c r="J59" s="104">
        <v>171.69</v>
      </c>
      <c r="K59" s="104">
        <f t="shared" si="5"/>
        <v>5150.7</v>
      </c>
      <c r="L59" s="103">
        <v>2</v>
      </c>
      <c r="M59" s="141">
        <f t="shared" si="0"/>
        <v>28</v>
      </c>
      <c r="N59" s="103"/>
      <c r="O59" s="103" t="s">
        <v>946</v>
      </c>
      <c r="P59" s="137">
        <f t="shared" si="3"/>
        <v>4807.32</v>
      </c>
    </row>
    <row r="60" spans="1:16" s="8" customFormat="1" ht="15.75" x14ac:dyDescent="0.25">
      <c r="A60" s="106" t="s">
        <v>45</v>
      </c>
      <c r="B60" s="102">
        <v>44453</v>
      </c>
      <c r="C60" s="9" t="s">
        <v>577</v>
      </c>
      <c r="D60" s="25" t="s">
        <v>1122</v>
      </c>
      <c r="E60" s="106">
        <v>0</v>
      </c>
      <c r="F60" s="134">
        <v>3000</v>
      </c>
      <c r="G60" s="50">
        <f t="shared" si="4"/>
        <v>0</v>
      </c>
      <c r="H60" s="103"/>
      <c r="I60" s="141"/>
      <c r="J60" s="104"/>
      <c r="K60" s="103">
        <f t="shared" si="5"/>
        <v>0</v>
      </c>
      <c r="L60" s="103"/>
      <c r="M60" s="141">
        <f t="shared" si="0"/>
        <v>0</v>
      </c>
      <c r="N60" s="103"/>
      <c r="O60" s="103" t="s">
        <v>946</v>
      </c>
      <c r="P60" s="137">
        <f t="shared" si="3"/>
        <v>0</v>
      </c>
    </row>
    <row r="61" spans="1:16" s="8" customFormat="1" ht="15.75" x14ac:dyDescent="0.25">
      <c r="A61" s="106" t="s">
        <v>46</v>
      </c>
      <c r="B61" s="102">
        <v>44193</v>
      </c>
      <c r="C61" s="25" t="s">
        <v>578</v>
      </c>
      <c r="D61" s="25" t="s">
        <v>1122</v>
      </c>
      <c r="E61" s="165">
        <v>0</v>
      </c>
      <c r="F61" s="134">
        <v>63.56</v>
      </c>
      <c r="G61" s="50">
        <f t="shared" si="4"/>
        <v>0</v>
      </c>
      <c r="H61" s="103"/>
      <c r="I61" s="141"/>
      <c r="J61" s="104"/>
      <c r="K61" s="103">
        <f t="shared" si="5"/>
        <v>0</v>
      </c>
      <c r="L61" s="103"/>
      <c r="M61" s="141">
        <f t="shared" si="0"/>
        <v>0</v>
      </c>
      <c r="N61" s="103"/>
      <c r="O61" s="103" t="s">
        <v>946</v>
      </c>
      <c r="P61" s="137">
        <f t="shared" si="3"/>
        <v>0</v>
      </c>
    </row>
    <row r="62" spans="1:16" s="8" customFormat="1" ht="15.75" x14ac:dyDescent="0.25">
      <c r="A62" s="106" t="s">
        <v>47</v>
      </c>
      <c r="B62" s="102">
        <v>44193</v>
      </c>
      <c r="C62" s="25" t="s">
        <v>819</v>
      </c>
      <c r="D62" s="25" t="s">
        <v>1122</v>
      </c>
      <c r="E62" s="165">
        <v>2</v>
      </c>
      <c r="F62" s="134"/>
      <c r="G62" s="50"/>
      <c r="H62" s="103"/>
      <c r="I62" s="141"/>
      <c r="J62" s="104"/>
      <c r="K62" s="103">
        <f t="shared" si="5"/>
        <v>0</v>
      </c>
      <c r="L62" s="103"/>
      <c r="M62" s="141">
        <f t="shared" si="0"/>
        <v>2</v>
      </c>
      <c r="N62" s="103"/>
      <c r="O62" s="103" t="s">
        <v>946</v>
      </c>
      <c r="P62" s="137">
        <f t="shared" si="3"/>
        <v>0</v>
      </c>
    </row>
    <row r="63" spans="1:16" s="8" customFormat="1" ht="15.75" x14ac:dyDescent="0.25">
      <c r="A63" s="106" t="s">
        <v>48</v>
      </c>
      <c r="B63" s="102">
        <v>44193</v>
      </c>
      <c r="C63" s="25" t="s">
        <v>817</v>
      </c>
      <c r="D63" s="25" t="s">
        <v>1122</v>
      </c>
      <c r="E63" s="165">
        <v>7</v>
      </c>
      <c r="F63" s="134"/>
      <c r="G63" s="50"/>
      <c r="H63" s="103"/>
      <c r="I63" s="141"/>
      <c r="J63" s="104"/>
      <c r="K63" s="103">
        <f t="shared" si="5"/>
        <v>0</v>
      </c>
      <c r="L63" s="103"/>
      <c r="M63" s="141">
        <f t="shared" si="0"/>
        <v>7</v>
      </c>
      <c r="N63" s="103"/>
      <c r="O63" s="103" t="s">
        <v>946</v>
      </c>
      <c r="P63" s="137">
        <f t="shared" si="3"/>
        <v>0</v>
      </c>
    </row>
    <row r="64" spans="1:16" s="8" customFormat="1" ht="15.75" x14ac:dyDescent="0.25">
      <c r="A64" s="106" t="s">
        <v>49</v>
      </c>
      <c r="B64" s="102">
        <v>44193</v>
      </c>
      <c r="C64" s="25" t="s">
        <v>818</v>
      </c>
      <c r="D64" s="25" t="s">
        <v>1122</v>
      </c>
      <c r="E64" s="165">
        <v>8</v>
      </c>
      <c r="F64" s="134"/>
      <c r="G64" s="50"/>
      <c r="H64" s="103"/>
      <c r="I64" s="141"/>
      <c r="J64" s="104"/>
      <c r="K64" s="103">
        <f t="shared" si="5"/>
        <v>0</v>
      </c>
      <c r="L64" s="103"/>
      <c r="M64" s="141">
        <f t="shared" si="0"/>
        <v>8</v>
      </c>
      <c r="N64" s="103"/>
      <c r="O64" s="103" t="s">
        <v>946</v>
      </c>
      <c r="P64" s="137">
        <f t="shared" si="3"/>
        <v>0</v>
      </c>
    </row>
    <row r="65" spans="1:16" s="8" customFormat="1" ht="15.75" x14ac:dyDescent="0.25">
      <c r="A65" s="106" t="s">
        <v>50</v>
      </c>
      <c r="B65" s="106" t="s">
        <v>116</v>
      </c>
      <c r="C65" s="25" t="s">
        <v>720</v>
      </c>
      <c r="D65" s="25" t="s">
        <v>1122</v>
      </c>
      <c r="E65" s="165">
        <v>1</v>
      </c>
      <c r="F65" s="171">
        <v>3000</v>
      </c>
      <c r="G65" s="50">
        <f>E65*F65</f>
        <v>3000</v>
      </c>
      <c r="H65" s="103"/>
      <c r="I65" s="141"/>
      <c r="J65" s="104"/>
      <c r="K65" s="103">
        <f t="shared" si="5"/>
        <v>0</v>
      </c>
      <c r="L65" s="103">
        <v>2</v>
      </c>
      <c r="M65" s="141">
        <f t="shared" si="0"/>
        <v>-1</v>
      </c>
      <c r="N65" s="103"/>
      <c r="O65" s="103" t="s">
        <v>947</v>
      </c>
      <c r="P65" s="137">
        <f t="shared" si="3"/>
        <v>-3000</v>
      </c>
    </row>
    <row r="66" spans="1:16" s="8" customFormat="1" ht="15.75" x14ac:dyDescent="0.25">
      <c r="A66" s="106" t="s">
        <v>51</v>
      </c>
      <c r="B66" s="102">
        <v>44193</v>
      </c>
      <c r="C66" s="25" t="s">
        <v>579</v>
      </c>
      <c r="D66" s="25" t="s">
        <v>1122</v>
      </c>
      <c r="E66" s="165">
        <v>0</v>
      </c>
      <c r="F66" s="134">
        <v>35</v>
      </c>
      <c r="G66" s="50">
        <f t="shared" ref="G66:G87" si="6">E66*F66</f>
        <v>0</v>
      </c>
      <c r="H66" s="103"/>
      <c r="I66" s="141"/>
      <c r="J66" s="104"/>
      <c r="K66" s="103"/>
      <c r="L66" s="103"/>
      <c r="M66" s="141">
        <f t="shared" si="0"/>
        <v>0</v>
      </c>
      <c r="N66" s="103"/>
      <c r="O66" s="103" t="s">
        <v>946</v>
      </c>
      <c r="P66" s="137">
        <f t="shared" si="3"/>
        <v>0</v>
      </c>
    </row>
    <row r="67" spans="1:16" s="8" customFormat="1" ht="15.75" x14ac:dyDescent="0.25">
      <c r="A67" s="106" t="s">
        <v>52</v>
      </c>
      <c r="B67" s="102">
        <v>44193</v>
      </c>
      <c r="C67" s="25" t="s">
        <v>794</v>
      </c>
      <c r="D67" s="25" t="s">
        <v>1122</v>
      </c>
      <c r="E67" s="162">
        <v>1</v>
      </c>
      <c r="F67" s="134">
        <v>97.96</v>
      </c>
      <c r="G67" s="50">
        <f t="shared" si="6"/>
        <v>97.96</v>
      </c>
      <c r="H67" s="103"/>
      <c r="I67" s="141"/>
      <c r="J67" s="104"/>
      <c r="K67" s="103"/>
      <c r="L67" s="103"/>
      <c r="M67" s="150">
        <f t="shared" si="0"/>
        <v>1</v>
      </c>
      <c r="N67" s="103"/>
      <c r="O67" s="103" t="s">
        <v>946</v>
      </c>
      <c r="P67" s="137">
        <f t="shared" si="3"/>
        <v>97.96</v>
      </c>
    </row>
    <row r="68" spans="1:16" s="8" customFormat="1" ht="15.75" x14ac:dyDescent="0.25">
      <c r="A68" s="106" t="s">
        <v>53</v>
      </c>
      <c r="B68" s="102">
        <v>44193</v>
      </c>
      <c r="C68" s="9" t="s">
        <v>580</v>
      </c>
      <c r="D68" s="25" t="s">
        <v>1122</v>
      </c>
      <c r="E68" s="166">
        <v>225</v>
      </c>
      <c r="F68" s="134">
        <v>18</v>
      </c>
      <c r="G68" s="50">
        <f t="shared" si="6"/>
        <v>4050</v>
      </c>
      <c r="H68" s="103"/>
      <c r="I68" s="141"/>
      <c r="J68" s="104"/>
      <c r="K68" s="103"/>
      <c r="L68" s="103"/>
      <c r="M68" s="141">
        <f t="shared" si="0"/>
        <v>225</v>
      </c>
      <c r="N68" s="103"/>
      <c r="O68" s="103" t="s">
        <v>947</v>
      </c>
      <c r="P68" s="137">
        <f t="shared" si="3"/>
        <v>4050</v>
      </c>
    </row>
    <row r="69" spans="1:16" s="8" customFormat="1" ht="15.75" x14ac:dyDescent="0.25">
      <c r="A69" s="106" t="s">
        <v>44</v>
      </c>
      <c r="B69" s="102">
        <v>44193</v>
      </c>
      <c r="C69" s="9" t="s">
        <v>581</v>
      </c>
      <c r="D69" s="25" t="s">
        <v>1122</v>
      </c>
      <c r="E69" s="106">
        <v>0</v>
      </c>
      <c r="F69" s="134">
        <v>114</v>
      </c>
      <c r="G69" s="50">
        <f t="shared" si="6"/>
        <v>0</v>
      </c>
      <c r="H69" s="103"/>
      <c r="I69" s="141"/>
      <c r="J69" s="104"/>
      <c r="K69" s="103"/>
      <c r="L69" s="103"/>
      <c r="M69" s="141">
        <f t="shared" si="0"/>
        <v>0</v>
      </c>
      <c r="N69" s="103"/>
      <c r="O69" s="103" t="s">
        <v>947</v>
      </c>
      <c r="P69" s="137">
        <f t="shared" si="3"/>
        <v>0</v>
      </c>
    </row>
    <row r="70" spans="1:16" s="8" customFormat="1" ht="15.75" x14ac:dyDescent="0.25">
      <c r="A70" s="106" t="s">
        <v>113</v>
      </c>
      <c r="B70" s="102">
        <v>44193</v>
      </c>
      <c r="C70" s="9" t="s">
        <v>582</v>
      </c>
      <c r="D70" s="25" t="s">
        <v>1122</v>
      </c>
      <c r="E70" s="106">
        <v>50</v>
      </c>
      <c r="F70" s="134">
        <v>150</v>
      </c>
      <c r="G70" s="50">
        <f t="shared" si="6"/>
        <v>7500</v>
      </c>
      <c r="H70" s="103"/>
      <c r="I70" s="141"/>
      <c r="J70" s="104"/>
      <c r="K70" s="103"/>
      <c r="L70" s="103"/>
      <c r="M70" s="141">
        <f t="shared" si="0"/>
        <v>50</v>
      </c>
      <c r="N70" s="103"/>
      <c r="O70" s="103" t="s">
        <v>947</v>
      </c>
      <c r="P70" s="137">
        <f t="shared" si="3"/>
        <v>7500</v>
      </c>
    </row>
    <row r="71" spans="1:16" s="8" customFormat="1" ht="15.75" x14ac:dyDescent="0.25">
      <c r="A71" s="106" t="s">
        <v>136</v>
      </c>
      <c r="B71" s="102">
        <v>44193</v>
      </c>
      <c r="C71" s="25" t="s">
        <v>583</v>
      </c>
      <c r="D71" s="25" t="s">
        <v>1122</v>
      </c>
      <c r="E71" s="160">
        <v>0</v>
      </c>
      <c r="F71" s="134">
        <v>105.93</v>
      </c>
      <c r="G71" s="50">
        <f t="shared" si="6"/>
        <v>0</v>
      </c>
      <c r="H71" s="103"/>
      <c r="I71" s="141"/>
      <c r="J71" s="104"/>
      <c r="K71" s="103"/>
      <c r="L71" s="103"/>
      <c r="M71" s="141">
        <f t="shared" si="0"/>
        <v>0</v>
      </c>
      <c r="N71" s="103"/>
      <c r="O71" s="103" t="s">
        <v>946</v>
      </c>
      <c r="P71" s="137">
        <f t="shared" si="3"/>
        <v>0</v>
      </c>
    </row>
    <row r="72" spans="1:16" s="8" customFormat="1" ht="15.75" x14ac:dyDescent="0.25">
      <c r="A72" s="106" t="s">
        <v>137</v>
      </c>
      <c r="B72" s="102">
        <v>44193</v>
      </c>
      <c r="C72" s="25" t="s">
        <v>584</v>
      </c>
      <c r="D72" s="25" t="s">
        <v>1122</v>
      </c>
      <c r="E72" s="160">
        <v>1</v>
      </c>
      <c r="F72" s="134">
        <v>762.71</v>
      </c>
      <c r="G72" s="50">
        <f t="shared" si="6"/>
        <v>762.71</v>
      </c>
      <c r="H72" s="103"/>
      <c r="I72" s="141"/>
      <c r="J72" s="104"/>
      <c r="K72" s="103"/>
      <c r="L72" s="103"/>
      <c r="M72" s="141">
        <f t="shared" si="0"/>
        <v>1</v>
      </c>
      <c r="N72" s="103"/>
      <c r="O72" s="103" t="s">
        <v>946</v>
      </c>
      <c r="P72" s="137">
        <f t="shared" si="3"/>
        <v>762.71</v>
      </c>
    </row>
    <row r="73" spans="1:16" s="8" customFormat="1" ht="15.75" x14ac:dyDescent="0.25">
      <c r="A73" s="106" t="s">
        <v>138</v>
      </c>
      <c r="B73" s="102">
        <v>44193</v>
      </c>
      <c r="C73" s="25" t="s">
        <v>585</v>
      </c>
      <c r="D73" s="25" t="s">
        <v>1122</v>
      </c>
      <c r="E73" s="160">
        <v>0</v>
      </c>
      <c r="F73" s="134">
        <v>338.98</v>
      </c>
      <c r="G73" s="50">
        <f t="shared" si="6"/>
        <v>0</v>
      </c>
      <c r="H73" s="103"/>
      <c r="I73" s="141"/>
      <c r="J73" s="104"/>
      <c r="K73" s="103"/>
      <c r="L73" s="103"/>
      <c r="M73" s="141">
        <f t="shared" ref="M73:M74" si="7">+E73+I73-L73</f>
        <v>0</v>
      </c>
      <c r="N73" s="103"/>
      <c r="O73" s="103" t="s">
        <v>946</v>
      </c>
      <c r="P73" s="137">
        <f t="shared" si="3"/>
        <v>0</v>
      </c>
    </row>
    <row r="74" spans="1:16" s="8" customFormat="1" ht="15.75" x14ac:dyDescent="0.25">
      <c r="A74" s="106" t="s">
        <v>54</v>
      </c>
      <c r="B74" s="102">
        <v>44193</v>
      </c>
      <c r="C74" s="9" t="s">
        <v>586</v>
      </c>
      <c r="D74" s="25" t="s">
        <v>1122</v>
      </c>
      <c r="E74" s="161">
        <v>8</v>
      </c>
      <c r="F74" s="134">
        <v>17.07</v>
      </c>
      <c r="G74" s="50">
        <f t="shared" si="6"/>
        <v>136.56</v>
      </c>
      <c r="H74" s="103"/>
      <c r="I74" s="141"/>
      <c r="J74" s="104"/>
      <c r="K74" s="103"/>
      <c r="L74" s="103"/>
      <c r="M74" s="141">
        <f t="shared" si="7"/>
        <v>8</v>
      </c>
      <c r="N74" s="103"/>
      <c r="O74" s="103" t="s">
        <v>947</v>
      </c>
      <c r="P74" s="137">
        <f t="shared" si="3"/>
        <v>136.56</v>
      </c>
    </row>
    <row r="75" spans="1:16" s="92" customFormat="1" x14ac:dyDescent="0.3">
      <c r="A75" s="106" t="s">
        <v>55</v>
      </c>
      <c r="B75" s="129">
        <v>45019</v>
      </c>
      <c r="C75" s="25" t="s">
        <v>587</v>
      </c>
      <c r="D75" s="25" t="s">
        <v>1122</v>
      </c>
      <c r="E75" s="161">
        <v>129</v>
      </c>
      <c r="F75" s="134">
        <v>172.08</v>
      </c>
      <c r="G75" s="50">
        <f t="shared" si="6"/>
        <v>22198.320000000003</v>
      </c>
      <c r="H75" s="107">
        <v>45019</v>
      </c>
      <c r="I75" s="141">
        <f>6*4</f>
        <v>24</v>
      </c>
      <c r="J75" s="104">
        <v>172.08</v>
      </c>
      <c r="K75" s="108">
        <f>+I75*J75</f>
        <v>4129.92</v>
      </c>
      <c r="L75" s="103">
        <v>130</v>
      </c>
      <c r="M75" s="151">
        <f>+E75+I75-L75</f>
        <v>23</v>
      </c>
      <c r="N75" s="103"/>
      <c r="O75" s="103" t="s">
        <v>945</v>
      </c>
      <c r="P75" s="137">
        <f t="shared" si="3"/>
        <v>3957.84</v>
      </c>
    </row>
    <row r="76" spans="1:16" s="92" customFormat="1" x14ac:dyDescent="0.3">
      <c r="A76" s="106" t="s">
        <v>56</v>
      </c>
      <c r="B76" s="106" t="s">
        <v>106</v>
      </c>
      <c r="C76" s="25" t="s">
        <v>774</v>
      </c>
      <c r="D76" s="25" t="s">
        <v>1122</v>
      </c>
      <c r="E76" s="161">
        <v>67</v>
      </c>
      <c r="F76" s="171">
        <v>50</v>
      </c>
      <c r="G76" s="50">
        <f t="shared" si="6"/>
        <v>3350</v>
      </c>
      <c r="H76" s="103"/>
      <c r="I76" s="141"/>
      <c r="J76" s="104"/>
      <c r="K76" s="103"/>
      <c r="L76" s="103">
        <f>2+4+1+2+1+2+1+1+1+2+1</f>
        <v>18</v>
      </c>
      <c r="M76" s="141">
        <f t="shared" ref="M76:M82" si="8">+E76+I76-L76</f>
        <v>49</v>
      </c>
      <c r="N76" s="103"/>
      <c r="O76" s="103" t="s">
        <v>945</v>
      </c>
      <c r="P76" s="137">
        <f t="shared" si="3"/>
        <v>2450</v>
      </c>
    </row>
    <row r="77" spans="1:16" s="92" customFormat="1" x14ac:dyDescent="0.3">
      <c r="A77" s="106" t="s">
        <v>100</v>
      </c>
      <c r="B77" s="102">
        <v>44488</v>
      </c>
      <c r="C77" s="25" t="s">
        <v>589</v>
      </c>
      <c r="D77" s="25" t="s">
        <v>1122</v>
      </c>
      <c r="E77" s="161">
        <v>3</v>
      </c>
      <c r="F77" s="134">
        <v>2200</v>
      </c>
      <c r="G77" s="50">
        <f t="shared" si="6"/>
        <v>6600</v>
      </c>
      <c r="H77" s="103"/>
      <c r="I77" s="141"/>
      <c r="J77" s="104"/>
      <c r="K77" s="103"/>
      <c r="L77" s="103"/>
      <c r="M77" s="141">
        <f t="shared" si="8"/>
        <v>3</v>
      </c>
      <c r="N77" s="103"/>
      <c r="O77" s="103" t="s">
        <v>945</v>
      </c>
      <c r="P77" s="137">
        <f t="shared" si="3"/>
        <v>6600</v>
      </c>
    </row>
    <row r="78" spans="1:16" s="8" customFormat="1" ht="15.75" x14ac:dyDescent="0.25">
      <c r="A78" s="106" t="s">
        <v>57</v>
      </c>
      <c r="B78" s="102">
        <v>44193</v>
      </c>
      <c r="C78" s="9" t="s">
        <v>590</v>
      </c>
      <c r="D78" s="25" t="s">
        <v>1122</v>
      </c>
      <c r="E78" s="161">
        <v>0</v>
      </c>
      <c r="F78" s="134">
        <v>402.54</v>
      </c>
      <c r="G78" s="50">
        <f t="shared" si="6"/>
        <v>0</v>
      </c>
      <c r="H78" s="103"/>
      <c r="I78" s="141"/>
      <c r="J78" s="104"/>
      <c r="K78" s="103"/>
      <c r="L78" s="103"/>
      <c r="M78" s="141">
        <f t="shared" si="8"/>
        <v>0</v>
      </c>
      <c r="N78" s="103"/>
      <c r="O78" s="103" t="s">
        <v>946</v>
      </c>
      <c r="P78" s="137">
        <f t="shared" si="3"/>
        <v>0</v>
      </c>
    </row>
    <row r="79" spans="1:16" s="8" customFormat="1" ht="15.75" x14ac:dyDescent="0.25">
      <c r="A79" s="106" t="s">
        <v>139</v>
      </c>
      <c r="B79" s="102">
        <v>44193</v>
      </c>
      <c r="C79" s="9" t="s">
        <v>591</v>
      </c>
      <c r="D79" s="25" t="s">
        <v>1122</v>
      </c>
      <c r="E79" s="161">
        <v>11</v>
      </c>
      <c r="F79" s="134">
        <v>37.74</v>
      </c>
      <c r="G79" s="50">
        <f t="shared" si="6"/>
        <v>415.14000000000004</v>
      </c>
      <c r="H79" s="103"/>
      <c r="I79" s="141"/>
      <c r="J79" s="104"/>
      <c r="K79" s="103"/>
      <c r="L79" s="103"/>
      <c r="M79" s="141">
        <f t="shared" si="8"/>
        <v>11</v>
      </c>
      <c r="N79" s="103"/>
      <c r="O79" s="103" t="s">
        <v>946</v>
      </c>
      <c r="P79" s="137">
        <f t="shared" si="3"/>
        <v>415.14000000000004</v>
      </c>
    </row>
    <row r="80" spans="1:16" s="105" customFormat="1" ht="15.75" x14ac:dyDescent="0.25">
      <c r="A80" s="106" t="s">
        <v>140</v>
      </c>
      <c r="B80" s="129">
        <v>45042</v>
      </c>
      <c r="C80" s="9" t="s">
        <v>592</v>
      </c>
      <c r="D80" s="25" t="s">
        <v>1122</v>
      </c>
      <c r="E80" s="161">
        <v>10</v>
      </c>
      <c r="F80" s="134">
        <v>68.06</v>
      </c>
      <c r="G80" s="50">
        <f t="shared" si="6"/>
        <v>680.6</v>
      </c>
      <c r="H80" s="107">
        <v>45042</v>
      </c>
      <c r="I80" s="141">
        <v>10</v>
      </c>
      <c r="J80" s="104">
        <v>68.06</v>
      </c>
      <c r="K80" s="103">
        <f>+J80*I80</f>
        <v>680.6</v>
      </c>
      <c r="L80" s="103">
        <v>7</v>
      </c>
      <c r="M80" s="151">
        <f t="shared" si="8"/>
        <v>13</v>
      </c>
      <c r="N80" s="103" t="s">
        <v>1037</v>
      </c>
      <c r="O80" s="103" t="s">
        <v>947</v>
      </c>
      <c r="P80" s="137">
        <f>+F80*M80</f>
        <v>884.78</v>
      </c>
    </row>
    <row r="81" spans="1:16" s="8" customFormat="1" ht="15.75" x14ac:dyDescent="0.25">
      <c r="A81" s="106" t="s">
        <v>141</v>
      </c>
      <c r="B81" s="102">
        <v>44193</v>
      </c>
      <c r="C81" s="9" t="s">
        <v>593</v>
      </c>
      <c r="D81" s="25" t="s">
        <v>1122</v>
      </c>
      <c r="E81" s="161">
        <v>6</v>
      </c>
      <c r="F81" s="134">
        <v>4740</v>
      </c>
      <c r="G81" s="50">
        <f t="shared" si="6"/>
        <v>28440</v>
      </c>
      <c r="H81" s="103"/>
      <c r="I81" s="141"/>
      <c r="J81" s="104"/>
      <c r="K81" s="103"/>
      <c r="L81" s="103"/>
      <c r="M81" s="141">
        <f t="shared" si="8"/>
        <v>6</v>
      </c>
      <c r="N81" s="103"/>
      <c r="O81" s="103" t="s">
        <v>947</v>
      </c>
      <c r="P81" s="137">
        <f t="shared" si="3"/>
        <v>28440</v>
      </c>
    </row>
    <row r="82" spans="1:16" s="8" customFormat="1" ht="15.75" x14ac:dyDescent="0.25">
      <c r="A82" s="106" t="s">
        <v>58</v>
      </c>
      <c r="B82" s="102">
        <v>44193</v>
      </c>
      <c r="C82" s="9" t="s">
        <v>594</v>
      </c>
      <c r="D82" s="25" t="s">
        <v>1122</v>
      </c>
      <c r="E82" s="161">
        <v>1</v>
      </c>
      <c r="F82" s="134">
        <v>2535</v>
      </c>
      <c r="G82" s="50">
        <f t="shared" si="6"/>
        <v>2535</v>
      </c>
      <c r="H82" s="103"/>
      <c r="I82" s="141"/>
      <c r="J82" s="104"/>
      <c r="K82" s="103"/>
      <c r="L82" s="103">
        <v>1</v>
      </c>
      <c r="M82" s="141">
        <f t="shared" si="8"/>
        <v>0</v>
      </c>
      <c r="N82" s="103"/>
      <c r="O82" s="103" t="s">
        <v>947</v>
      </c>
      <c r="P82" s="137">
        <f t="shared" si="3"/>
        <v>0</v>
      </c>
    </row>
    <row r="83" spans="1:16" s="8" customFormat="1" ht="15.75" x14ac:dyDescent="0.25">
      <c r="A83" s="106" t="s">
        <v>59</v>
      </c>
      <c r="B83" s="102">
        <v>44193</v>
      </c>
      <c r="C83" s="9" t="s">
        <v>595</v>
      </c>
      <c r="D83" s="25" t="s">
        <v>1122</v>
      </c>
      <c r="E83" s="161">
        <v>0</v>
      </c>
      <c r="F83" s="134">
        <v>211.86</v>
      </c>
      <c r="G83" s="50">
        <f t="shared" si="6"/>
        <v>0</v>
      </c>
      <c r="H83" s="103"/>
      <c r="I83" s="141"/>
      <c r="J83" s="104"/>
      <c r="K83" s="103"/>
      <c r="L83" s="103"/>
      <c r="M83" s="141">
        <f>+E83+I83-L83</f>
        <v>0</v>
      </c>
      <c r="N83" s="103"/>
      <c r="O83" s="103" t="s">
        <v>947</v>
      </c>
      <c r="P83" s="137">
        <f t="shared" si="3"/>
        <v>0</v>
      </c>
    </row>
    <row r="84" spans="1:16" s="8" customFormat="1" ht="15.75" x14ac:dyDescent="0.25">
      <c r="A84" s="106" t="s">
        <v>60</v>
      </c>
      <c r="B84" s="102">
        <v>44193</v>
      </c>
      <c r="C84" s="9" t="s">
        <v>596</v>
      </c>
      <c r="D84" s="25" t="s">
        <v>1122</v>
      </c>
      <c r="E84" s="161">
        <v>0</v>
      </c>
      <c r="F84" s="134">
        <v>70</v>
      </c>
      <c r="G84" s="50">
        <f t="shared" si="6"/>
        <v>0</v>
      </c>
      <c r="H84" s="103"/>
      <c r="I84" s="141"/>
      <c r="J84" s="104"/>
      <c r="K84" s="103"/>
      <c r="L84" s="103"/>
      <c r="M84" s="141">
        <f t="shared" ref="M84:M96" si="9">+E84+I84-L84</f>
        <v>0</v>
      </c>
      <c r="N84" s="103"/>
      <c r="O84" s="103" t="s">
        <v>947</v>
      </c>
      <c r="P84" s="137">
        <f t="shared" si="3"/>
        <v>0</v>
      </c>
    </row>
    <row r="85" spans="1:16" s="8" customFormat="1" ht="15.75" x14ac:dyDescent="0.25">
      <c r="A85" s="106" t="s">
        <v>61</v>
      </c>
      <c r="B85" s="102">
        <v>44193</v>
      </c>
      <c r="C85" s="25" t="s">
        <v>597</v>
      </c>
      <c r="D85" s="25" t="s">
        <v>1122</v>
      </c>
      <c r="E85" s="161">
        <v>2</v>
      </c>
      <c r="F85" s="134">
        <v>148.31</v>
      </c>
      <c r="G85" s="50">
        <f t="shared" si="6"/>
        <v>296.62</v>
      </c>
      <c r="H85" s="103"/>
      <c r="I85" s="141"/>
      <c r="J85" s="104"/>
      <c r="K85" s="103"/>
      <c r="L85" s="103"/>
      <c r="M85" s="141">
        <f t="shared" si="9"/>
        <v>2</v>
      </c>
      <c r="N85" s="103"/>
      <c r="O85" s="103" t="s">
        <v>947</v>
      </c>
      <c r="P85" s="137">
        <f t="shared" si="3"/>
        <v>296.62</v>
      </c>
    </row>
    <row r="86" spans="1:16" s="8" customFormat="1" ht="15.75" x14ac:dyDescent="0.25">
      <c r="A86" s="106" t="s">
        <v>62</v>
      </c>
      <c r="B86" s="102">
        <v>45042</v>
      </c>
      <c r="C86" s="9" t="s">
        <v>598</v>
      </c>
      <c r="D86" s="25" t="s">
        <v>1122</v>
      </c>
      <c r="E86" s="161">
        <v>24</v>
      </c>
      <c r="F86" s="134">
        <v>200</v>
      </c>
      <c r="G86" s="50">
        <f t="shared" si="6"/>
        <v>4800</v>
      </c>
      <c r="H86" s="103"/>
      <c r="I86" s="141">
        <v>5</v>
      </c>
      <c r="J86" s="108">
        <v>259.60000000000002</v>
      </c>
      <c r="K86" s="108">
        <f>+J86*I86</f>
        <v>1298</v>
      </c>
      <c r="L86" s="103">
        <v>25</v>
      </c>
      <c r="M86" s="151">
        <f t="shared" si="9"/>
        <v>4</v>
      </c>
      <c r="N86" s="103"/>
      <c r="O86" s="103" t="s">
        <v>947</v>
      </c>
      <c r="P86" s="137">
        <f t="shared" si="3"/>
        <v>800</v>
      </c>
    </row>
    <row r="87" spans="1:16" s="105" customFormat="1" ht="15.75" x14ac:dyDescent="0.25">
      <c r="A87" s="106" t="s">
        <v>63</v>
      </c>
      <c r="B87" s="129">
        <v>44852</v>
      </c>
      <c r="C87" s="9" t="s">
        <v>599</v>
      </c>
      <c r="D87" s="25" t="s">
        <v>1122</v>
      </c>
      <c r="E87" s="161">
        <v>0</v>
      </c>
      <c r="F87" s="134">
        <v>65</v>
      </c>
      <c r="G87" s="50">
        <f t="shared" si="6"/>
        <v>0</v>
      </c>
      <c r="H87" s="107">
        <v>44852</v>
      </c>
      <c r="I87" s="141">
        <v>10</v>
      </c>
      <c r="J87" s="104">
        <v>46</v>
      </c>
      <c r="K87" s="108">
        <f>+J87*I87</f>
        <v>460</v>
      </c>
      <c r="L87" s="103">
        <v>10</v>
      </c>
      <c r="M87" s="141">
        <f t="shared" si="9"/>
        <v>0</v>
      </c>
      <c r="N87" s="103" t="s">
        <v>1037</v>
      </c>
      <c r="O87" s="103" t="s">
        <v>947</v>
      </c>
      <c r="P87" s="137">
        <f t="shared" si="3"/>
        <v>0</v>
      </c>
    </row>
    <row r="88" spans="1:16" s="92" customFormat="1" x14ac:dyDescent="0.3">
      <c r="A88" s="106" t="s">
        <v>64</v>
      </c>
      <c r="B88" s="102">
        <v>44193</v>
      </c>
      <c r="C88" s="25" t="s">
        <v>850</v>
      </c>
      <c r="D88" s="25" t="s">
        <v>1122</v>
      </c>
      <c r="E88" s="162">
        <v>1</v>
      </c>
      <c r="F88" s="134"/>
      <c r="G88" s="50"/>
      <c r="H88" s="103"/>
      <c r="I88" s="141"/>
      <c r="J88" s="104"/>
      <c r="K88" s="103"/>
      <c r="L88" s="103"/>
      <c r="M88" s="141">
        <f t="shared" si="9"/>
        <v>1</v>
      </c>
      <c r="N88" s="103"/>
      <c r="O88" s="103" t="s">
        <v>506</v>
      </c>
      <c r="P88" s="137">
        <f t="shared" si="3"/>
        <v>0</v>
      </c>
    </row>
    <row r="89" spans="1:16" s="105" customFormat="1" ht="15.75" x14ac:dyDescent="0.25">
      <c r="A89" s="106" t="s">
        <v>65</v>
      </c>
      <c r="B89" s="129">
        <v>44852</v>
      </c>
      <c r="C89" s="9" t="s">
        <v>851</v>
      </c>
      <c r="D89" s="25" t="s">
        <v>1122</v>
      </c>
      <c r="E89" s="161">
        <v>6</v>
      </c>
      <c r="F89" s="134">
        <v>7.09</v>
      </c>
      <c r="G89" s="50">
        <f>E89*F89</f>
        <v>42.54</v>
      </c>
      <c r="H89" s="107">
        <v>44852</v>
      </c>
      <c r="I89" s="141">
        <f>10*12</f>
        <v>120</v>
      </c>
      <c r="J89" s="104">
        <v>7.09</v>
      </c>
      <c r="K89" s="103">
        <f>+J89*I89</f>
        <v>850.8</v>
      </c>
      <c r="L89" s="103"/>
      <c r="M89" s="141">
        <f t="shared" si="9"/>
        <v>126</v>
      </c>
      <c r="N89" s="103" t="s">
        <v>1037</v>
      </c>
      <c r="O89" s="108" t="s">
        <v>947</v>
      </c>
      <c r="P89" s="137">
        <f t="shared" ref="P89:P152" si="10">+F89*M89</f>
        <v>893.34</v>
      </c>
    </row>
    <row r="90" spans="1:16" s="8" customFormat="1" ht="15.75" x14ac:dyDescent="0.25">
      <c r="A90" s="106" t="s">
        <v>66</v>
      </c>
      <c r="B90" s="102">
        <v>44547</v>
      </c>
      <c r="C90" s="9" t="s">
        <v>775</v>
      </c>
      <c r="D90" s="25" t="s">
        <v>1122</v>
      </c>
      <c r="E90" s="161">
        <v>10</v>
      </c>
      <c r="F90" s="134">
        <v>155</v>
      </c>
      <c r="G90" s="50">
        <f>E90*F90</f>
        <v>1550</v>
      </c>
      <c r="H90" s="103"/>
      <c r="I90" s="141"/>
      <c r="J90" s="104"/>
      <c r="K90" s="103"/>
      <c r="L90" s="103">
        <v>1</v>
      </c>
      <c r="M90" s="141">
        <f t="shared" si="9"/>
        <v>9</v>
      </c>
      <c r="N90" s="103"/>
      <c r="O90" s="103" t="s">
        <v>947</v>
      </c>
      <c r="P90" s="137">
        <f t="shared" si="10"/>
        <v>1395</v>
      </c>
    </row>
    <row r="91" spans="1:16" s="92" customFormat="1" x14ac:dyDescent="0.3">
      <c r="A91" s="106" t="s">
        <v>68</v>
      </c>
      <c r="B91" s="102">
        <v>44453</v>
      </c>
      <c r="C91" s="25" t="s">
        <v>603</v>
      </c>
      <c r="D91" s="25" t="s">
        <v>1122</v>
      </c>
      <c r="E91" s="160">
        <v>4</v>
      </c>
      <c r="F91" s="134">
        <v>7500</v>
      </c>
      <c r="G91" s="50">
        <f>E91*F91</f>
        <v>30000</v>
      </c>
      <c r="H91" s="103"/>
      <c r="I91" s="141"/>
      <c r="J91" s="104"/>
      <c r="K91" s="103"/>
      <c r="L91" s="103"/>
      <c r="M91" s="141">
        <f t="shared" si="9"/>
        <v>4</v>
      </c>
      <c r="N91" s="103"/>
      <c r="O91" s="103" t="s">
        <v>945</v>
      </c>
      <c r="P91" s="137">
        <f t="shared" si="10"/>
        <v>30000</v>
      </c>
    </row>
    <row r="92" spans="1:16" s="92" customFormat="1" x14ac:dyDescent="0.3">
      <c r="A92" s="106" t="s">
        <v>67</v>
      </c>
      <c r="B92" s="102">
        <v>44659</v>
      </c>
      <c r="C92" s="25" t="s">
        <v>776</v>
      </c>
      <c r="D92" s="25" t="s">
        <v>1122</v>
      </c>
      <c r="E92" s="160">
        <v>108</v>
      </c>
      <c r="F92" s="134">
        <v>156.66667000000001</v>
      </c>
      <c r="G92" s="50">
        <f>E92*F92</f>
        <v>16920.000360000002</v>
      </c>
      <c r="H92" s="103"/>
      <c r="I92" s="141"/>
      <c r="J92" s="104"/>
      <c r="K92" s="103"/>
      <c r="L92" s="103">
        <f>44+14+19+1+1+1+1+1+2+3+2</f>
        <v>89</v>
      </c>
      <c r="M92" s="151">
        <f t="shared" si="9"/>
        <v>19</v>
      </c>
      <c r="N92" s="103"/>
      <c r="O92" s="103" t="s">
        <v>945</v>
      </c>
      <c r="P92" s="137">
        <f t="shared" si="10"/>
        <v>2976.6667300000004</v>
      </c>
    </row>
    <row r="93" spans="1:16" s="8" customFormat="1" ht="15.75" x14ac:dyDescent="0.25">
      <c r="A93" s="106" t="s">
        <v>69</v>
      </c>
      <c r="B93" s="102">
        <v>44193</v>
      </c>
      <c r="C93" s="25" t="s">
        <v>844</v>
      </c>
      <c r="D93" s="25" t="s">
        <v>1122</v>
      </c>
      <c r="E93" s="160">
        <v>20</v>
      </c>
      <c r="F93" s="134">
        <v>30.5</v>
      </c>
      <c r="G93" s="50">
        <f>E93*F93</f>
        <v>610</v>
      </c>
      <c r="H93" s="103"/>
      <c r="I93" s="141"/>
      <c r="J93" s="104"/>
      <c r="K93" s="103"/>
      <c r="L93" s="103"/>
      <c r="M93" s="141">
        <f t="shared" si="9"/>
        <v>20</v>
      </c>
      <c r="N93" s="103"/>
      <c r="O93" s="103" t="s">
        <v>946</v>
      </c>
      <c r="P93" s="137">
        <f t="shared" si="10"/>
        <v>610</v>
      </c>
    </row>
    <row r="94" spans="1:16" s="8" customFormat="1" ht="15.75" x14ac:dyDescent="0.25">
      <c r="A94" s="106" t="s">
        <v>103</v>
      </c>
      <c r="B94" s="102">
        <v>44193</v>
      </c>
      <c r="C94" s="25" t="s">
        <v>789</v>
      </c>
      <c r="D94" s="25" t="s">
        <v>1122</v>
      </c>
      <c r="E94" s="160">
        <f>21+8+14</f>
        <v>43</v>
      </c>
      <c r="F94" s="134">
        <v>11.24</v>
      </c>
      <c r="G94" s="50">
        <f t="shared" ref="G94:G132" si="11">E94*F94</f>
        <v>483.32</v>
      </c>
      <c r="H94" s="103"/>
      <c r="I94" s="141"/>
      <c r="J94" s="104"/>
      <c r="K94" s="103"/>
      <c r="L94" s="103">
        <v>3</v>
      </c>
      <c r="M94" s="141">
        <f t="shared" si="9"/>
        <v>40</v>
      </c>
      <c r="N94" s="103"/>
      <c r="O94" s="103" t="s">
        <v>946</v>
      </c>
      <c r="P94" s="137">
        <f t="shared" si="10"/>
        <v>449.6</v>
      </c>
    </row>
    <row r="95" spans="1:16" s="8" customFormat="1" ht="15.75" x14ac:dyDescent="0.25">
      <c r="A95" s="106" t="s">
        <v>104</v>
      </c>
      <c r="B95" s="102">
        <v>44193</v>
      </c>
      <c r="C95" s="25" t="s">
        <v>788</v>
      </c>
      <c r="D95" s="25" t="s">
        <v>1122</v>
      </c>
      <c r="E95" s="160">
        <f>16+6+7+2</f>
        <v>31</v>
      </c>
      <c r="F95" s="134">
        <v>11.24</v>
      </c>
      <c r="G95" s="50">
        <f t="shared" si="11"/>
        <v>348.44</v>
      </c>
      <c r="H95" s="103"/>
      <c r="I95" s="141"/>
      <c r="J95" s="104"/>
      <c r="K95" s="103"/>
      <c r="L95" s="103"/>
      <c r="M95" s="141">
        <f t="shared" si="9"/>
        <v>31</v>
      </c>
      <c r="N95" s="103"/>
      <c r="O95" s="103" t="s">
        <v>946</v>
      </c>
      <c r="P95" s="137">
        <f t="shared" si="10"/>
        <v>348.44</v>
      </c>
    </row>
    <row r="96" spans="1:16" s="8" customFormat="1" ht="15.75" x14ac:dyDescent="0.25">
      <c r="A96" s="106" t="s">
        <v>142</v>
      </c>
      <c r="B96" s="102">
        <v>44193</v>
      </c>
      <c r="C96" s="25" t="s">
        <v>604</v>
      </c>
      <c r="D96" s="25" t="s">
        <v>1122</v>
      </c>
      <c r="E96" s="160">
        <v>28</v>
      </c>
      <c r="F96" s="134">
        <v>45</v>
      </c>
      <c r="G96" s="50">
        <f t="shared" si="11"/>
        <v>1260</v>
      </c>
      <c r="H96" s="103"/>
      <c r="I96" s="141"/>
      <c r="J96" s="104"/>
      <c r="K96" s="103"/>
      <c r="L96" s="103"/>
      <c r="M96" s="141">
        <f t="shared" si="9"/>
        <v>28</v>
      </c>
      <c r="N96" s="103"/>
      <c r="O96" s="103" t="s">
        <v>946</v>
      </c>
      <c r="P96" s="137">
        <f t="shared" si="10"/>
        <v>1260</v>
      </c>
    </row>
    <row r="97" spans="1:16" s="8" customFormat="1" ht="15.75" x14ac:dyDescent="0.25">
      <c r="A97" s="106" t="s">
        <v>70</v>
      </c>
      <c r="B97" s="102">
        <v>44193</v>
      </c>
      <c r="C97" s="25" t="s">
        <v>605</v>
      </c>
      <c r="D97" s="25" t="s">
        <v>1122</v>
      </c>
      <c r="E97" s="160">
        <v>4</v>
      </c>
      <c r="F97" s="134">
        <v>40</v>
      </c>
      <c r="G97" s="50">
        <f t="shared" si="11"/>
        <v>160</v>
      </c>
      <c r="H97" s="103"/>
      <c r="I97" s="141"/>
      <c r="J97" s="104"/>
      <c r="K97" s="103"/>
      <c r="L97" s="103"/>
      <c r="M97" s="141">
        <f>+E97+I97-L97</f>
        <v>4</v>
      </c>
      <c r="N97" s="103"/>
      <c r="O97" s="103" t="s">
        <v>946</v>
      </c>
      <c r="P97" s="137">
        <f t="shared" si="10"/>
        <v>160</v>
      </c>
    </row>
    <row r="98" spans="1:16" s="8" customFormat="1" ht="15.75" x14ac:dyDescent="0.25">
      <c r="A98" s="106" t="s">
        <v>71</v>
      </c>
      <c r="B98" s="102">
        <v>44193</v>
      </c>
      <c r="C98" s="25" t="s">
        <v>606</v>
      </c>
      <c r="D98" s="25" t="s">
        <v>1122</v>
      </c>
      <c r="E98" s="160">
        <v>39</v>
      </c>
      <c r="F98" s="134">
        <v>45</v>
      </c>
      <c r="G98" s="50">
        <f t="shared" si="11"/>
        <v>1755</v>
      </c>
      <c r="H98" s="103"/>
      <c r="I98" s="141"/>
      <c r="J98" s="104"/>
      <c r="K98" s="103"/>
      <c r="L98" s="103"/>
      <c r="M98" s="141">
        <f t="shared" ref="M98:M109" si="12">+E98+I98-L98</f>
        <v>39</v>
      </c>
      <c r="N98" s="103"/>
      <c r="O98" s="103" t="s">
        <v>946</v>
      </c>
      <c r="P98" s="137">
        <f t="shared" si="10"/>
        <v>1755</v>
      </c>
    </row>
    <row r="99" spans="1:16" s="8" customFormat="1" ht="15.75" x14ac:dyDescent="0.25">
      <c r="A99" s="106" t="s">
        <v>72</v>
      </c>
      <c r="B99" s="102">
        <v>44193</v>
      </c>
      <c r="C99" s="25" t="s">
        <v>846</v>
      </c>
      <c r="D99" s="25" t="s">
        <v>1122</v>
      </c>
      <c r="E99" s="160">
        <v>1</v>
      </c>
      <c r="F99" s="134">
        <v>47</v>
      </c>
      <c r="G99" s="50">
        <f t="shared" si="11"/>
        <v>47</v>
      </c>
      <c r="H99" s="103"/>
      <c r="I99" s="141"/>
      <c r="J99" s="104"/>
      <c r="K99" s="103"/>
      <c r="L99" s="103"/>
      <c r="M99" s="141">
        <f t="shared" si="12"/>
        <v>1</v>
      </c>
      <c r="N99" s="103"/>
      <c r="O99" s="103" t="s">
        <v>946</v>
      </c>
      <c r="P99" s="137">
        <f t="shared" si="10"/>
        <v>47</v>
      </c>
    </row>
    <row r="100" spans="1:16" s="8" customFormat="1" ht="15.75" x14ac:dyDescent="0.25">
      <c r="A100" s="106" t="s">
        <v>73</v>
      </c>
      <c r="B100" s="102">
        <v>44193</v>
      </c>
      <c r="C100" s="25" t="s">
        <v>607</v>
      </c>
      <c r="D100" s="25" t="s">
        <v>1122</v>
      </c>
      <c r="E100" s="160">
        <v>1</v>
      </c>
      <c r="F100" s="134">
        <v>40</v>
      </c>
      <c r="G100" s="50">
        <f t="shared" si="11"/>
        <v>40</v>
      </c>
      <c r="H100" s="103"/>
      <c r="I100" s="141"/>
      <c r="J100" s="104"/>
      <c r="K100" s="103"/>
      <c r="L100" s="103"/>
      <c r="M100" s="141">
        <f t="shared" si="12"/>
        <v>1</v>
      </c>
      <c r="N100" s="103"/>
      <c r="O100" s="103" t="s">
        <v>946</v>
      </c>
      <c r="P100" s="137">
        <f t="shared" si="10"/>
        <v>40</v>
      </c>
    </row>
    <row r="101" spans="1:16" s="8" customFormat="1" ht="15.75" x14ac:dyDescent="0.25">
      <c r="A101" s="106" t="s">
        <v>74</v>
      </c>
      <c r="B101" s="102">
        <v>44193</v>
      </c>
      <c r="C101" s="25" t="s">
        <v>608</v>
      </c>
      <c r="D101" s="25" t="s">
        <v>1122</v>
      </c>
      <c r="E101" s="165">
        <v>2</v>
      </c>
      <c r="F101" s="134">
        <v>12.21</v>
      </c>
      <c r="G101" s="50">
        <f t="shared" si="11"/>
        <v>24.42</v>
      </c>
      <c r="H101" s="103"/>
      <c r="I101" s="141"/>
      <c r="J101" s="104"/>
      <c r="K101" s="103"/>
      <c r="L101" s="103"/>
      <c r="M101" s="141">
        <f t="shared" si="12"/>
        <v>2</v>
      </c>
      <c r="N101" s="103"/>
      <c r="O101" s="103" t="s">
        <v>946</v>
      </c>
      <c r="P101" s="137">
        <f t="shared" si="10"/>
        <v>24.42</v>
      </c>
    </row>
    <row r="102" spans="1:16" s="8" customFormat="1" ht="15.75" x14ac:dyDescent="0.25">
      <c r="A102" s="106" t="s">
        <v>101</v>
      </c>
      <c r="B102" s="102">
        <v>44193</v>
      </c>
      <c r="C102" s="25" t="s">
        <v>609</v>
      </c>
      <c r="D102" s="25" t="s">
        <v>1122</v>
      </c>
      <c r="E102" s="165">
        <v>0</v>
      </c>
      <c r="F102" s="134">
        <v>4</v>
      </c>
      <c r="G102" s="50">
        <f t="shared" si="11"/>
        <v>0</v>
      </c>
      <c r="H102" s="103"/>
      <c r="I102" s="141"/>
      <c r="J102" s="104"/>
      <c r="K102" s="103"/>
      <c r="L102" s="103"/>
      <c r="M102" s="141">
        <f t="shared" si="12"/>
        <v>0</v>
      </c>
      <c r="N102" s="103"/>
      <c r="O102" s="103" t="s">
        <v>946</v>
      </c>
      <c r="P102" s="137">
        <f t="shared" si="10"/>
        <v>0</v>
      </c>
    </row>
    <row r="103" spans="1:16" s="8" customFormat="1" ht="15.75" x14ac:dyDescent="0.25">
      <c r="A103" s="106" t="s">
        <v>75</v>
      </c>
      <c r="B103" s="102">
        <v>44193</v>
      </c>
      <c r="C103" s="25" t="s">
        <v>610</v>
      </c>
      <c r="D103" s="25" t="s">
        <v>1122</v>
      </c>
      <c r="E103" s="165">
        <f>13+7+29</f>
        <v>49</v>
      </c>
      <c r="F103" s="134">
        <v>5.05</v>
      </c>
      <c r="G103" s="50">
        <f t="shared" si="11"/>
        <v>247.45</v>
      </c>
      <c r="H103" s="103"/>
      <c r="I103" s="141"/>
      <c r="J103" s="104"/>
      <c r="K103" s="103"/>
      <c r="L103" s="103"/>
      <c r="M103" s="141">
        <f t="shared" si="12"/>
        <v>49</v>
      </c>
      <c r="N103" s="103"/>
      <c r="O103" s="103" t="s">
        <v>946</v>
      </c>
      <c r="P103" s="137">
        <f t="shared" si="10"/>
        <v>247.45</v>
      </c>
    </row>
    <row r="104" spans="1:16" s="8" customFormat="1" ht="15.75" x14ac:dyDescent="0.25">
      <c r="A104" s="106" t="s">
        <v>102</v>
      </c>
      <c r="B104" s="102">
        <v>44193</v>
      </c>
      <c r="C104" s="25" t="s">
        <v>611</v>
      </c>
      <c r="D104" s="25" t="s">
        <v>1122</v>
      </c>
      <c r="E104" s="165">
        <v>0</v>
      </c>
      <c r="F104" s="134">
        <v>42.95</v>
      </c>
      <c r="G104" s="50">
        <f t="shared" si="11"/>
        <v>0</v>
      </c>
      <c r="H104" s="103"/>
      <c r="I104" s="141"/>
      <c r="J104" s="104"/>
      <c r="K104" s="103"/>
      <c r="L104" s="103"/>
      <c r="M104" s="141">
        <f t="shared" si="12"/>
        <v>0</v>
      </c>
      <c r="N104" s="103"/>
      <c r="O104" s="103" t="s">
        <v>946</v>
      </c>
      <c r="P104" s="137">
        <f t="shared" si="10"/>
        <v>0</v>
      </c>
    </row>
    <row r="105" spans="1:16" s="8" customFormat="1" ht="15.75" x14ac:dyDescent="0.25">
      <c r="A105" s="106" t="s">
        <v>143</v>
      </c>
      <c r="B105" s="102">
        <v>44193</v>
      </c>
      <c r="C105" s="25" t="s">
        <v>612</v>
      </c>
      <c r="D105" s="25" t="s">
        <v>1122</v>
      </c>
      <c r="E105" s="161">
        <v>11</v>
      </c>
      <c r="F105" s="134">
        <v>19.95</v>
      </c>
      <c r="G105" s="50">
        <f t="shared" si="11"/>
        <v>219.45</v>
      </c>
      <c r="H105" s="103"/>
      <c r="I105" s="141"/>
      <c r="J105" s="104"/>
      <c r="K105" s="103"/>
      <c r="L105" s="103"/>
      <c r="M105" s="141">
        <f t="shared" si="12"/>
        <v>11</v>
      </c>
      <c r="N105" s="103"/>
      <c r="O105" s="103" t="s">
        <v>946</v>
      </c>
      <c r="P105" s="137">
        <f t="shared" si="10"/>
        <v>219.45</v>
      </c>
    </row>
    <row r="106" spans="1:16" s="8" customFormat="1" ht="15.75" x14ac:dyDescent="0.25">
      <c r="A106" s="106" t="s">
        <v>334</v>
      </c>
      <c r="B106" s="102">
        <v>44193</v>
      </c>
      <c r="C106" s="25" t="s">
        <v>613</v>
      </c>
      <c r="D106" s="25" t="s">
        <v>1122</v>
      </c>
      <c r="E106" s="161">
        <f>6+7</f>
        <v>13</v>
      </c>
      <c r="F106" s="134">
        <v>5.78</v>
      </c>
      <c r="G106" s="50">
        <f t="shared" si="11"/>
        <v>75.14</v>
      </c>
      <c r="H106" s="103"/>
      <c r="I106" s="141"/>
      <c r="J106" s="104"/>
      <c r="K106" s="103"/>
      <c r="L106" s="103"/>
      <c r="M106" s="141">
        <f t="shared" si="12"/>
        <v>13</v>
      </c>
      <c r="N106" s="103"/>
      <c r="O106" s="103" t="s">
        <v>946</v>
      </c>
      <c r="P106" s="137">
        <f t="shared" si="10"/>
        <v>75.14</v>
      </c>
    </row>
    <row r="107" spans="1:16" s="8" customFormat="1" ht="15.75" x14ac:dyDescent="0.25">
      <c r="A107" s="106" t="s">
        <v>335</v>
      </c>
      <c r="B107" s="102">
        <v>44193</v>
      </c>
      <c r="C107" s="25" t="s">
        <v>849</v>
      </c>
      <c r="D107" s="25" t="s">
        <v>1122</v>
      </c>
      <c r="E107" s="161">
        <v>1</v>
      </c>
      <c r="F107" s="134"/>
      <c r="G107" s="50">
        <f t="shared" si="11"/>
        <v>0</v>
      </c>
      <c r="H107" s="103"/>
      <c r="I107" s="141"/>
      <c r="J107" s="104"/>
      <c r="K107" s="103"/>
      <c r="L107" s="103"/>
      <c r="M107" s="141">
        <f t="shared" si="12"/>
        <v>1</v>
      </c>
      <c r="N107" s="103"/>
      <c r="O107" s="103" t="s">
        <v>946</v>
      </c>
      <c r="P107" s="137">
        <f t="shared" si="10"/>
        <v>0</v>
      </c>
    </row>
    <row r="108" spans="1:16" s="8" customFormat="1" ht="15.75" x14ac:dyDescent="0.25">
      <c r="A108" s="106" t="s">
        <v>336</v>
      </c>
      <c r="B108" s="102">
        <v>44193</v>
      </c>
      <c r="C108" s="25" t="s">
        <v>821</v>
      </c>
      <c r="D108" s="25" t="s">
        <v>1122</v>
      </c>
      <c r="E108" s="161">
        <v>9</v>
      </c>
      <c r="F108" s="134">
        <v>77.540000000000006</v>
      </c>
      <c r="G108" s="50">
        <f t="shared" si="11"/>
        <v>697.86</v>
      </c>
      <c r="H108" s="103"/>
      <c r="I108" s="141"/>
      <c r="J108" s="104"/>
      <c r="K108" s="103"/>
      <c r="L108" s="103"/>
      <c r="M108" s="141">
        <f t="shared" si="12"/>
        <v>9</v>
      </c>
      <c r="N108" s="103"/>
      <c r="O108" s="103" t="s">
        <v>946</v>
      </c>
      <c r="P108" s="137">
        <f t="shared" si="10"/>
        <v>697.86</v>
      </c>
    </row>
    <row r="109" spans="1:16" s="8" customFormat="1" ht="15.75" x14ac:dyDescent="0.25">
      <c r="A109" s="106" t="s">
        <v>337</v>
      </c>
      <c r="B109" s="102">
        <v>44193</v>
      </c>
      <c r="C109" s="25" t="s">
        <v>820</v>
      </c>
      <c r="D109" s="25" t="s">
        <v>1122</v>
      </c>
      <c r="E109" s="161">
        <v>21</v>
      </c>
      <c r="F109" s="134">
        <v>719.2</v>
      </c>
      <c r="G109" s="50">
        <f t="shared" si="11"/>
        <v>15103.2</v>
      </c>
      <c r="H109" s="103"/>
      <c r="I109" s="141"/>
      <c r="J109" s="104"/>
      <c r="K109" s="103"/>
      <c r="L109" s="103"/>
      <c r="M109" s="141">
        <f t="shared" si="12"/>
        <v>21</v>
      </c>
      <c r="N109" s="103"/>
      <c r="O109" s="103" t="s">
        <v>946</v>
      </c>
      <c r="P109" s="137">
        <f t="shared" si="10"/>
        <v>15103.2</v>
      </c>
    </row>
    <row r="110" spans="1:16" s="8" customFormat="1" ht="15.75" x14ac:dyDescent="0.25">
      <c r="A110" s="106" t="s">
        <v>338</v>
      </c>
      <c r="B110" s="102">
        <v>44193</v>
      </c>
      <c r="C110" s="25" t="s">
        <v>823</v>
      </c>
      <c r="D110" s="25" t="s">
        <v>1122</v>
      </c>
      <c r="E110" s="161">
        <v>3</v>
      </c>
      <c r="F110" s="134">
        <v>51</v>
      </c>
      <c r="G110" s="50">
        <f t="shared" si="11"/>
        <v>153</v>
      </c>
      <c r="H110" s="103"/>
      <c r="I110" s="141"/>
      <c r="J110" s="104"/>
      <c r="K110" s="103"/>
      <c r="L110" s="103"/>
      <c r="M110" s="141">
        <f>+E110+I110-L110</f>
        <v>3</v>
      </c>
      <c r="N110" s="103"/>
      <c r="O110" s="103" t="s">
        <v>946</v>
      </c>
      <c r="P110" s="137">
        <f t="shared" si="10"/>
        <v>153</v>
      </c>
    </row>
    <row r="111" spans="1:16" s="8" customFormat="1" ht="15.75" x14ac:dyDescent="0.25">
      <c r="A111" s="106" t="s">
        <v>339</v>
      </c>
      <c r="B111" s="102">
        <v>44193</v>
      </c>
      <c r="C111" s="25" t="s">
        <v>822</v>
      </c>
      <c r="D111" s="25" t="s">
        <v>1122</v>
      </c>
      <c r="E111" s="161">
        <v>12</v>
      </c>
      <c r="F111" s="134">
        <v>66.11</v>
      </c>
      <c r="G111" s="50">
        <f t="shared" si="11"/>
        <v>793.31999999999994</v>
      </c>
      <c r="H111" s="103"/>
      <c r="I111" s="141"/>
      <c r="J111" s="104"/>
      <c r="K111" s="103"/>
      <c r="L111" s="103"/>
      <c r="M111" s="141">
        <f t="shared" ref="M111:M175" si="13">+E111+I111-L111</f>
        <v>12</v>
      </c>
      <c r="N111" s="103"/>
      <c r="O111" s="103" t="s">
        <v>946</v>
      </c>
      <c r="P111" s="137">
        <f t="shared" si="10"/>
        <v>793.31999999999994</v>
      </c>
    </row>
    <row r="112" spans="1:16" s="8" customFormat="1" ht="15.75" x14ac:dyDescent="0.25">
      <c r="A112" s="106" t="s">
        <v>340</v>
      </c>
      <c r="B112" s="102">
        <v>44193</v>
      </c>
      <c r="C112" s="25" t="s">
        <v>802</v>
      </c>
      <c r="D112" s="25" t="s">
        <v>1122</v>
      </c>
      <c r="E112" s="161">
        <v>2</v>
      </c>
      <c r="F112" s="134">
        <v>70</v>
      </c>
      <c r="G112" s="50">
        <f t="shared" si="11"/>
        <v>140</v>
      </c>
      <c r="H112" s="103"/>
      <c r="I112" s="141"/>
      <c r="J112" s="104"/>
      <c r="K112" s="103"/>
      <c r="L112" s="103"/>
      <c r="M112" s="141">
        <f t="shared" si="13"/>
        <v>2</v>
      </c>
      <c r="N112" s="103"/>
      <c r="O112" s="103" t="s">
        <v>946</v>
      </c>
      <c r="P112" s="137">
        <f t="shared" si="10"/>
        <v>140</v>
      </c>
    </row>
    <row r="113" spans="1:16" s="8" customFormat="1" ht="15.75" x14ac:dyDescent="0.25">
      <c r="A113" s="106" t="s">
        <v>341</v>
      </c>
      <c r="B113" s="102">
        <v>44193</v>
      </c>
      <c r="C113" s="25" t="s">
        <v>804</v>
      </c>
      <c r="D113" s="25" t="s">
        <v>1122</v>
      </c>
      <c r="E113" s="161">
        <v>6</v>
      </c>
      <c r="F113" s="134">
        <v>450</v>
      </c>
      <c r="G113" s="50">
        <f t="shared" si="11"/>
        <v>2700</v>
      </c>
      <c r="H113" s="103"/>
      <c r="I113" s="141"/>
      <c r="J113" s="104"/>
      <c r="K113" s="103"/>
      <c r="L113" s="103">
        <v>1</v>
      </c>
      <c r="M113" s="141">
        <f t="shared" si="13"/>
        <v>5</v>
      </c>
      <c r="N113" s="103"/>
      <c r="O113" s="103" t="s">
        <v>946</v>
      </c>
      <c r="P113" s="137">
        <f t="shared" si="10"/>
        <v>2250</v>
      </c>
    </row>
    <row r="114" spans="1:16" s="8" customFormat="1" ht="15.75" x14ac:dyDescent="0.25">
      <c r="A114" s="106" t="s">
        <v>342</v>
      </c>
      <c r="B114" s="102">
        <v>44193</v>
      </c>
      <c r="C114" s="25" t="s">
        <v>801</v>
      </c>
      <c r="D114" s="25" t="s">
        <v>1122</v>
      </c>
      <c r="E114" s="161">
        <v>2</v>
      </c>
      <c r="F114" s="134">
        <v>719.2</v>
      </c>
      <c r="G114" s="50">
        <f t="shared" si="11"/>
        <v>1438.4</v>
      </c>
      <c r="H114" s="103"/>
      <c r="I114" s="141"/>
      <c r="J114" s="104"/>
      <c r="K114" s="103"/>
      <c r="L114" s="103">
        <v>2</v>
      </c>
      <c r="M114" s="141">
        <f t="shared" si="13"/>
        <v>0</v>
      </c>
      <c r="N114" s="103"/>
      <c r="O114" s="103" t="s">
        <v>946</v>
      </c>
      <c r="P114" s="137">
        <f t="shared" si="10"/>
        <v>0</v>
      </c>
    </row>
    <row r="115" spans="1:16" s="8" customFormat="1" ht="15.75" x14ac:dyDescent="0.25">
      <c r="A115" s="106" t="s">
        <v>343</v>
      </c>
      <c r="B115" s="102">
        <v>44193</v>
      </c>
      <c r="C115" s="25" t="s">
        <v>616</v>
      </c>
      <c r="D115" s="25" t="s">
        <v>1122</v>
      </c>
      <c r="E115" s="165">
        <v>0</v>
      </c>
      <c r="F115" s="134">
        <v>2950</v>
      </c>
      <c r="G115" s="50">
        <f t="shared" si="11"/>
        <v>0</v>
      </c>
      <c r="H115" s="103"/>
      <c r="I115" s="141"/>
      <c r="J115" s="104"/>
      <c r="K115" s="103"/>
      <c r="L115" s="103"/>
      <c r="M115" s="141">
        <f t="shared" si="13"/>
        <v>0</v>
      </c>
      <c r="N115" s="103"/>
      <c r="O115" s="103" t="s">
        <v>946</v>
      </c>
      <c r="P115" s="137">
        <f t="shared" si="10"/>
        <v>0</v>
      </c>
    </row>
    <row r="116" spans="1:16" s="8" customFormat="1" ht="15.75" x14ac:dyDescent="0.25">
      <c r="A116" s="106" t="s">
        <v>344</v>
      </c>
      <c r="B116" s="102">
        <v>44193</v>
      </c>
      <c r="C116" s="25" t="s">
        <v>617</v>
      </c>
      <c r="D116" s="25" t="s">
        <v>1122</v>
      </c>
      <c r="E116" s="165">
        <v>5</v>
      </c>
      <c r="F116" s="134">
        <v>29</v>
      </c>
      <c r="G116" s="50">
        <f t="shared" si="11"/>
        <v>145</v>
      </c>
      <c r="H116" s="103"/>
      <c r="I116" s="141"/>
      <c r="J116" s="104"/>
      <c r="K116" s="103"/>
      <c r="L116" s="103">
        <v>4</v>
      </c>
      <c r="M116" s="141">
        <f t="shared" si="13"/>
        <v>1</v>
      </c>
      <c r="N116" s="103"/>
      <c r="O116" s="103" t="s">
        <v>946</v>
      </c>
      <c r="P116" s="137">
        <f t="shared" si="10"/>
        <v>29</v>
      </c>
    </row>
    <row r="117" spans="1:16" s="8" customFormat="1" ht="15.75" x14ac:dyDescent="0.25">
      <c r="A117" s="106" t="s">
        <v>345</v>
      </c>
      <c r="B117" s="102">
        <v>45042</v>
      </c>
      <c r="C117" s="9" t="s">
        <v>1283</v>
      </c>
      <c r="D117" s="25" t="s">
        <v>1122</v>
      </c>
      <c r="E117" s="161">
        <f>12*4</f>
        <v>48</v>
      </c>
      <c r="F117" s="171">
        <v>22</v>
      </c>
      <c r="G117" s="50">
        <f t="shared" si="11"/>
        <v>1056</v>
      </c>
      <c r="H117" s="103"/>
      <c r="I117" s="141"/>
      <c r="J117" s="104"/>
      <c r="K117" s="103"/>
      <c r="L117" s="103">
        <f>1+4</f>
        <v>5</v>
      </c>
      <c r="M117" s="151">
        <f t="shared" si="13"/>
        <v>43</v>
      </c>
      <c r="N117" s="103"/>
      <c r="O117" s="103" t="s">
        <v>947</v>
      </c>
      <c r="P117" s="137">
        <f t="shared" si="10"/>
        <v>946</v>
      </c>
    </row>
    <row r="118" spans="1:16" s="92" customFormat="1" x14ac:dyDescent="0.3">
      <c r="A118" s="106" t="s">
        <v>346</v>
      </c>
      <c r="B118" s="102">
        <v>44193</v>
      </c>
      <c r="C118" s="25" t="s">
        <v>619</v>
      </c>
      <c r="D118" s="25" t="s">
        <v>1122</v>
      </c>
      <c r="E118" s="165">
        <v>12</v>
      </c>
      <c r="F118" s="134">
        <v>155</v>
      </c>
      <c r="G118" s="50">
        <f t="shared" si="11"/>
        <v>1860</v>
      </c>
      <c r="H118" s="103"/>
      <c r="I118" s="141"/>
      <c r="J118" s="104"/>
      <c r="K118" s="103"/>
      <c r="L118" s="103">
        <f>2+1+1+1+1+1+1+1+3</f>
        <v>12</v>
      </c>
      <c r="M118" s="141">
        <f t="shared" si="13"/>
        <v>0</v>
      </c>
      <c r="N118" s="103"/>
      <c r="O118" s="103" t="s">
        <v>945</v>
      </c>
      <c r="P118" s="137">
        <f t="shared" si="10"/>
        <v>0</v>
      </c>
    </row>
    <row r="119" spans="1:16" s="92" customFormat="1" x14ac:dyDescent="0.3">
      <c r="A119" s="106" t="s">
        <v>347</v>
      </c>
      <c r="B119" s="102">
        <v>44777</v>
      </c>
      <c r="C119" s="25" t="s">
        <v>620</v>
      </c>
      <c r="D119" s="25" t="s">
        <v>1122</v>
      </c>
      <c r="E119" s="165">
        <v>90</v>
      </c>
      <c r="F119" s="134">
        <v>71.95</v>
      </c>
      <c r="G119" s="50">
        <f t="shared" si="11"/>
        <v>6475.5</v>
      </c>
      <c r="H119" s="103"/>
      <c r="I119" s="141"/>
      <c r="J119" s="104"/>
      <c r="K119" s="103"/>
      <c r="L119" s="103">
        <v>90</v>
      </c>
      <c r="M119" s="141">
        <f t="shared" si="13"/>
        <v>0</v>
      </c>
      <c r="N119" s="103"/>
      <c r="O119" s="103" t="s">
        <v>945</v>
      </c>
      <c r="P119" s="137">
        <f t="shared" si="10"/>
        <v>0</v>
      </c>
    </row>
    <row r="120" spans="1:16" s="8" customFormat="1" ht="15.75" x14ac:dyDescent="0.25">
      <c r="A120" s="106" t="s">
        <v>348</v>
      </c>
      <c r="B120" s="102">
        <v>44193</v>
      </c>
      <c r="C120" s="25" t="s">
        <v>626</v>
      </c>
      <c r="D120" s="25" t="s">
        <v>1122</v>
      </c>
      <c r="E120" s="165">
        <v>0</v>
      </c>
      <c r="F120" s="134">
        <v>190.68</v>
      </c>
      <c r="G120" s="50">
        <f t="shared" si="11"/>
        <v>0</v>
      </c>
      <c r="H120" s="103"/>
      <c r="I120" s="141"/>
      <c r="J120" s="104"/>
      <c r="K120" s="103"/>
      <c r="L120" s="103"/>
      <c r="M120" s="141">
        <f t="shared" si="13"/>
        <v>0</v>
      </c>
      <c r="N120" s="103"/>
      <c r="O120" s="103" t="s">
        <v>946</v>
      </c>
      <c r="P120" s="137">
        <f t="shared" si="10"/>
        <v>0</v>
      </c>
    </row>
    <row r="121" spans="1:16" s="92" customFormat="1" x14ac:dyDescent="0.3">
      <c r="A121" s="106" t="s">
        <v>349</v>
      </c>
      <c r="B121" s="167">
        <v>44851</v>
      </c>
      <c r="C121" s="25" t="s">
        <v>621</v>
      </c>
      <c r="D121" s="25" t="s">
        <v>1122</v>
      </c>
      <c r="E121" s="165">
        <v>1</v>
      </c>
      <c r="F121" s="134">
        <v>1187.08</v>
      </c>
      <c r="G121" s="50">
        <f t="shared" si="11"/>
        <v>1187.08</v>
      </c>
      <c r="H121" s="124">
        <v>44851</v>
      </c>
      <c r="I121" s="141">
        <v>20</v>
      </c>
      <c r="J121" s="126">
        <v>1187.08</v>
      </c>
      <c r="K121" s="127">
        <f>+I121*J121</f>
        <v>23741.599999999999</v>
      </c>
      <c r="L121" s="103">
        <v>12</v>
      </c>
      <c r="M121" s="151">
        <f t="shared" si="13"/>
        <v>9</v>
      </c>
      <c r="N121" s="103"/>
      <c r="O121" s="103" t="s">
        <v>945</v>
      </c>
      <c r="P121" s="137">
        <f t="shared" si="10"/>
        <v>10683.72</v>
      </c>
    </row>
    <row r="122" spans="1:16" s="92" customFormat="1" x14ac:dyDescent="0.3">
      <c r="A122" s="106" t="s">
        <v>350</v>
      </c>
      <c r="B122" s="102">
        <v>44193</v>
      </c>
      <c r="C122" s="25" t="s">
        <v>622</v>
      </c>
      <c r="D122" s="25" t="s">
        <v>1122</v>
      </c>
      <c r="E122" s="165">
        <v>0</v>
      </c>
      <c r="F122" s="134">
        <v>1400</v>
      </c>
      <c r="G122" s="50">
        <f t="shared" si="11"/>
        <v>0</v>
      </c>
      <c r="H122" s="103"/>
      <c r="I122" s="141"/>
      <c r="J122" s="104"/>
      <c r="K122" s="103"/>
      <c r="L122" s="103"/>
      <c r="M122" s="141">
        <f t="shared" si="13"/>
        <v>0</v>
      </c>
      <c r="N122" s="103"/>
      <c r="O122" s="103" t="s">
        <v>945</v>
      </c>
      <c r="P122" s="137">
        <f t="shared" si="10"/>
        <v>0</v>
      </c>
    </row>
    <row r="123" spans="1:16" s="92" customFormat="1" x14ac:dyDescent="0.3">
      <c r="A123" s="106" t="s">
        <v>351</v>
      </c>
      <c r="B123" s="102">
        <v>44456</v>
      </c>
      <c r="C123" s="25" t="s">
        <v>623</v>
      </c>
      <c r="D123" s="25" t="s">
        <v>1122</v>
      </c>
      <c r="E123" s="165">
        <v>13</v>
      </c>
      <c r="F123" s="134">
        <v>1099</v>
      </c>
      <c r="G123" s="50">
        <f t="shared" si="11"/>
        <v>14287</v>
      </c>
      <c r="H123" s="103"/>
      <c r="I123" s="141"/>
      <c r="J123" s="104"/>
      <c r="K123" s="103"/>
      <c r="L123" s="103">
        <v>7</v>
      </c>
      <c r="M123" s="151">
        <f t="shared" si="13"/>
        <v>6</v>
      </c>
      <c r="N123" s="103"/>
      <c r="O123" s="103" t="s">
        <v>945</v>
      </c>
      <c r="P123" s="137">
        <f t="shared" si="10"/>
        <v>6594</v>
      </c>
    </row>
    <row r="124" spans="1:16" s="92" customFormat="1" x14ac:dyDescent="0.3">
      <c r="A124" s="106" t="s">
        <v>352</v>
      </c>
      <c r="B124" s="102">
        <v>44456</v>
      </c>
      <c r="C124" s="25" t="s">
        <v>767</v>
      </c>
      <c r="D124" s="25" t="s">
        <v>1122</v>
      </c>
      <c r="E124" s="165">
        <v>18</v>
      </c>
      <c r="F124" s="134">
        <v>4000</v>
      </c>
      <c r="G124" s="50">
        <f t="shared" si="11"/>
        <v>72000</v>
      </c>
      <c r="H124" s="103"/>
      <c r="I124" s="141"/>
      <c r="J124" s="104"/>
      <c r="K124" s="103"/>
      <c r="L124" s="103">
        <f>4+4+3</f>
        <v>11</v>
      </c>
      <c r="M124" s="141">
        <f t="shared" si="13"/>
        <v>7</v>
      </c>
      <c r="N124" s="103"/>
      <c r="O124" s="103" t="s">
        <v>945</v>
      </c>
      <c r="P124" s="137">
        <f t="shared" si="10"/>
        <v>28000</v>
      </c>
    </row>
    <row r="125" spans="1:16" s="92" customFormat="1" x14ac:dyDescent="0.3">
      <c r="A125" s="106" t="s">
        <v>353</v>
      </c>
      <c r="B125" s="102">
        <v>44193</v>
      </c>
      <c r="C125" s="25" t="s">
        <v>625</v>
      </c>
      <c r="D125" s="25" t="s">
        <v>1122</v>
      </c>
      <c r="E125" s="165">
        <v>5</v>
      </c>
      <c r="F125" s="134">
        <v>1400</v>
      </c>
      <c r="G125" s="50">
        <f t="shared" si="11"/>
        <v>7000</v>
      </c>
      <c r="H125" s="103"/>
      <c r="I125" s="141"/>
      <c r="J125" s="104"/>
      <c r="K125" s="103"/>
      <c r="L125" s="103"/>
      <c r="M125" s="141">
        <f t="shared" si="13"/>
        <v>5</v>
      </c>
      <c r="N125" s="103"/>
      <c r="O125" s="103" t="s">
        <v>945</v>
      </c>
      <c r="P125" s="137">
        <f t="shared" si="10"/>
        <v>7000</v>
      </c>
    </row>
    <row r="126" spans="1:16" s="8" customFormat="1" ht="15.75" x14ac:dyDescent="0.25">
      <c r="A126" s="106" t="s">
        <v>354</v>
      </c>
      <c r="B126" s="106" t="s">
        <v>106</v>
      </c>
      <c r="C126" s="28" t="s">
        <v>627</v>
      </c>
      <c r="D126" s="25" t="s">
        <v>1122</v>
      </c>
      <c r="E126" s="168">
        <v>100</v>
      </c>
      <c r="F126" s="172">
        <v>28</v>
      </c>
      <c r="G126" s="50">
        <f t="shared" si="11"/>
        <v>2800</v>
      </c>
      <c r="H126" s="103"/>
      <c r="I126" s="141"/>
      <c r="J126" s="104"/>
      <c r="K126" s="103"/>
      <c r="L126" s="103"/>
      <c r="M126" s="141">
        <f t="shared" si="13"/>
        <v>100</v>
      </c>
      <c r="N126" s="103"/>
      <c r="O126" s="103" t="s">
        <v>947</v>
      </c>
      <c r="P126" s="137">
        <f t="shared" si="10"/>
        <v>2800</v>
      </c>
    </row>
    <row r="127" spans="1:16" s="8" customFormat="1" ht="15.75" x14ac:dyDescent="0.25">
      <c r="A127" s="106" t="s">
        <v>355</v>
      </c>
      <c r="B127" s="106" t="s">
        <v>114</v>
      </c>
      <c r="C127" s="25" t="s">
        <v>80</v>
      </c>
      <c r="D127" s="25" t="s">
        <v>1122</v>
      </c>
      <c r="E127" s="165">
        <v>0</v>
      </c>
      <c r="F127" s="171">
        <v>85</v>
      </c>
      <c r="G127" s="50">
        <f t="shared" si="11"/>
        <v>0</v>
      </c>
      <c r="H127" s="103"/>
      <c r="I127" s="141"/>
      <c r="J127" s="104"/>
      <c r="K127" s="103"/>
      <c r="L127" s="103"/>
      <c r="M127" s="141">
        <f t="shared" si="13"/>
        <v>0</v>
      </c>
      <c r="N127" s="103"/>
      <c r="O127" s="103" t="s">
        <v>946</v>
      </c>
      <c r="P127" s="137">
        <f t="shared" si="10"/>
        <v>0</v>
      </c>
    </row>
    <row r="128" spans="1:16" s="8" customFormat="1" ht="15.75" x14ac:dyDescent="0.25">
      <c r="A128" s="106" t="s">
        <v>356</v>
      </c>
      <c r="B128" s="102">
        <v>44193</v>
      </c>
      <c r="C128" s="9" t="s">
        <v>628</v>
      </c>
      <c r="D128" s="25" t="s">
        <v>1122</v>
      </c>
      <c r="E128" s="166">
        <v>1</v>
      </c>
      <c r="F128" s="134">
        <v>550</v>
      </c>
      <c r="G128" s="50">
        <f t="shared" si="11"/>
        <v>550</v>
      </c>
      <c r="H128" s="103"/>
      <c r="I128" s="141"/>
      <c r="J128" s="104"/>
      <c r="K128" s="103"/>
      <c r="L128" s="103"/>
      <c r="M128" s="141">
        <f t="shared" si="13"/>
        <v>1</v>
      </c>
      <c r="N128" s="103"/>
      <c r="O128" s="103" t="s">
        <v>946</v>
      </c>
      <c r="P128" s="137">
        <f t="shared" si="10"/>
        <v>550</v>
      </c>
    </row>
    <row r="129" spans="1:16" s="92" customFormat="1" x14ac:dyDescent="0.3">
      <c r="A129" s="106" t="s">
        <v>357</v>
      </c>
      <c r="B129" s="102">
        <v>44193</v>
      </c>
      <c r="C129" s="9" t="s">
        <v>629</v>
      </c>
      <c r="D129" s="25" t="s">
        <v>1122</v>
      </c>
      <c r="E129" s="106">
        <v>0</v>
      </c>
      <c r="F129" s="134">
        <v>60</v>
      </c>
      <c r="G129" s="50">
        <f t="shared" si="11"/>
        <v>0</v>
      </c>
      <c r="H129" s="103"/>
      <c r="I129" s="141"/>
      <c r="J129" s="104"/>
      <c r="K129" s="103"/>
      <c r="L129" s="103"/>
      <c r="M129" s="141">
        <f t="shared" si="13"/>
        <v>0</v>
      </c>
      <c r="N129" s="103"/>
      <c r="O129" s="103" t="s">
        <v>945</v>
      </c>
      <c r="P129" s="137">
        <f t="shared" si="10"/>
        <v>0</v>
      </c>
    </row>
    <row r="130" spans="1:16" s="92" customFormat="1" x14ac:dyDescent="0.3">
      <c r="A130" s="106" t="s">
        <v>358</v>
      </c>
      <c r="B130" s="102">
        <v>45019</v>
      </c>
      <c r="C130" s="25" t="s">
        <v>631</v>
      </c>
      <c r="D130" s="25" t="s">
        <v>1122</v>
      </c>
      <c r="E130" s="165">
        <f>7*12</f>
        <v>84</v>
      </c>
      <c r="F130" s="134">
        <v>115.53</v>
      </c>
      <c r="G130" s="50">
        <f t="shared" si="11"/>
        <v>9704.52</v>
      </c>
      <c r="H130" s="103"/>
      <c r="I130" s="141"/>
      <c r="J130" s="104"/>
      <c r="K130" s="103"/>
      <c r="L130" s="103">
        <f>2+1+2+1+1+1+1+1+1</f>
        <v>11</v>
      </c>
      <c r="M130" s="151">
        <f>+E130+I130-L130</f>
        <v>73</v>
      </c>
      <c r="N130" s="103"/>
      <c r="O130" s="103" t="s">
        <v>945</v>
      </c>
      <c r="P130" s="137">
        <f t="shared" si="10"/>
        <v>8433.69</v>
      </c>
    </row>
    <row r="131" spans="1:16" s="92" customFormat="1" x14ac:dyDescent="0.3">
      <c r="A131" s="106" t="s">
        <v>359</v>
      </c>
      <c r="B131" s="102">
        <v>44656</v>
      </c>
      <c r="C131" s="25" t="s">
        <v>632</v>
      </c>
      <c r="D131" s="25" t="s">
        <v>1122</v>
      </c>
      <c r="E131" s="165">
        <v>12</v>
      </c>
      <c r="F131" s="134">
        <v>128.62</v>
      </c>
      <c r="G131" s="50">
        <f t="shared" si="11"/>
        <v>1543.44</v>
      </c>
      <c r="H131" s="103"/>
      <c r="I131" s="141"/>
      <c r="J131" s="104"/>
      <c r="K131" s="103"/>
      <c r="L131" s="103">
        <v>12</v>
      </c>
      <c r="M131" s="141">
        <f t="shared" si="13"/>
        <v>0</v>
      </c>
      <c r="N131" s="103"/>
      <c r="O131" s="103" t="s">
        <v>945</v>
      </c>
      <c r="P131" s="137">
        <f t="shared" si="10"/>
        <v>0</v>
      </c>
    </row>
    <row r="132" spans="1:16" s="92" customFormat="1" x14ac:dyDescent="0.3">
      <c r="A132" s="106" t="s">
        <v>360</v>
      </c>
      <c r="B132" s="102">
        <v>44659</v>
      </c>
      <c r="C132" s="25" t="s">
        <v>633</v>
      </c>
      <c r="D132" s="25" t="s">
        <v>1122</v>
      </c>
      <c r="E132" s="160">
        <v>41</v>
      </c>
      <c r="F132" s="134">
        <v>325</v>
      </c>
      <c r="G132" s="50">
        <f t="shared" si="11"/>
        <v>13325</v>
      </c>
      <c r="H132" s="103"/>
      <c r="I132" s="141"/>
      <c r="J132" s="104"/>
      <c r="K132" s="103"/>
      <c r="L132" s="103"/>
      <c r="M132" s="141">
        <f t="shared" si="13"/>
        <v>41</v>
      </c>
      <c r="N132" s="103"/>
      <c r="O132" s="103" t="s">
        <v>945</v>
      </c>
      <c r="P132" s="137">
        <f t="shared" si="10"/>
        <v>13325</v>
      </c>
    </row>
    <row r="133" spans="1:16" s="8" customFormat="1" ht="15.75" x14ac:dyDescent="0.25">
      <c r="A133" s="106" t="s">
        <v>361</v>
      </c>
      <c r="B133" s="102"/>
      <c r="C133" s="25" t="s">
        <v>861</v>
      </c>
      <c r="D133" s="25" t="s">
        <v>1122</v>
      </c>
      <c r="E133" s="162">
        <f>8+48</f>
        <v>56</v>
      </c>
      <c r="F133" s="134"/>
      <c r="G133" s="50">
        <f t="shared" ref="G133:G138" si="14">+E133*F133</f>
        <v>0</v>
      </c>
      <c r="H133" s="103"/>
      <c r="I133" s="141"/>
      <c r="J133" s="104"/>
      <c r="K133" s="103"/>
      <c r="L133" s="103"/>
      <c r="M133" s="141">
        <f t="shared" si="13"/>
        <v>56</v>
      </c>
      <c r="N133" s="103"/>
      <c r="O133" s="103" t="s">
        <v>947</v>
      </c>
      <c r="P133" s="137">
        <f t="shared" si="10"/>
        <v>0</v>
      </c>
    </row>
    <row r="134" spans="1:16" s="8" customFormat="1" ht="15.75" x14ac:dyDescent="0.25">
      <c r="A134" s="106" t="s">
        <v>362</v>
      </c>
      <c r="B134" s="102"/>
      <c r="C134" s="25" t="s">
        <v>862</v>
      </c>
      <c r="D134" s="25" t="s">
        <v>1122</v>
      </c>
      <c r="E134" s="162">
        <v>74</v>
      </c>
      <c r="F134" s="134"/>
      <c r="G134" s="50">
        <f t="shared" si="14"/>
        <v>0</v>
      </c>
      <c r="H134" s="103"/>
      <c r="I134" s="141"/>
      <c r="J134" s="104"/>
      <c r="K134" s="103"/>
      <c r="L134" s="103"/>
      <c r="M134" s="141">
        <f t="shared" si="13"/>
        <v>74</v>
      </c>
      <c r="N134" s="103"/>
      <c r="O134" s="103" t="s">
        <v>947</v>
      </c>
      <c r="P134" s="137">
        <f t="shared" si="10"/>
        <v>0</v>
      </c>
    </row>
    <row r="135" spans="1:16" s="8" customFormat="1" ht="15.75" x14ac:dyDescent="0.25">
      <c r="A135" s="106" t="s">
        <v>363</v>
      </c>
      <c r="B135" s="102"/>
      <c r="C135" s="25" t="s">
        <v>863</v>
      </c>
      <c r="D135" s="25" t="s">
        <v>1122</v>
      </c>
      <c r="E135" s="162">
        <f>79+33+106</f>
        <v>218</v>
      </c>
      <c r="F135" s="134"/>
      <c r="G135" s="50">
        <f t="shared" si="14"/>
        <v>0</v>
      </c>
      <c r="H135" s="103"/>
      <c r="I135" s="141"/>
      <c r="J135" s="104"/>
      <c r="K135" s="103"/>
      <c r="L135" s="103"/>
      <c r="M135" s="141">
        <f t="shared" si="13"/>
        <v>218</v>
      </c>
      <c r="N135" s="103"/>
      <c r="O135" s="103" t="s">
        <v>947</v>
      </c>
      <c r="P135" s="137">
        <f t="shared" si="10"/>
        <v>0</v>
      </c>
    </row>
    <row r="136" spans="1:16" s="8" customFormat="1" ht="15.75" x14ac:dyDescent="0.25">
      <c r="A136" s="106" t="s">
        <v>364</v>
      </c>
      <c r="B136" s="102"/>
      <c r="C136" s="25" t="s">
        <v>864</v>
      </c>
      <c r="D136" s="25" t="s">
        <v>1122</v>
      </c>
      <c r="E136" s="162">
        <v>46</v>
      </c>
      <c r="F136" s="134"/>
      <c r="G136" s="50">
        <f t="shared" si="14"/>
        <v>0</v>
      </c>
      <c r="H136" s="103"/>
      <c r="I136" s="141"/>
      <c r="J136" s="104"/>
      <c r="K136" s="103"/>
      <c r="L136" s="103"/>
      <c r="M136" s="141">
        <f t="shared" si="13"/>
        <v>46</v>
      </c>
      <c r="N136" s="103"/>
      <c r="O136" s="103" t="s">
        <v>947</v>
      </c>
      <c r="P136" s="137">
        <f t="shared" si="10"/>
        <v>0</v>
      </c>
    </row>
    <row r="137" spans="1:16" s="8" customFormat="1" ht="15.75" x14ac:dyDescent="0.25">
      <c r="A137" s="106" t="s">
        <v>365</v>
      </c>
      <c r="B137" s="102"/>
      <c r="C137" s="25" t="s">
        <v>865</v>
      </c>
      <c r="D137" s="25" t="s">
        <v>1122</v>
      </c>
      <c r="E137" s="162">
        <v>41</v>
      </c>
      <c r="F137" s="134"/>
      <c r="G137" s="50">
        <f t="shared" si="14"/>
        <v>0</v>
      </c>
      <c r="H137" s="103"/>
      <c r="I137" s="141"/>
      <c r="J137" s="104"/>
      <c r="K137" s="103"/>
      <c r="L137" s="103"/>
      <c r="M137" s="141">
        <f t="shared" si="13"/>
        <v>41</v>
      </c>
      <c r="N137" s="103"/>
      <c r="O137" s="103" t="s">
        <v>947</v>
      </c>
      <c r="P137" s="137">
        <f t="shared" si="10"/>
        <v>0</v>
      </c>
    </row>
    <row r="138" spans="1:16" s="8" customFormat="1" ht="15.75" x14ac:dyDescent="0.25">
      <c r="A138" s="106" t="s">
        <v>366</v>
      </c>
      <c r="B138" s="102"/>
      <c r="C138" s="25" t="s">
        <v>866</v>
      </c>
      <c r="D138" s="25" t="s">
        <v>1122</v>
      </c>
      <c r="E138" s="162">
        <f>34+1</f>
        <v>35</v>
      </c>
      <c r="F138" s="134"/>
      <c r="G138" s="50">
        <f t="shared" si="14"/>
        <v>0</v>
      </c>
      <c r="H138" s="103"/>
      <c r="I138" s="141"/>
      <c r="J138" s="104"/>
      <c r="K138" s="103"/>
      <c r="L138" s="103"/>
      <c r="M138" s="141">
        <f t="shared" si="13"/>
        <v>35</v>
      </c>
      <c r="N138" s="103"/>
      <c r="O138" s="103" t="s">
        <v>947</v>
      </c>
      <c r="P138" s="137">
        <f t="shared" si="10"/>
        <v>0</v>
      </c>
    </row>
    <row r="139" spans="1:16" s="92" customFormat="1" x14ac:dyDescent="0.3">
      <c r="A139" s="106" t="s">
        <v>367</v>
      </c>
      <c r="B139" s="129">
        <v>44748</v>
      </c>
      <c r="C139" s="25" t="s">
        <v>719</v>
      </c>
      <c r="D139" s="25" t="s">
        <v>1122</v>
      </c>
      <c r="E139" s="165"/>
      <c r="F139" s="171">
        <v>161.66999999999999</v>
      </c>
      <c r="G139" s="50">
        <f>E139*F139</f>
        <v>0</v>
      </c>
      <c r="H139" s="107">
        <v>44748</v>
      </c>
      <c r="I139" s="137">
        <f>3*6</f>
        <v>18</v>
      </c>
      <c r="J139" s="104">
        <v>161.66666666666666</v>
      </c>
      <c r="K139" s="108">
        <f>+I139*J139</f>
        <v>2910</v>
      </c>
      <c r="L139" s="103">
        <v>18</v>
      </c>
      <c r="M139" s="141">
        <f t="shared" si="13"/>
        <v>0</v>
      </c>
      <c r="N139" s="103"/>
      <c r="O139" s="103" t="s">
        <v>945</v>
      </c>
      <c r="P139" s="137">
        <f t="shared" si="10"/>
        <v>0</v>
      </c>
    </row>
    <row r="140" spans="1:16" s="8" customFormat="1" ht="15.75" x14ac:dyDescent="0.25">
      <c r="A140" s="106" t="s">
        <v>368</v>
      </c>
      <c r="B140" s="102">
        <v>44193</v>
      </c>
      <c r="C140" s="25" t="s">
        <v>813</v>
      </c>
      <c r="D140" s="25" t="s">
        <v>1122</v>
      </c>
      <c r="E140" s="165">
        <v>8</v>
      </c>
      <c r="F140" s="134">
        <v>1375</v>
      </c>
      <c r="G140" s="50">
        <f>E140*F140</f>
        <v>11000</v>
      </c>
      <c r="H140" s="103"/>
      <c r="I140" s="141"/>
      <c r="J140" s="104"/>
      <c r="K140" s="103"/>
      <c r="L140" s="103"/>
      <c r="M140" s="141">
        <f t="shared" si="13"/>
        <v>8</v>
      </c>
      <c r="N140" s="103"/>
      <c r="O140" s="103" t="s">
        <v>946</v>
      </c>
      <c r="P140" s="137">
        <f t="shared" si="10"/>
        <v>11000</v>
      </c>
    </row>
    <row r="141" spans="1:16" s="8" customFormat="1" ht="15.75" x14ac:dyDescent="0.25">
      <c r="A141" s="106" t="s">
        <v>369</v>
      </c>
      <c r="B141" s="106" t="s">
        <v>114</v>
      </c>
      <c r="C141" s="25" t="s">
        <v>642</v>
      </c>
      <c r="D141" s="25" t="s">
        <v>1122</v>
      </c>
      <c r="E141" s="165">
        <v>8</v>
      </c>
      <c r="F141" s="134">
        <v>1375</v>
      </c>
      <c r="G141" s="50">
        <f>E141*F141</f>
        <v>11000</v>
      </c>
      <c r="H141" s="103"/>
      <c r="I141" s="141"/>
      <c r="J141" s="104"/>
      <c r="K141" s="103"/>
      <c r="L141" s="103">
        <v>1</v>
      </c>
      <c r="M141" s="141">
        <f t="shared" si="13"/>
        <v>7</v>
      </c>
      <c r="N141" s="103"/>
      <c r="O141" s="103" t="s">
        <v>946</v>
      </c>
      <c r="P141" s="137">
        <f t="shared" si="10"/>
        <v>9625</v>
      </c>
    </row>
    <row r="142" spans="1:16" s="8" customFormat="1" ht="15.75" x14ac:dyDescent="0.25">
      <c r="A142" s="106" t="s">
        <v>370</v>
      </c>
      <c r="B142" s="102"/>
      <c r="C142" s="25" t="s">
        <v>833</v>
      </c>
      <c r="D142" s="25" t="s">
        <v>1122</v>
      </c>
      <c r="E142" s="165">
        <v>7</v>
      </c>
      <c r="F142" s="134"/>
      <c r="G142" s="50"/>
      <c r="H142" s="103"/>
      <c r="I142" s="141"/>
      <c r="J142" s="104"/>
      <c r="K142" s="103"/>
      <c r="L142" s="103"/>
      <c r="M142" s="141">
        <f t="shared" si="13"/>
        <v>7</v>
      </c>
      <c r="N142" s="103"/>
      <c r="O142" s="103" t="s">
        <v>946</v>
      </c>
      <c r="P142" s="137">
        <f t="shared" si="10"/>
        <v>0</v>
      </c>
    </row>
    <row r="143" spans="1:16" s="8" customFormat="1" ht="15.75" x14ac:dyDescent="0.25">
      <c r="A143" s="106" t="s">
        <v>371</v>
      </c>
      <c r="B143" s="102">
        <v>44193</v>
      </c>
      <c r="C143" s="25" t="s">
        <v>643</v>
      </c>
      <c r="D143" s="25" t="s">
        <v>1122</v>
      </c>
      <c r="E143" s="165">
        <v>4</v>
      </c>
      <c r="F143" s="134">
        <v>1375</v>
      </c>
      <c r="G143" s="50">
        <f>E143*F143</f>
        <v>5500</v>
      </c>
      <c r="H143" s="103"/>
      <c r="I143" s="141"/>
      <c r="J143" s="104"/>
      <c r="K143" s="103"/>
      <c r="L143" s="103"/>
      <c r="M143" s="141">
        <f t="shared" si="13"/>
        <v>4</v>
      </c>
      <c r="N143" s="103"/>
      <c r="O143" s="103" t="s">
        <v>946</v>
      </c>
      <c r="P143" s="137">
        <f t="shared" si="10"/>
        <v>5500</v>
      </c>
    </row>
    <row r="144" spans="1:16" s="8" customFormat="1" ht="15.75" x14ac:dyDescent="0.25">
      <c r="A144" s="106" t="s">
        <v>372</v>
      </c>
      <c r="B144" s="106"/>
      <c r="C144" s="25" t="s">
        <v>816</v>
      </c>
      <c r="D144" s="25" t="s">
        <v>1122</v>
      </c>
      <c r="E144" s="165">
        <v>2</v>
      </c>
      <c r="F144" s="134"/>
      <c r="G144" s="50"/>
      <c r="H144" s="103"/>
      <c r="I144" s="141"/>
      <c r="J144" s="104"/>
      <c r="K144" s="103"/>
      <c r="L144" s="103"/>
      <c r="M144" s="141">
        <f t="shared" si="13"/>
        <v>2</v>
      </c>
      <c r="N144" s="103"/>
      <c r="O144" s="103" t="s">
        <v>946</v>
      </c>
      <c r="P144" s="137">
        <f t="shared" si="10"/>
        <v>0</v>
      </c>
    </row>
    <row r="145" spans="1:16" s="8" customFormat="1" ht="15.75" x14ac:dyDescent="0.25">
      <c r="A145" s="106" t="s">
        <v>373</v>
      </c>
      <c r="B145" s="102"/>
      <c r="C145" s="25" t="s">
        <v>829</v>
      </c>
      <c r="D145" s="25" t="s">
        <v>1122</v>
      </c>
      <c r="E145" s="165">
        <v>2</v>
      </c>
      <c r="F145" s="134"/>
      <c r="G145" s="50"/>
      <c r="H145" s="103"/>
      <c r="I145" s="141"/>
      <c r="J145" s="104"/>
      <c r="K145" s="103"/>
      <c r="L145" s="103"/>
      <c r="M145" s="151">
        <f t="shared" si="13"/>
        <v>2</v>
      </c>
      <c r="N145" s="103"/>
      <c r="O145" s="103" t="s">
        <v>946</v>
      </c>
      <c r="P145" s="137">
        <f t="shared" si="10"/>
        <v>0</v>
      </c>
    </row>
    <row r="146" spans="1:16" s="8" customFormat="1" ht="15.75" x14ac:dyDescent="0.25">
      <c r="A146" s="106" t="s">
        <v>374</v>
      </c>
      <c r="B146" s="106" t="s">
        <v>106</v>
      </c>
      <c r="C146" s="25" t="s">
        <v>635</v>
      </c>
      <c r="D146" s="25" t="s">
        <v>1122</v>
      </c>
      <c r="E146" s="165">
        <v>8</v>
      </c>
      <c r="F146" s="134">
        <v>1375</v>
      </c>
      <c r="G146" s="50">
        <f>E146*F146</f>
        <v>11000</v>
      </c>
      <c r="H146" s="103"/>
      <c r="I146" s="141"/>
      <c r="J146" s="104"/>
      <c r="K146" s="103"/>
      <c r="L146" s="103">
        <v>2</v>
      </c>
      <c r="M146" s="141">
        <f t="shared" si="13"/>
        <v>6</v>
      </c>
      <c r="N146" s="103"/>
      <c r="O146" s="103" t="s">
        <v>946</v>
      </c>
      <c r="P146" s="137">
        <f t="shared" si="10"/>
        <v>8250</v>
      </c>
    </row>
    <row r="147" spans="1:16" s="8" customFormat="1" ht="15.75" x14ac:dyDescent="0.25">
      <c r="A147" s="106" t="s">
        <v>375</v>
      </c>
      <c r="B147" s="102">
        <v>45020</v>
      </c>
      <c r="C147" s="25" t="s">
        <v>636</v>
      </c>
      <c r="D147" s="25" t="s">
        <v>1122</v>
      </c>
      <c r="E147" s="164">
        <v>30</v>
      </c>
      <c r="F147" s="134">
        <v>436.6</v>
      </c>
      <c r="G147" s="50">
        <f>E147*F147</f>
        <v>13098</v>
      </c>
      <c r="H147" s="103"/>
      <c r="I147" s="141"/>
      <c r="J147" s="104"/>
      <c r="K147" s="103"/>
      <c r="L147" s="103">
        <v>8</v>
      </c>
      <c r="M147" s="141">
        <f t="shared" si="13"/>
        <v>22</v>
      </c>
      <c r="N147" s="103"/>
      <c r="O147" s="103" t="s">
        <v>946</v>
      </c>
      <c r="P147" s="137">
        <f t="shared" si="10"/>
        <v>9605.2000000000007</v>
      </c>
    </row>
    <row r="148" spans="1:16" s="8" customFormat="1" ht="15.75" x14ac:dyDescent="0.25">
      <c r="A148" s="106" t="s">
        <v>376</v>
      </c>
      <c r="B148" s="102"/>
      <c r="C148" s="25" t="s">
        <v>831</v>
      </c>
      <c r="D148" s="25" t="s">
        <v>1122</v>
      </c>
      <c r="E148" s="165">
        <f>25+28</f>
        <v>53</v>
      </c>
      <c r="F148" s="134"/>
      <c r="G148" s="50"/>
      <c r="H148" s="103"/>
      <c r="I148" s="141"/>
      <c r="J148" s="104"/>
      <c r="K148" s="103"/>
      <c r="L148" s="103">
        <v>10</v>
      </c>
      <c r="M148" s="141">
        <f t="shared" si="13"/>
        <v>43</v>
      </c>
      <c r="N148" s="103"/>
      <c r="O148" s="103" t="s">
        <v>946</v>
      </c>
      <c r="P148" s="137">
        <f t="shared" si="10"/>
        <v>0</v>
      </c>
    </row>
    <row r="149" spans="1:16" s="8" customFormat="1" ht="15.75" x14ac:dyDescent="0.25">
      <c r="A149" s="106" t="s">
        <v>377</v>
      </c>
      <c r="B149" s="102"/>
      <c r="C149" s="25" t="s">
        <v>832</v>
      </c>
      <c r="D149" s="25" t="s">
        <v>1122</v>
      </c>
      <c r="E149" s="165">
        <v>5</v>
      </c>
      <c r="F149" s="134"/>
      <c r="G149" s="50"/>
      <c r="H149" s="103"/>
      <c r="I149" s="141"/>
      <c r="J149" s="104"/>
      <c r="K149" s="103"/>
      <c r="L149" s="103"/>
      <c r="M149" s="141">
        <f t="shared" si="13"/>
        <v>5</v>
      </c>
      <c r="N149" s="103"/>
      <c r="O149" s="103" t="s">
        <v>946</v>
      </c>
      <c r="P149" s="137">
        <f t="shared" si="10"/>
        <v>0</v>
      </c>
    </row>
    <row r="150" spans="1:16" s="8" customFormat="1" ht="15.75" x14ac:dyDescent="0.25">
      <c r="A150" s="106" t="s">
        <v>378</v>
      </c>
      <c r="B150" s="106" t="s">
        <v>106</v>
      </c>
      <c r="C150" s="25" t="s">
        <v>812</v>
      </c>
      <c r="D150" s="25" t="s">
        <v>1122</v>
      </c>
      <c r="E150" s="165">
        <v>3</v>
      </c>
      <c r="F150" s="134">
        <v>1180</v>
      </c>
      <c r="G150" s="50">
        <f>E150*F150</f>
        <v>3540</v>
      </c>
      <c r="H150" s="103"/>
      <c r="I150" s="141"/>
      <c r="J150" s="104"/>
      <c r="K150" s="103"/>
      <c r="L150" s="103"/>
      <c r="M150" s="141">
        <f t="shared" si="13"/>
        <v>3</v>
      </c>
      <c r="N150" s="103"/>
      <c r="O150" s="103" t="s">
        <v>946</v>
      </c>
      <c r="P150" s="137">
        <f t="shared" si="10"/>
        <v>3540</v>
      </c>
    </row>
    <row r="151" spans="1:16" s="8" customFormat="1" ht="15.75" x14ac:dyDescent="0.25">
      <c r="A151" s="106" t="s">
        <v>379</v>
      </c>
      <c r="B151" s="102">
        <v>44193</v>
      </c>
      <c r="C151" s="25" t="s">
        <v>637</v>
      </c>
      <c r="D151" s="25" t="s">
        <v>1122</v>
      </c>
      <c r="E151" s="164">
        <v>9</v>
      </c>
      <c r="F151" s="134">
        <v>1180</v>
      </c>
      <c r="G151" s="50">
        <f>E151*F151</f>
        <v>10620</v>
      </c>
      <c r="H151" s="103"/>
      <c r="I151" s="141"/>
      <c r="J151" s="104"/>
      <c r="K151" s="103"/>
      <c r="L151" s="103"/>
      <c r="M151" s="141">
        <f t="shared" si="13"/>
        <v>9</v>
      </c>
      <c r="N151" s="103"/>
      <c r="O151" s="103" t="s">
        <v>946</v>
      </c>
      <c r="P151" s="137">
        <f t="shared" si="10"/>
        <v>10620</v>
      </c>
    </row>
    <row r="152" spans="1:16" s="8" customFormat="1" ht="15.75" x14ac:dyDescent="0.25">
      <c r="A152" s="106" t="s">
        <v>380</v>
      </c>
      <c r="B152" s="102"/>
      <c r="C152" s="25" t="s">
        <v>834</v>
      </c>
      <c r="D152" s="25" t="s">
        <v>1122</v>
      </c>
      <c r="E152" s="165">
        <v>1</v>
      </c>
      <c r="F152" s="134"/>
      <c r="G152" s="50"/>
      <c r="H152" s="103"/>
      <c r="I152" s="141"/>
      <c r="J152" s="104"/>
      <c r="K152" s="103"/>
      <c r="L152" s="103"/>
      <c r="M152" s="151">
        <f t="shared" si="13"/>
        <v>1</v>
      </c>
      <c r="N152" s="103"/>
      <c r="O152" s="103" t="s">
        <v>946</v>
      </c>
      <c r="P152" s="137">
        <f t="shared" si="10"/>
        <v>0</v>
      </c>
    </row>
    <row r="153" spans="1:16" s="8" customFormat="1" ht="15.75" x14ac:dyDescent="0.25">
      <c r="A153" s="106" t="s">
        <v>381</v>
      </c>
      <c r="B153" s="106" t="s">
        <v>106</v>
      </c>
      <c r="C153" s="25" t="s">
        <v>639</v>
      </c>
      <c r="D153" s="25" t="s">
        <v>1122</v>
      </c>
      <c r="E153" s="165">
        <v>8</v>
      </c>
      <c r="F153" s="171">
        <v>1375</v>
      </c>
      <c r="G153" s="50">
        <f t="shared" ref="G153:G165" si="15">E153*F153</f>
        <v>11000</v>
      </c>
      <c r="H153" s="103"/>
      <c r="I153" s="141"/>
      <c r="J153" s="104"/>
      <c r="K153" s="103"/>
      <c r="L153" s="103"/>
      <c r="M153" s="151">
        <f t="shared" si="13"/>
        <v>8</v>
      </c>
      <c r="N153" s="103"/>
      <c r="O153" s="103" t="s">
        <v>946</v>
      </c>
      <c r="P153" s="137">
        <f t="shared" ref="P153:P216" si="16">+F153*M153</f>
        <v>11000</v>
      </c>
    </row>
    <row r="154" spans="1:16" s="8" customFormat="1" ht="15.75" x14ac:dyDescent="0.25">
      <c r="A154" s="106" t="s">
        <v>382</v>
      </c>
      <c r="B154" s="102">
        <v>44193</v>
      </c>
      <c r="C154" s="25" t="s">
        <v>638</v>
      </c>
      <c r="D154" s="25" t="s">
        <v>1122</v>
      </c>
      <c r="E154" s="165">
        <v>4</v>
      </c>
      <c r="F154" s="134">
        <v>1294.3699999999999</v>
      </c>
      <c r="G154" s="50">
        <f t="shared" si="15"/>
        <v>5177.4799999999996</v>
      </c>
      <c r="H154" s="103"/>
      <c r="I154" s="141"/>
      <c r="J154" s="104"/>
      <c r="K154" s="103"/>
      <c r="L154" s="103"/>
      <c r="M154" s="141">
        <f t="shared" si="13"/>
        <v>4</v>
      </c>
      <c r="N154" s="103"/>
      <c r="O154" s="103" t="s">
        <v>946</v>
      </c>
      <c r="P154" s="137">
        <f t="shared" si="16"/>
        <v>5177.4799999999996</v>
      </c>
    </row>
    <row r="155" spans="1:16" s="8" customFormat="1" ht="15.75" x14ac:dyDescent="0.25">
      <c r="A155" s="106" t="s">
        <v>383</v>
      </c>
      <c r="B155" s="106" t="s">
        <v>114</v>
      </c>
      <c r="C155" s="25" t="s">
        <v>640</v>
      </c>
      <c r="D155" s="25" t="s">
        <v>1122</v>
      </c>
      <c r="E155" s="165">
        <v>4</v>
      </c>
      <c r="F155" s="172">
        <v>2600</v>
      </c>
      <c r="G155" s="50">
        <f t="shared" si="15"/>
        <v>10400</v>
      </c>
      <c r="H155" s="103"/>
      <c r="I155" s="141"/>
      <c r="J155" s="104"/>
      <c r="K155" s="103"/>
      <c r="L155" s="103"/>
      <c r="M155" s="141">
        <f t="shared" si="13"/>
        <v>4</v>
      </c>
      <c r="N155" s="103"/>
      <c r="O155" s="103" t="s">
        <v>946</v>
      </c>
      <c r="P155" s="137">
        <f t="shared" si="16"/>
        <v>10400</v>
      </c>
    </row>
    <row r="156" spans="1:16" s="8" customFormat="1" ht="15.75" x14ac:dyDescent="0.25">
      <c r="A156" s="106" t="s">
        <v>384</v>
      </c>
      <c r="B156" s="102">
        <v>44193</v>
      </c>
      <c r="C156" s="25" t="s">
        <v>830</v>
      </c>
      <c r="D156" s="25" t="s">
        <v>1122</v>
      </c>
      <c r="E156" s="165">
        <v>2</v>
      </c>
      <c r="F156" s="134">
        <v>2600</v>
      </c>
      <c r="G156" s="50">
        <f t="shared" si="15"/>
        <v>5200</v>
      </c>
      <c r="H156" s="103"/>
      <c r="I156" s="141"/>
      <c r="J156" s="104"/>
      <c r="K156" s="103"/>
      <c r="L156" s="103">
        <v>2</v>
      </c>
      <c r="M156" s="141">
        <f t="shared" si="13"/>
        <v>0</v>
      </c>
      <c r="N156" s="103"/>
      <c r="O156" s="103" t="s">
        <v>946</v>
      </c>
      <c r="P156" s="137">
        <f t="shared" si="16"/>
        <v>0</v>
      </c>
    </row>
    <row r="157" spans="1:16" s="105" customFormat="1" ht="15.75" x14ac:dyDescent="0.25">
      <c r="A157" s="106" t="s">
        <v>385</v>
      </c>
      <c r="B157" s="129">
        <v>44852</v>
      </c>
      <c r="C157" s="9" t="s">
        <v>951</v>
      </c>
      <c r="D157" s="25" t="s">
        <v>1122</v>
      </c>
      <c r="E157" s="166">
        <v>46</v>
      </c>
      <c r="F157" s="134">
        <v>5.07</v>
      </c>
      <c r="G157" s="50">
        <f t="shared" si="15"/>
        <v>233.22000000000003</v>
      </c>
      <c r="H157" s="107">
        <v>44852</v>
      </c>
      <c r="I157" s="141">
        <f>10*100</f>
        <v>1000</v>
      </c>
      <c r="J157" s="104">
        <v>5.07</v>
      </c>
      <c r="K157" s="108">
        <f>+I157*J157</f>
        <v>5070</v>
      </c>
      <c r="L157" s="103">
        <f>12+100+15+819</f>
        <v>946</v>
      </c>
      <c r="M157" s="151">
        <f t="shared" si="13"/>
        <v>100</v>
      </c>
      <c r="N157" s="103" t="s">
        <v>1037</v>
      </c>
      <c r="O157" s="103" t="s">
        <v>947</v>
      </c>
      <c r="P157" s="137">
        <f t="shared" si="16"/>
        <v>507</v>
      </c>
    </row>
    <row r="158" spans="1:16" s="8" customFormat="1" ht="15.75" x14ac:dyDescent="0.25">
      <c r="A158" s="106" t="s">
        <v>386</v>
      </c>
      <c r="B158" s="102">
        <v>44193</v>
      </c>
      <c r="C158" s="9" t="s">
        <v>647</v>
      </c>
      <c r="D158" s="25" t="s">
        <v>1122</v>
      </c>
      <c r="E158" s="166">
        <v>15</v>
      </c>
      <c r="F158" s="134">
        <v>4.55</v>
      </c>
      <c r="G158" s="50">
        <f t="shared" si="15"/>
        <v>68.25</v>
      </c>
      <c r="H158" s="103"/>
      <c r="I158" s="141"/>
      <c r="J158" s="104"/>
      <c r="K158" s="103"/>
      <c r="L158" s="103"/>
      <c r="M158" s="141">
        <f t="shared" si="13"/>
        <v>15</v>
      </c>
      <c r="N158" s="103"/>
      <c r="O158" s="103" t="s">
        <v>947</v>
      </c>
      <c r="P158" s="137">
        <f t="shared" si="16"/>
        <v>68.25</v>
      </c>
    </row>
    <row r="159" spans="1:16" s="8" customFormat="1" ht="15.75" x14ac:dyDescent="0.25">
      <c r="A159" s="106" t="s">
        <v>387</v>
      </c>
      <c r="B159" s="102">
        <v>44193</v>
      </c>
      <c r="C159" s="25" t="s">
        <v>645</v>
      </c>
      <c r="D159" s="25" t="s">
        <v>1122</v>
      </c>
      <c r="E159" s="166">
        <v>820</v>
      </c>
      <c r="F159" s="134">
        <v>7.5</v>
      </c>
      <c r="G159" s="50">
        <f t="shared" si="15"/>
        <v>6150</v>
      </c>
      <c r="H159" s="103"/>
      <c r="I159" s="141"/>
      <c r="J159" s="104"/>
      <c r="K159" s="103"/>
      <c r="L159" s="103"/>
      <c r="M159" s="141">
        <f t="shared" si="13"/>
        <v>820</v>
      </c>
      <c r="N159" s="103"/>
      <c r="O159" s="103" t="s">
        <v>947</v>
      </c>
      <c r="P159" s="137">
        <f t="shared" si="16"/>
        <v>6150</v>
      </c>
    </row>
    <row r="160" spans="1:16" s="92" customFormat="1" x14ac:dyDescent="0.3">
      <c r="A160" s="106" t="s">
        <v>388</v>
      </c>
      <c r="B160" s="102">
        <v>44659</v>
      </c>
      <c r="C160" s="25" t="s">
        <v>854</v>
      </c>
      <c r="D160" s="25" t="s">
        <v>1122</v>
      </c>
      <c r="E160" s="161">
        <f>30*100</f>
        <v>3000</v>
      </c>
      <c r="F160" s="134">
        <v>3.4</v>
      </c>
      <c r="G160" s="50">
        <f t="shared" si="15"/>
        <v>10200</v>
      </c>
      <c r="H160" s="103"/>
      <c r="I160" s="141"/>
      <c r="J160" s="104"/>
      <c r="K160" s="103"/>
      <c r="L160" s="103">
        <v>3000</v>
      </c>
      <c r="M160" s="151">
        <f t="shared" si="13"/>
        <v>0</v>
      </c>
      <c r="N160" s="103"/>
      <c r="O160" s="103" t="s">
        <v>945</v>
      </c>
      <c r="P160" s="137">
        <f t="shared" si="16"/>
        <v>0</v>
      </c>
    </row>
    <row r="161" spans="1:16" s="92" customFormat="1" x14ac:dyDescent="0.3">
      <c r="A161" s="106" t="s">
        <v>389</v>
      </c>
      <c r="B161" s="129">
        <v>45019</v>
      </c>
      <c r="C161" s="9" t="s">
        <v>648</v>
      </c>
      <c r="D161" s="25" t="s">
        <v>1122</v>
      </c>
      <c r="E161" s="161">
        <v>100</v>
      </c>
      <c r="F161" s="134">
        <v>4.01</v>
      </c>
      <c r="G161" s="50">
        <f t="shared" si="15"/>
        <v>401</v>
      </c>
      <c r="H161" s="107">
        <v>45130</v>
      </c>
      <c r="I161" s="141">
        <f>20*100</f>
        <v>2000</v>
      </c>
      <c r="J161" s="104">
        <v>3.72</v>
      </c>
      <c r="K161" s="103">
        <f>+I161*J161</f>
        <v>7440</v>
      </c>
      <c r="L161" s="103">
        <v>100</v>
      </c>
      <c r="M161" s="158">
        <f>+E161+I161-L161</f>
        <v>2000</v>
      </c>
      <c r="N161" s="103"/>
      <c r="O161" s="103" t="s">
        <v>945</v>
      </c>
      <c r="P161" s="137">
        <f t="shared" si="16"/>
        <v>8020</v>
      </c>
    </row>
    <row r="162" spans="1:16" s="92" customFormat="1" x14ac:dyDescent="0.3">
      <c r="A162" s="106" t="s">
        <v>390</v>
      </c>
      <c r="B162" s="129">
        <v>44778</v>
      </c>
      <c r="C162" s="25" t="s">
        <v>855</v>
      </c>
      <c r="D162" s="25" t="s">
        <v>1122</v>
      </c>
      <c r="E162" s="162">
        <f>25*100</f>
        <v>2500</v>
      </c>
      <c r="F162" s="134">
        <v>4.8899999999999997</v>
      </c>
      <c r="G162" s="50">
        <f t="shared" si="15"/>
        <v>12225</v>
      </c>
      <c r="H162" s="107">
        <v>44778</v>
      </c>
      <c r="I162" s="141">
        <f>10*100</f>
        <v>1000</v>
      </c>
      <c r="J162" s="104">
        <v>4.8899999999999997</v>
      </c>
      <c r="K162" s="103">
        <f>+I162*J162</f>
        <v>4890</v>
      </c>
      <c r="L162" s="103">
        <v>3500</v>
      </c>
      <c r="M162" s="151">
        <f t="shared" si="13"/>
        <v>0</v>
      </c>
      <c r="N162" s="103" t="s">
        <v>943</v>
      </c>
      <c r="O162" s="103" t="s">
        <v>945</v>
      </c>
      <c r="P162" s="137">
        <f t="shared" si="16"/>
        <v>0</v>
      </c>
    </row>
    <row r="163" spans="1:16" s="92" customFormat="1" x14ac:dyDescent="0.3">
      <c r="A163" s="106" t="s">
        <v>391</v>
      </c>
      <c r="B163" s="129">
        <v>45019</v>
      </c>
      <c r="C163" s="25" t="s">
        <v>651</v>
      </c>
      <c r="D163" s="25" t="s">
        <v>1122</v>
      </c>
      <c r="E163" s="162">
        <f>60*100</f>
        <v>6000</v>
      </c>
      <c r="F163" s="134">
        <v>9.56</v>
      </c>
      <c r="G163" s="50">
        <f t="shared" si="15"/>
        <v>57360</v>
      </c>
      <c r="H163" s="107">
        <v>45019</v>
      </c>
      <c r="I163" s="144">
        <v>700</v>
      </c>
      <c r="J163" s="104">
        <v>9.56</v>
      </c>
      <c r="K163" s="108">
        <f t="shared" ref="K163:K166" si="17">+I163*J163</f>
        <v>6692</v>
      </c>
      <c r="L163" s="103">
        <f>100+100+100+3600+100+200+200+100</f>
        <v>4500</v>
      </c>
      <c r="M163" s="152">
        <f t="shared" si="13"/>
        <v>2200</v>
      </c>
      <c r="N163" s="103"/>
      <c r="O163" s="103" t="s">
        <v>945</v>
      </c>
      <c r="P163" s="137">
        <f t="shared" si="16"/>
        <v>21032</v>
      </c>
    </row>
    <row r="164" spans="1:16" s="92" customFormat="1" x14ac:dyDescent="0.3">
      <c r="A164" s="106" t="s">
        <v>392</v>
      </c>
      <c r="B164" s="129">
        <v>45019</v>
      </c>
      <c r="C164" s="25" t="s">
        <v>652</v>
      </c>
      <c r="D164" s="25" t="s">
        <v>1122</v>
      </c>
      <c r="E164" s="162">
        <v>3700</v>
      </c>
      <c r="F164" s="134">
        <v>10.51</v>
      </c>
      <c r="G164" s="50">
        <f t="shared" si="15"/>
        <v>38887</v>
      </c>
      <c r="H164" s="107">
        <v>45127</v>
      </c>
      <c r="I164" s="144">
        <v>1000</v>
      </c>
      <c r="J164" s="104">
        <v>10.51</v>
      </c>
      <c r="K164" s="108">
        <f t="shared" si="17"/>
        <v>10510</v>
      </c>
      <c r="L164" s="103">
        <v>3100</v>
      </c>
      <c r="M164" s="151">
        <f t="shared" si="13"/>
        <v>1600</v>
      </c>
      <c r="N164" s="103"/>
      <c r="O164" s="103" t="s">
        <v>945</v>
      </c>
      <c r="P164" s="137">
        <f t="shared" si="16"/>
        <v>16816</v>
      </c>
    </row>
    <row r="165" spans="1:16" s="92" customFormat="1" x14ac:dyDescent="0.3">
      <c r="A165" s="106" t="s">
        <v>393</v>
      </c>
      <c r="B165" s="102">
        <v>44193</v>
      </c>
      <c r="C165" s="25" t="s">
        <v>786</v>
      </c>
      <c r="D165" s="25" t="s">
        <v>1122</v>
      </c>
      <c r="E165" s="165">
        <f>4+8</f>
        <v>12</v>
      </c>
      <c r="F165" s="134">
        <v>150</v>
      </c>
      <c r="G165" s="50">
        <f t="shared" si="15"/>
        <v>1800</v>
      </c>
      <c r="H165" s="103"/>
      <c r="I165" s="144"/>
      <c r="J165" s="104"/>
      <c r="K165" s="108">
        <f t="shared" si="17"/>
        <v>0</v>
      </c>
      <c r="L165" s="103">
        <v>5</v>
      </c>
      <c r="M165" s="151">
        <f t="shared" si="13"/>
        <v>7</v>
      </c>
      <c r="N165" s="103"/>
      <c r="O165" s="103" t="s">
        <v>945</v>
      </c>
      <c r="P165" s="137">
        <f t="shared" si="16"/>
        <v>1050</v>
      </c>
    </row>
    <row r="166" spans="1:16" s="8" customFormat="1" ht="15.75" x14ac:dyDescent="0.25">
      <c r="A166" s="106" t="s">
        <v>394</v>
      </c>
      <c r="B166" s="102"/>
      <c r="C166" s="25" t="s">
        <v>827</v>
      </c>
      <c r="D166" s="25" t="s">
        <v>1122</v>
      </c>
      <c r="E166" s="162">
        <v>2</v>
      </c>
      <c r="F166" s="134"/>
      <c r="G166" s="50"/>
      <c r="H166" s="103"/>
      <c r="I166" s="144">
        <v>10</v>
      </c>
      <c r="J166" s="104"/>
      <c r="K166" s="108">
        <f t="shared" si="17"/>
        <v>0</v>
      </c>
      <c r="L166" s="103"/>
      <c r="M166" s="141">
        <f t="shared" si="13"/>
        <v>12</v>
      </c>
      <c r="N166" s="103"/>
      <c r="O166" s="103" t="s">
        <v>946</v>
      </c>
      <c r="P166" s="137">
        <f t="shared" si="16"/>
        <v>0</v>
      </c>
    </row>
    <row r="167" spans="1:16" s="8" customFormat="1" ht="15.75" x14ac:dyDescent="0.25">
      <c r="A167" s="106" t="s">
        <v>395</v>
      </c>
      <c r="B167" s="102"/>
      <c r="C167" s="25" t="s">
        <v>828</v>
      </c>
      <c r="D167" s="25" t="s">
        <v>1122</v>
      </c>
      <c r="E167" s="162">
        <v>1</v>
      </c>
      <c r="F167" s="134"/>
      <c r="G167" s="50"/>
      <c r="H167" s="103"/>
      <c r="I167" s="144"/>
      <c r="J167" s="104"/>
      <c r="K167" s="103"/>
      <c r="L167" s="103"/>
      <c r="M167" s="141">
        <f t="shared" si="13"/>
        <v>1</v>
      </c>
      <c r="N167" s="103"/>
      <c r="O167" s="103" t="s">
        <v>946</v>
      </c>
      <c r="P167" s="137">
        <f t="shared" si="16"/>
        <v>0</v>
      </c>
    </row>
    <row r="168" spans="1:16" s="92" customFormat="1" x14ac:dyDescent="0.3">
      <c r="A168" s="106" t="s">
        <v>396</v>
      </c>
      <c r="B168" s="102">
        <v>44193</v>
      </c>
      <c r="C168" s="25" t="s">
        <v>653</v>
      </c>
      <c r="D168" s="25" t="s">
        <v>1122</v>
      </c>
      <c r="E168" s="162">
        <v>50</v>
      </c>
      <c r="F168" s="134">
        <v>575</v>
      </c>
      <c r="G168" s="50">
        <f t="shared" ref="G168:G198" si="18">E168*F168</f>
        <v>28750</v>
      </c>
      <c r="H168" s="103"/>
      <c r="I168" s="144"/>
      <c r="J168" s="104"/>
      <c r="K168" s="103"/>
      <c r="L168" s="103">
        <f>1+1</f>
        <v>2</v>
      </c>
      <c r="M168" s="141">
        <f t="shared" si="13"/>
        <v>48</v>
      </c>
      <c r="N168" s="103"/>
      <c r="O168" s="103" t="s">
        <v>945</v>
      </c>
      <c r="P168" s="137">
        <f t="shared" si="16"/>
        <v>27600</v>
      </c>
    </row>
    <row r="169" spans="1:16" s="105" customFormat="1" ht="15.75" x14ac:dyDescent="0.25">
      <c r="A169" s="106" t="s">
        <v>397</v>
      </c>
      <c r="B169" s="129">
        <v>45042</v>
      </c>
      <c r="C169" s="25" t="s">
        <v>655</v>
      </c>
      <c r="D169" s="25" t="s">
        <v>1122</v>
      </c>
      <c r="E169" s="165">
        <v>20</v>
      </c>
      <c r="F169" s="134">
        <v>8.08</v>
      </c>
      <c r="G169" s="50">
        <f t="shared" si="18"/>
        <v>161.6</v>
      </c>
      <c r="H169" s="107">
        <v>44851</v>
      </c>
      <c r="I169" s="144">
        <v>5.56</v>
      </c>
      <c r="J169" s="104">
        <v>8.08</v>
      </c>
      <c r="K169" s="104">
        <f>+J169*I169</f>
        <v>44.924799999999998</v>
      </c>
      <c r="L169" s="103">
        <v>3</v>
      </c>
      <c r="M169" s="157">
        <f>+E169+I169-L169</f>
        <v>22.56</v>
      </c>
      <c r="N169" s="103" t="s">
        <v>1037</v>
      </c>
      <c r="O169" s="103" t="s">
        <v>947</v>
      </c>
      <c r="P169" s="137">
        <f t="shared" si="16"/>
        <v>182.28479999999999</v>
      </c>
    </row>
    <row r="170" spans="1:16" s="8" customFormat="1" ht="15.75" x14ac:dyDescent="0.25">
      <c r="A170" s="106" t="s">
        <v>398</v>
      </c>
      <c r="B170" s="129">
        <v>45022</v>
      </c>
      <c r="C170" s="9" t="s">
        <v>1241</v>
      </c>
      <c r="D170" s="25" t="s">
        <v>1122</v>
      </c>
      <c r="E170" s="165">
        <v>15</v>
      </c>
      <c r="F170" s="134">
        <v>275</v>
      </c>
      <c r="G170" s="50">
        <f t="shared" si="18"/>
        <v>4125</v>
      </c>
      <c r="H170" s="107">
        <v>45022</v>
      </c>
      <c r="I170" s="144">
        <v>10</v>
      </c>
      <c r="J170" s="104">
        <v>168</v>
      </c>
      <c r="K170" s="104">
        <f t="shared" ref="K170:K173" si="19">+J170*I170</f>
        <v>1680</v>
      </c>
      <c r="L170" s="103">
        <f>17+1+1</f>
        <v>19</v>
      </c>
      <c r="M170" s="151">
        <f t="shared" si="13"/>
        <v>6</v>
      </c>
      <c r="N170" s="103"/>
      <c r="O170" s="103" t="s">
        <v>947</v>
      </c>
      <c r="P170" s="137">
        <f t="shared" si="16"/>
        <v>1650</v>
      </c>
    </row>
    <row r="171" spans="1:16" s="8" customFormat="1" ht="15.75" x14ac:dyDescent="0.25">
      <c r="A171" s="106" t="s">
        <v>399</v>
      </c>
      <c r="B171" s="102">
        <v>44193</v>
      </c>
      <c r="C171" s="9" t="s">
        <v>658</v>
      </c>
      <c r="D171" s="25" t="s">
        <v>1122</v>
      </c>
      <c r="E171" s="161">
        <v>2</v>
      </c>
      <c r="F171" s="134">
        <v>50</v>
      </c>
      <c r="G171" s="50">
        <f t="shared" si="18"/>
        <v>100</v>
      </c>
      <c r="H171" s="103"/>
      <c r="I171" s="144"/>
      <c r="J171" s="104"/>
      <c r="K171" s="104">
        <f t="shared" si="19"/>
        <v>0</v>
      </c>
      <c r="L171" s="103">
        <v>1</v>
      </c>
      <c r="M171" s="151">
        <f t="shared" si="13"/>
        <v>1</v>
      </c>
      <c r="N171" s="103"/>
      <c r="O171" s="103" t="s">
        <v>947</v>
      </c>
      <c r="P171" s="137">
        <f t="shared" si="16"/>
        <v>50</v>
      </c>
    </row>
    <row r="172" spans="1:16" s="8" customFormat="1" ht="15.75" x14ac:dyDescent="0.25">
      <c r="A172" s="106" t="s">
        <v>400</v>
      </c>
      <c r="B172" s="129">
        <v>45042</v>
      </c>
      <c r="C172" s="9" t="s">
        <v>657</v>
      </c>
      <c r="D172" s="25" t="s">
        <v>1122</v>
      </c>
      <c r="E172" s="161">
        <f>20+9</f>
        <v>29</v>
      </c>
      <c r="F172" s="134">
        <v>50</v>
      </c>
      <c r="G172" s="50">
        <f t="shared" si="18"/>
        <v>1450</v>
      </c>
      <c r="H172" s="107">
        <v>45042</v>
      </c>
      <c r="I172" s="144">
        <v>10</v>
      </c>
      <c r="J172" s="104">
        <v>44.55</v>
      </c>
      <c r="K172" s="104">
        <f t="shared" si="19"/>
        <v>445.5</v>
      </c>
      <c r="L172" s="103">
        <v>14</v>
      </c>
      <c r="M172" s="151">
        <f t="shared" si="13"/>
        <v>25</v>
      </c>
      <c r="N172" s="103"/>
      <c r="O172" s="103" t="s">
        <v>947</v>
      </c>
      <c r="P172" s="137">
        <f t="shared" si="16"/>
        <v>1250</v>
      </c>
    </row>
    <row r="173" spans="1:16" s="92" customFormat="1" x14ac:dyDescent="0.3">
      <c r="A173" s="106" t="s">
        <v>401</v>
      </c>
      <c r="B173" s="102">
        <v>44193</v>
      </c>
      <c r="C173" s="25" t="s">
        <v>660</v>
      </c>
      <c r="D173" s="25" t="s">
        <v>1122</v>
      </c>
      <c r="E173" s="161">
        <v>35</v>
      </c>
      <c r="F173" s="134">
        <v>7</v>
      </c>
      <c r="G173" s="50">
        <f t="shared" si="18"/>
        <v>245</v>
      </c>
      <c r="H173" s="103"/>
      <c r="I173" s="144"/>
      <c r="J173" s="104"/>
      <c r="K173" s="104">
        <f t="shared" si="19"/>
        <v>0</v>
      </c>
      <c r="L173" s="103"/>
      <c r="M173" s="141">
        <f t="shared" si="13"/>
        <v>35</v>
      </c>
      <c r="N173" s="103"/>
      <c r="O173" s="103" t="s">
        <v>945</v>
      </c>
      <c r="P173" s="137">
        <f t="shared" si="16"/>
        <v>245</v>
      </c>
    </row>
    <row r="174" spans="1:16" s="92" customFormat="1" x14ac:dyDescent="0.3">
      <c r="A174" s="106" t="s">
        <v>402</v>
      </c>
      <c r="B174" s="102">
        <v>44193</v>
      </c>
      <c r="C174" s="25" t="s">
        <v>659</v>
      </c>
      <c r="D174" s="25" t="s">
        <v>1122</v>
      </c>
      <c r="E174" s="161">
        <v>34</v>
      </c>
      <c r="F174" s="134">
        <v>125</v>
      </c>
      <c r="G174" s="50">
        <f t="shared" si="18"/>
        <v>4250</v>
      </c>
      <c r="H174" s="103"/>
      <c r="I174" s="144"/>
      <c r="J174" s="104"/>
      <c r="K174" s="103"/>
      <c r="L174" s="103">
        <v>1</v>
      </c>
      <c r="M174" s="141">
        <f t="shared" si="13"/>
        <v>33</v>
      </c>
      <c r="N174" s="103"/>
      <c r="O174" s="103" t="s">
        <v>945</v>
      </c>
      <c r="P174" s="137">
        <f t="shared" si="16"/>
        <v>4125</v>
      </c>
    </row>
    <row r="175" spans="1:16" s="92" customFormat="1" x14ac:dyDescent="0.3">
      <c r="A175" s="106" t="s">
        <v>403</v>
      </c>
      <c r="B175" s="102">
        <v>44193</v>
      </c>
      <c r="C175" s="25" t="s">
        <v>661</v>
      </c>
      <c r="D175" s="25" t="s">
        <v>1122</v>
      </c>
      <c r="E175" s="161">
        <v>106</v>
      </c>
      <c r="F175" s="134">
        <v>7</v>
      </c>
      <c r="G175" s="50">
        <f t="shared" si="18"/>
        <v>742</v>
      </c>
      <c r="H175" s="103"/>
      <c r="I175" s="144"/>
      <c r="J175" s="104"/>
      <c r="K175" s="103"/>
      <c r="L175" s="103">
        <v>5</v>
      </c>
      <c r="M175" s="141">
        <f t="shared" si="13"/>
        <v>101</v>
      </c>
      <c r="N175" s="103"/>
      <c r="O175" s="103" t="s">
        <v>945</v>
      </c>
      <c r="P175" s="137">
        <f t="shared" si="16"/>
        <v>707</v>
      </c>
    </row>
    <row r="176" spans="1:16" s="92" customFormat="1" x14ac:dyDescent="0.3">
      <c r="A176" s="106" t="s">
        <v>404</v>
      </c>
      <c r="B176" s="102">
        <v>44456</v>
      </c>
      <c r="C176" s="25" t="s">
        <v>662</v>
      </c>
      <c r="D176" s="25" t="s">
        <v>1122</v>
      </c>
      <c r="E176" s="161">
        <v>27</v>
      </c>
      <c r="F176" s="134">
        <v>7</v>
      </c>
      <c r="G176" s="50">
        <f t="shared" si="18"/>
        <v>189</v>
      </c>
      <c r="H176" s="103"/>
      <c r="I176" s="144"/>
      <c r="J176" s="104"/>
      <c r="K176" s="103"/>
      <c r="L176" s="103"/>
      <c r="M176" s="141">
        <f t="shared" ref="M176:M239" si="20">+E176+I176-L176</f>
        <v>27</v>
      </c>
      <c r="N176" s="103"/>
      <c r="O176" s="103" t="s">
        <v>945</v>
      </c>
      <c r="P176" s="137">
        <f t="shared" si="16"/>
        <v>189</v>
      </c>
    </row>
    <row r="177" spans="1:17" s="8" customFormat="1" ht="15.75" x14ac:dyDescent="0.25">
      <c r="A177" s="106" t="s">
        <v>405</v>
      </c>
      <c r="B177" s="102">
        <v>44193</v>
      </c>
      <c r="C177" s="25" t="s">
        <v>800</v>
      </c>
      <c r="D177" s="25" t="s">
        <v>1122</v>
      </c>
      <c r="E177" s="165">
        <f>6+6</f>
        <v>12</v>
      </c>
      <c r="F177" s="134">
        <v>135</v>
      </c>
      <c r="G177" s="50">
        <f t="shared" si="18"/>
        <v>1620</v>
      </c>
      <c r="H177" s="103"/>
      <c r="I177" s="144"/>
      <c r="J177" s="104"/>
      <c r="K177" s="103"/>
      <c r="L177" s="103"/>
      <c r="M177" s="141">
        <f t="shared" si="20"/>
        <v>12</v>
      </c>
      <c r="N177" s="103"/>
      <c r="O177" s="103" t="s">
        <v>946</v>
      </c>
      <c r="P177" s="137">
        <f t="shared" si="16"/>
        <v>1620</v>
      </c>
    </row>
    <row r="178" spans="1:17" s="8" customFormat="1" ht="15.75" x14ac:dyDescent="0.25">
      <c r="A178" s="106" t="s">
        <v>406</v>
      </c>
      <c r="B178" s="102">
        <v>44193</v>
      </c>
      <c r="C178" s="25" t="s">
        <v>663</v>
      </c>
      <c r="D178" s="25" t="s">
        <v>1122</v>
      </c>
      <c r="E178" s="164">
        <v>42</v>
      </c>
      <c r="F178" s="134">
        <v>115</v>
      </c>
      <c r="G178" s="50">
        <f t="shared" si="18"/>
        <v>4830</v>
      </c>
      <c r="H178" s="103"/>
      <c r="I178" s="144"/>
      <c r="J178" s="104"/>
      <c r="K178" s="103"/>
      <c r="L178" s="103"/>
      <c r="M178" s="141">
        <f t="shared" si="20"/>
        <v>42</v>
      </c>
      <c r="N178" s="103"/>
      <c r="O178" s="103" t="s">
        <v>946</v>
      </c>
      <c r="P178" s="137">
        <f t="shared" si="16"/>
        <v>4830</v>
      </c>
    </row>
    <row r="179" spans="1:17" s="92" customFormat="1" x14ac:dyDescent="0.3">
      <c r="A179" s="106" t="s">
        <v>407</v>
      </c>
      <c r="B179" s="129">
        <v>44903</v>
      </c>
      <c r="C179" s="25" t="s">
        <v>768</v>
      </c>
      <c r="D179" s="25" t="s">
        <v>1122</v>
      </c>
      <c r="E179" s="165">
        <v>104</v>
      </c>
      <c r="F179" s="134">
        <v>154.58000000000001</v>
      </c>
      <c r="G179" s="50">
        <f t="shared" si="18"/>
        <v>16076.320000000002</v>
      </c>
      <c r="H179" s="107">
        <v>44903</v>
      </c>
      <c r="I179" s="144">
        <f>20*4</f>
        <v>80</v>
      </c>
      <c r="J179" s="104">
        <v>154.58000000000001</v>
      </c>
      <c r="K179" s="108">
        <f>+I179*J179</f>
        <v>12366.400000000001</v>
      </c>
      <c r="L179" s="103">
        <f>13+4</f>
        <v>17</v>
      </c>
      <c r="M179" s="141">
        <f t="shared" si="20"/>
        <v>167</v>
      </c>
      <c r="N179" s="103"/>
      <c r="O179" s="103" t="s">
        <v>945</v>
      </c>
      <c r="P179" s="137">
        <f t="shared" si="16"/>
        <v>25814.86</v>
      </c>
    </row>
    <row r="180" spans="1:17" s="92" customFormat="1" x14ac:dyDescent="0.3">
      <c r="A180" s="106" t="s">
        <v>408</v>
      </c>
      <c r="B180" s="129">
        <v>45019</v>
      </c>
      <c r="C180" s="25" t="s">
        <v>769</v>
      </c>
      <c r="D180" s="25" t="s">
        <v>1173</v>
      </c>
      <c r="E180" s="165">
        <v>132</v>
      </c>
      <c r="F180" s="134">
        <v>139.04</v>
      </c>
      <c r="G180" s="50">
        <f t="shared" si="18"/>
        <v>18353.28</v>
      </c>
      <c r="H180" s="107">
        <v>45019</v>
      </c>
      <c r="I180" s="144">
        <f>10*6</f>
        <v>60</v>
      </c>
      <c r="J180" s="104">
        <v>139.04</v>
      </c>
      <c r="K180" s="108">
        <f>+I180*J180</f>
        <v>8342.4</v>
      </c>
      <c r="L180" s="103">
        <f>10+1+2+3</f>
        <v>16</v>
      </c>
      <c r="M180" s="141">
        <f>+E180+I180-L180</f>
        <v>176</v>
      </c>
      <c r="N180" s="154"/>
      <c r="O180" s="103" t="s">
        <v>945</v>
      </c>
      <c r="P180" s="137">
        <f t="shared" si="16"/>
        <v>24471.039999999997</v>
      </c>
      <c r="Q180" s="156">
        <v>24</v>
      </c>
    </row>
    <row r="181" spans="1:17" s="8" customFormat="1" ht="15.75" x14ac:dyDescent="0.25">
      <c r="A181" s="106" t="s">
        <v>409</v>
      </c>
      <c r="B181" s="102">
        <v>44193</v>
      </c>
      <c r="C181" s="25" t="s">
        <v>796</v>
      </c>
      <c r="D181" s="25" t="s">
        <v>1122</v>
      </c>
      <c r="E181" s="162">
        <v>3</v>
      </c>
      <c r="F181" s="134">
        <v>352</v>
      </c>
      <c r="G181" s="50">
        <f t="shared" si="18"/>
        <v>1056</v>
      </c>
      <c r="H181" s="103"/>
      <c r="I181" s="144"/>
      <c r="J181" s="104"/>
      <c r="K181" s="103"/>
      <c r="L181" s="103"/>
      <c r="M181" s="141">
        <f t="shared" si="20"/>
        <v>3</v>
      </c>
      <c r="N181" s="103"/>
      <c r="O181" s="103" t="s">
        <v>946</v>
      </c>
      <c r="P181" s="137">
        <f t="shared" si="16"/>
        <v>1056</v>
      </c>
    </row>
    <row r="182" spans="1:17" s="8" customFormat="1" ht="15.75" x14ac:dyDescent="0.25">
      <c r="A182" s="106" t="s">
        <v>410</v>
      </c>
      <c r="B182" s="102">
        <v>44193</v>
      </c>
      <c r="C182" s="25" t="s">
        <v>670</v>
      </c>
      <c r="D182" s="25" t="s">
        <v>1122</v>
      </c>
      <c r="E182" s="164">
        <f>38+19</f>
        <v>57</v>
      </c>
      <c r="F182" s="134">
        <v>67.8</v>
      </c>
      <c r="G182" s="50">
        <f t="shared" si="18"/>
        <v>3864.6</v>
      </c>
      <c r="H182" s="103"/>
      <c r="I182" s="144"/>
      <c r="J182" s="104"/>
      <c r="K182" s="103"/>
      <c r="L182" s="103"/>
      <c r="M182" s="141">
        <f t="shared" si="20"/>
        <v>57</v>
      </c>
      <c r="N182" s="103"/>
      <c r="O182" s="103" t="s">
        <v>946</v>
      </c>
      <c r="P182" s="137">
        <f t="shared" si="16"/>
        <v>3864.6</v>
      </c>
    </row>
    <row r="183" spans="1:17" s="8" customFormat="1" ht="15.75" x14ac:dyDescent="0.25">
      <c r="A183" s="106" t="s">
        <v>411</v>
      </c>
      <c r="B183" s="102">
        <v>44193</v>
      </c>
      <c r="C183" s="25" t="s">
        <v>671</v>
      </c>
      <c r="D183" s="25" t="s">
        <v>1122</v>
      </c>
      <c r="E183" s="164">
        <f>19+19</f>
        <v>38</v>
      </c>
      <c r="F183" s="134">
        <v>67.8</v>
      </c>
      <c r="G183" s="50">
        <f t="shared" si="18"/>
        <v>2576.4</v>
      </c>
      <c r="H183" s="103"/>
      <c r="I183" s="144"/>
      <c r="J183" s="104"/>
      <c r="K183" s="103"/>
      <c r="L183" s="103"/>
      <c r="M183" s="141">
        <f t="shared" si="20"/>
        <v>38</v>
      </c>
      <c r="N183" s="103"/>
      <c r="O183" s="103" t="s">
        <v>946</v>
      </c>
      <c r="P183" s="137">
        <f t="shared" si="16"/>
        <v>2576.4</v>
      </c>
    </row>
    <row r="184" spans="1:17" s="8" customFormat="1" ht="15.75" x14ac:dyDescent="0.25">
      <c r="A184" s="106" t="s">
        <v>412</v>
      </c>
      <c r="B184" s="102">
        <v>44193</v>
      </c>
      <c r="C184" s="25" t="s">
        <v>669</v>
      </c>
      <c r="D184" s="25" t="s">
        <v>1122</v>
      </c>
      <c r="E184" s="165">
        <v>0</v>
      </c>
      <c r="F184" s="134">
        <v>67.8</v>
      </c>
      <c r="G184" s="50">
        <f t="shared" si="18"/>
        <v>0</v>
      </c>
      <c r="H184" s="103"/>
      <c r="I184" s="144"/>
      <c r="J184" s="104"/>
      <c r="K184" s="103"/>
      <c r="L184" s="103"/>
      <c r="M184" s="141">
        <f t="shared" si="20"/>
        <v>0</v>
      </c>
      <c r="N184" s="103"/>
      <c r="O184" s="103" t="s">
        <v>946</v>
      </c>
      <c r="P184" s="137">
        <f t="shared" si="16"/>
        <v>0</v>
      </c>
    </row>
    <row r="185" spans="1:17" s="8" customFormat="1" ht="15.75" x14ac:dyDescent="0.25">
      <c r="A185" s="106" t="s">
        <v>413</v>
      </c>
      <c r="B185" s="102">
        <v>44193</v>
      </c>
      <c r="C185" s="9" t="s">
        <v>672</v>
      </c>
      <c r="D185" s="25" t="s">
        <v>1122</v>
      </c>
      <c r="E185" s="164">
        <v>50</v>
      </c>
      <c r="F185" s="134">
        <v>170.69</v>
      </c>
      <c r="G185" s="50">
        <f t="shared" si="18"/>
        <v>8534.5</v>
      </c>
      <c r="H185" s="103"/>
      <c r="I185" s="144"/>
      <c r="J185" s="104"/>
      <c r="K185" s="103"/>
      <c r="L185" s="103"/>
      <c r="M185" s="141">
        <f t="shared" si="20"/>
        <v>50</v>
      </c>
      <c r="N185" s="103"/>
      <c r="O185" s="103" t="s">
        <v>947</v>
      </c>
      <c r="P185" s="137">
        <f t="shared" si="16"/>
        <v>8534.5</v>
      </c>
    </row>
    <row r="186" spans="1:17" s="8" customFormat="1" ht="15.75" x14ac:dyDescent="0.25">
      <c r="A186" s="106" t="s">
        <v>414</v>
      </c>
      <c r="B186" s="102">
        <v>44193</v>
      </c>
      <c r="C186" s="9" t="s">
        <v>673</v>
      </c>
      <c r="D186" s="25" t="s">
        <v>1122</v>
      </c>
      <c r="E186" s="164">
        <v>1040</v>
      </c>
      <c r="F186" s="134">
        <v>170.69</v>
      </c>
      <c r="G186" s="50">
        <f t="shared" si="18"/>
        <v>177517.6</v>
      </c>
      <c r="H186" s="103"/>
      <c r="I186" s="144"/>
      <c r="J186" s="104"/>
      <c r="K186" s="103"/>
      <c r="L186" s="103"/>
      <c r="M186" s="141">
        <f t="shared" si="20"/>
        <v>1040</v>
      </c>
      <c r="N186" s="103"/>
      <c r="O186" s="103" t="s">
        <v>947</v>
      </c>
      <c r="P186" s="137">
        <f t="shared" si="16"/>
        <v>177517.6</v>
      </c>
    </row>
    <row r="187" spans="1:17" s="8" customFormat="1" ht="15.75" x14ac:dyDescent="0.25">
      <c r="A187" s="106" t="s">
        <v>415</v>
      </c>
      <c r="B187" s="102">
        <v>44193</v>
      </c>
      <c r="C187" s="9" t="s">
        <v>674</v>
      </c>
      <c r="D187" s="25" t="s">
        <v>1122</v>
      </c>
      <c r="E187" s="169">
        <v>1</v>
      </c>
      <c r="F187" s="134">
        <v>170.69</v>
      </c>
      <c r="G187" s="50">
        <f t="shared" si="18"/>
        <v>170.69</v>
      </c>
      <c r="H187" s="103"/>
      <c r="I187" s="144"/>
      <c r="J187" s="104"/>
      <c r="K187" s="103"/>
      <c r="L187" s="103"/>
      <c r="M187" s="141">
        <f t="shared" si="20"/>
        <v>1</v>
      </c>
      <c r="N187" s="103"/>
      <c r="O187" s="103" t="s">
        <v>947</v>
      </c>
      <c r="P187" s="137">
        <f t="shared" si="16"/>
        <v>170.69</v>
      </c>
    </row>
    <row r="188" spans="1:17" s="8" customFormat="1" ht="15.75" x14ac:dyDescent="0.25">
      <c r="A188" s="106" t="s">
        <v>416</v>
      </c>
      <c r="B188" s="102">
        <v>44193</v>
      </c>
      <c r="C188" s="9" t="s">
        <v>675</v>
      </c>
      <c r="D188" s="25" t="s">
        <v>1122</v>
      </c>
      <c r="E188" s="161">
        <v>300</v>
      </c>
      <c r="F188" s="134">
        <v>6.5</v>
      </c>
      <c r="G188" s="50">
        <f t="shared" si="18"/>
        <v>1950</v>
      </c>
      <c r="H188" s="103"/>
      <c r="I188" s="144"/>
      <c r="J188" s="104"/>
      <c r="K188" s="103"/>
      <c r="L188" s="103">
        <v>5</v>
      </c>
      <c r="M188" s="141">
        <f t="shared" si="20"/>
        <v>295</v>
      </c>
      <c r="N188" s="103"/>
      <c r="O188" s="103" t="s">
        <v>947</v>
      </c>
      <c r="P188" s="137">
        <f t="shared" si="16"/>
        <v>1917.5</v>
      </c>
    </row>
    <row r="189" spans="1:17" s="8" customFormat="1" ht="15.75" x14ac:dyDescent="0.25">
      <c r="A189" s="106" t="s">
        <v>417</v>
      </c>
      <c r="B189" s="102">
        <v>44193</v>
      </c>
      <c r="C189" s="9" t="s">
        <v>676</v>
      </c>
      <c r="D189" s="25" t="s">
        <v>1122</v>
      </c>
      <c r="E189" s="161">
        <v>2</v>
      </c>
      <c r="F189" s="134">
        <v>3.5</v>
      </c>
      <c r="G189" s="50">
        <f t="shared" si="18"/>
        <v>7</v>
      </c>
      <c r="H189" s="103"/>
      <c r="I189" s="144"/>
      <c r="J189" s="104"/>
      <c r="K189" s="103"/>
      <c r="L189" s="103"/>
      <c r="M189" s="141">
        <f t="shared" si="20"/>
        <v>2</v>
      </c>
      <c r="N189" s="103"/>
      <c r="O189" s="103" t="s">
        <v>947</v>
      </c>
      <c r="P189" s="137">
        <f t="shared" si="16"/>
        <v>7</v>
      </c>
    </row>
    <row r="190" spans="1:17" s="8" customFormat="1" ht="15.75" x14ac:dyDescent="0.25">
      <c r="A190" s="106" t="s">
        <v>418</v>
      </c>
      <c r="B190" s="102">
        <v>44193</v>
      </c>
      <c r="C190" s="25" t="s">
        <v>678</v>
      </c>
      <c r="D190" s="25" t="s">
        <v>1122</v>
      </c>
      <c r="E190" s="161">
        <v>5</v>
      </c>
      <c r="F190" s="134">
        <v>5000</v>
      </c>
      <c r="G190" s="50">
        <f t="shared" si="18"/>
        <v>25000</v>
      </c>
      <c r="H190" s="103"/>
      <c r="I190" s="144"/>
      <c r="J190" s="104"/>
      <c r="K190" s="103"/>
      <c r="L190" s="103"/>
      <c r="M190" s="141">
        <f t="shared" si="20"/>
        <v>5</v>
      </c>
      <c r="N190" s="103"/>
      <c r="O190" s="103" t="s">
        <v>946</v>
      </c>
      <c r="P190" s="137">
        <f t="shared" si="16"/>
        <v>25000</v>
      </c>
    </row>
    <row r="191" spans="1:17" s="8" customFormat="1" ht="15.75" x14ac:dyDescent="0.25">
      <c r="A191" s="106" t="s">
        <v>419</v>
      </c>
      <c r="B191" s="102">
        <v>44193</v>
      </c>
      <c r="C191" s="25" t="s">
        <v>677</v>
      </c>
      <c r="D191" s="25" t="s">
        <v>1122</v>
      </c>
      <c r="E191" s="161">
        <v>2</v>
      </c>
      <c r="F191" s="134">
        <v>10800</v>
      </c>
      <c r="G191" s="50">
        <f t="shared" si="18"/>
        <v>21600</v>
      </c>
      <c r="H191" s="103"/>
      <c r="I191" s="144"/>
      <c r="J191" s="104"/>
      <c r="K191" s="103"/>
      <c r="L191" s="103"/>
      <c r="M191" s="141">
        <f t="shared" si="20"/>
        <v>2</v>
      </c>
      <c r="N191" s="103"/>
      <c r="O191" s="103" t="s">
        <v>946</v>
      </c>
      <c r="P191" s="137">
        <f t="shared" si="16"/>
        <v>21600</v>
      </c>
    </row>
    <row r="192" spans="1:17" s="8" customFormat="1" ht="15.75" x14ac:dyDescent="0.25">
      <c r="A192" s="106" t="s">
        <v>420</v>
      </c>
      <c r="B192" s="102">
        <v>44193</v>
      </c>
      <c r="C192" s="9" t="s">
        <v>679</v>
      </c>
      <c r="D192" s="25" t="s">
        <v>1122</v>
      </c>
      <c r="E192" s="162">
        <v>29</v>
      </c>
      <c r="F192" s="134">
        <v>33</v>
      </c>
      <c r="G192" s="50">
        <f t="shared" si="18"/>
        <v>957</v>
      </c>
      <c r="H192" s="103"/>
      <c r="I192" s="144"/>
      <c r="J192" s="104"/>
      <c r="K192" s="103"/>
      <c r="L192" s="103"/>
      <c r="M192" s="141">
        <f t="shared" si="20"/>
        <v>29</v>
      </c>
      <c r="N192" s="103"/>
      <c r="O192" s="103" t="s">
        <v>947</v>
      </c>
      <c r="P192" s="137">
        <f t="shared" si="16"/>
        <v>957</v>
      </c>
    </row>
    <row r="193" spans="1:16" s="8" customFormat="1" ht="15.75" x14ac:dyDescent="0.25">
      <c r="A193" s="106" t="s">
        <v>421</v>
      </c>
      <c r="B193" s="129">
        <v>45042</v>
      </c>
      <c r="C193" s="9" t="s">
        <v>1035</v>
      </c>
      <c r="D193" s="25" t="s">
        <v>1122</v>
      </c>
      <c r="E193" s="161">
        <f>8*12</f>
        <v>96</v>
      </c>
      <c r="F193" s="134">
        <v>15</v>
      </c>
      <c r="G193" s="50">
        <f t="shared" si="18"/>
        <v>1440</v>
      </c>
      <c r="H193" s="107">
        <v>45042</v>
      </c>
      <c r="I193" s="144">
        <f>20*12</f>
        <v>240</v>
      </c>
      <c r="J193" s="104">
        <v>11.51</v>
      </c>
      <c r="K193" s="104">
        <f>+J193*I193</f>
        <v>2762.4</v>
      </c>
      <c r="L193" s="103">
        <f>12+6+12+12+12+12+12+24</f>
        <v>102</v>
      </c>
      <c r="M193" s="151">
        <f t="shared" si="20"/>
        <v>234</v>
      </c>
      <c r="N193" s="103"/>
      <c r="O193" s="103" t="s">
        <v>947</v>
      </c>
      <c r="P193" s="137">
        <f t="shared" si="16"/>
        <v>3510</v>
      </c>
    </row>
    <row r="194" spans="1:16" s="8" customFormat="1" ht="15.75" x14ac:dyDescent="0.25">
      <c r="A194" s="106" t="s">
        <v>422</v>
      </c>
      <c r="B194" s="102">
        <v>44547</v>
      </c>
      <c r="C194" s="9" t="s">
        <v>777</v>
      </c>
      <c r="D194" s="25" t="s">
        <v>1122</v>
      </c>
      <c r="E194" s="161">
        <v>27</v>
      </c>
      <c r="F194" s="134">
        <v>8.34</v>
      </c>
      <c r="G194" s="50">
        <f t="shared" si="18"/>
        <v>225.18</v>
      </c>
      <c r="H194" s="103"/>
      <c r="I194" s="144"/>
      <c r="J194" s="104"/>
      <c r="K194" s="103"/>
      <c r="L194" s="103"/>
      <c r="M194" s="141">
        <f t="shared" si="20"/>
        <v>27</v>
      </c>
      <c r="N194" s="103"/>
      <c r="O194" s="103" t="s">
        <v>947</v>
      </c>
      <c r="P194" s="137">
        <f t="shared" si="16"/>
        <v>225.18</v>
      </c>
    </row>
    <row r="195" spans="1:16" s="8" customFormat="1" ht="15.75" x14ac:dyDescent="0.25">
      <c r="A195" s="106" t="s">
        <v>423</v>
      </c>
      <c r="B195" s="102">
        <v>44193</v>
      </c>
      <c r="C195" s="9" t="s">
        <v>1222</v>
      </c>
      <c r="D195" s="25" t="s">
        <v>1122</v>
      </c>
      <c r="E195" s="161">
        <f>12+8</f>
        <v>20</v>
      </c>
      <c r="F195" s="134">
        <v>8.34</v>
      </c>
      <c r="G195" s="50">
        <f t="shared" si="18"/>
        <v>166.8</v>
      </c>
      <c r="H195" s="103"/>
      <c r="I195" s="144">
        <v>12</v>
      </c>
      <c r="J195" s="104"/>
      <c r="K195" s="103"/>
      <c r="L195" s="103">
        <v>12</v>
      </c>
      <c r="M195" s="151">
        <f t="shared" si="20"/>
        <v>20</v>
      </c>
      <c r="N195" s="103"/>
      <c r="O195" s="103" t="s">
        <v>947</v>
      </c>
      <c r="P195" s="137">
        <f t="shared" si="16"/>
        <v>166.8</v>
      </c>
    </row>
    <row r="196" spans="1:16" s="8" customFormat="1" ht="15.75" x14ac:dyDescent="0.25">
      <c r="A196" s="106" t="s">
        <v>424</v>
      </c>
      <c r="B196" s="102">
        <v>45042</v>
      </c>
      <c r="C196" s="9" t="s">
        <v>681</v>
      </c>
      <c r="D196" s="25" t="s">
        <v>1122</v>
      </c>
      <c r="E196" s="161">
        <v>139</v>
      </c>
      <c r="F196" s="134">
        <v>5.6</v>
      </c>
      <c r="G196" s="50">
        <f t="shared" si="18"/>
        <v>778.4</v>
      </c>
      <c r="H196" s="103"/>
      <c r="I196" s="144">
        <f>20*12</f>
        <v>240</v>
      </c>
      <c r="J196" s="104">
        <v>4.43</v>
      </c>
      <c r="K196" s="104">
        <f>+J196*I196</f>
        <v>1063.1999999999998</v>
      </c>
      <c r="L196" s="103">
        <f>188+3+12+4+12+12</f>
        <v>231</v>
      </c>
      <c r="M196" s="151">
        <f t="shared" si="20"/>
        <v>148</v>
      </c>
      <c r="N196" s="103"/>
      <c r="O196" s="103" t="s">
        <v>947</v>
      </c>
      <c r="P196" s="137">
        <f t="shared" si="16"/>
        <v>828.8</v>
      </c>
    </row>
    <row r="197" spans="1:16" s="92" customFormat="1" x14ac:dyDescent="0.3">
      <c r="A197" s="106" t="s">
        <v>425</v>
      </c>
      <c r="B197" s="102">
        <v>44193</v>
      </c>
      <c r="C197" s="9" t="s">
        <v>684</v>
      </c>
      <c r="D197" s="25" t="s">
        <v>1122</v>
      </c>
      <c r="E197" s="161">
        <v>79</v>
      </c>
      <c r="F197" s="134">
        <v>160</v>
      </c>
      <c r="G197" s="50">
        <f t="shared" si="18"/>
        <v>12640</v>
      </c>
      <c r="H197" s="103"/>
      <c r="I197" s="144"/>
      <c r="J197" s="104"/>
      <c r="K197" s="103"/>
      <c r="L197" s="103">
        <v>1</v>
      </c>
      <c r="M197" s="141">
        <f t="shared" si="20"/>
        <v>78</v>
      </c>
      <c r="N197" s="103"/>
      <c r="O197" s="103" t="s">
        <v>945</v>
      </c>
      <c r="P197" s="137">
        <f t="shared" si="16"/>
        <v>12480</v>
      </c>
    </row>
    <row r="198" spans="1:16" s="105" customFormat="1" ht="15.75" x14ac:dyDescent="0.25">
      <c r="A198" s="106" t="s">
        <v>426</v>
      </c>
      <c r="B198" s="129">
        <v>45042</v>
      </c>
      <c r="C198" s="9" t="s">
        <v>787</v>
      </c>
      <c r="D198" s="25" t="s">
        <v>1122</v>
      </c>
      <c r="E198" s="161">
        <v>18</v>
      </c>
      <c r="F198" s="134">
        <v>38.65</v>
      </c>
      <c r="G198" s="50">
        <f t="shared" si="18"/>
        <v>695.69999999999993</v>
      </c>
      <c r="H198" s="107"/>
      <c r="I198" s="144">
        <v>10</v>
      </c>
      <c r="J198" s="104">
        <v>58</v>
      </c>
      <c r="K198" s="103">
        <f>+J198*I198</f>
        <v>580</v>
      </c>
      <c r="L198" s="103">
        <v>3</v>
      </c>
      <c r="M198" s="151">
        <f t="shared" si="20"/>
        <v>25</v>
      </c>
      <c r="N198" s="103" t="s">
        <v>1037</v>
      </c>
      <c r="O198" s="103" t="s">
        <v>947</v>
      </c>
      <c r="P198" s="137">
        <f t="shared" si="16"/>
        <v>966.25</v>
      </c>
    </row>
    <row r="199" spans="1:16" s="8" customFormat="1" ht="15.75" x14ac:dyDescent="0.25">
      <c r="A199" s="106" t="s">
        <v>427</v>
      </c>
      <c r="B199" s="102"/>
      <c r="C199" s="25" t="s">
        <v>1224</v>
      </c>
      <c r="D199" s="25" t="s">
        <v>1122</v>
      </c>
      <c r="E199" s="162">
        <v>56</v>
      </c>
      <c r="F199" s="134"/>
      <c r="G199" s="50"/>
      <c r="H199" s="103"/>
      <c r="I199" s="144"/>
      <c r="J199" s="104"/>
      <c r="K199" s="103"/>
      <c r="L199" s="103"/>
      <c r="M199" s="141">
        <f t="shared" si="20"/>
        <v>56</v>
      </c>
      <c r="N199" s="103"/>
      <c r="O199" s="103" t="s">
        <v>947</v>
      </c>
      <c r="P199" s="137">
        <f t="shared" si="16"/>
        <v>0</v>
      </c>
    </row>
    <row r="200" spans="1:16" s="105" customFormat="1" ht="15.75" x14ac:dyDescent="0.25">
      <c r="A200" s="106" t="s">
        <v>428</v>
      </c>
      <c r="B200" s="129">
        <v>45042</v>
      </c>
      <c r="C200" s="9" t="s">
        <v>780</v>
      </c>
      <c r="D200" s="25" t="s">
        <v>1122</v>
      </c>
      <c r="E200" s="161">
        <v>8</v>
      </c>
      <c r="F200" s="171">
        <v>310.33999999999997</v>
      </c>
      <c r="G200" s="50">
        <f>E200*F200</f>
        <v>2482.7199999999998</v>
      </c>
      <c r="H200" s="107">
        <v>45042</v>
      </c>
      <c r="I200" s="144">
        <v>10</v>
      </c>
      <c r="J200" s="104">
        <v>310.33999999999997</v>
      </c>
      <c r="K200" s="104">
        <f>+J200*I200</f>
        <v>3103.3999999999996</v>
      </c>
      <c r="L200" s="103">
        <v>2</v>
      </c>
      <c r="M200" s="151">
        <f t="shared" si="20"/>
        <v>16</v>
      </c>
      <c r="N200" s="103" t="s">
        <v>1037</v>
      </c>
      <c r="O200" s="103" t="s">
        <v>947</v>
      </c>
      <c r="P200" s="137">
        <f t="shared" si="16"/>
        <v>4965.4399999999996</v>
      </c>
    </row>
    <row r="201" spans="1:16" s="8" customFormat="1" ht="15.75" x14ac:dyDescent="0.25">
      <c r="A201" s="106" t="s">
        <v>429</v>
      </c>
      <c r="B201" s="102"/>
      <c r="C201" s="25" t="s">
        <v>783</v>
      </c>
      <c r="D201" s="25" t="s">
        <v>1122</v>
      </c>
      <c r="E201" s="162">
        <v>15</v>
      </c>
      <c r="F201" s="134"/>
      <c r="G201" s="50"/>
      <c r="H201" s="103"/>
      <c r="I201" s="144"/>
      <c r="J201" s="104"/>
      <c r="K201" s="103"/>
      <c r="L201" s="103"/>
      <c r="M201" s="141">
        <f t="shared" si="20"/>
        <v>15</v>
      </c>
      <c r="N201" s="103"/>
      <c r="O201" s="103" t="s">
        <v>947</v>
      </c>
      <c r="P201" s="137">
        <f t="shared" si="16"/>
        <v>0</v>
      </c>
    </row>
    <row r="202" spans="1:16" s="8" customFormat="1" ht="15.75" x14ac:dyDescent="0.25">
      <c r="A202" s="106" t="s">
        <v>430</v>
      </c>
      <c r="B202" s="102">
        <v>44193</v>
      </c>
      <c r="C202" s="9" t="s">
        <v>687</v>
      </c>
      <c r="D202" s="25" t="s">
        <v>1122</v>
      </c>
      <c r="E202" s="165">
        <v>2</v>
      </c>
      <c r="F202" s="134">
        <v>175</v>
      </c>
      <c r="G202" s="50">
        <f t="shared" ref="G202:G260" si="21">E202*F202</f>
        <v>350</v>
      </c>
      <c r="H202" s="103"/>
      <c r="I202" s="144"/>
      <c r="J202" s="104"/>
      <c r="K202" s="103"/>
      <c r="L202" s="103"/>
      <c r="M202" s="141">
        <f t="shared" si="20"/>
        <v>2</v>
      </c>
      <c r="N202" s="103"/>
      <c r="O202" s="103" t="s">
        <v>947</v>
      </c>
      <c r="P202" s="137">
        <f t="shared" si="16"/>
        <v>350</v>
      </c>
    </row>
    <row r="203" spans="1:16" s="8" customFormat="1" ht="15.75" x14ac:dyDescent="0.25">
      <c r="A203" s="106" t="s">
        <v>431</v>
      </c>
      <c r="B203" s="102">
        <v>44193</v>
      </c>
      <c r="C203" s="25" t="s">
        <v>695</v>
      </c>
      <c r="D203" s="25" t="s">
        <v>1122</v>
      </c>
      <c r="E203" s="162">
        <v>1</v>
      </c>
      <c r="F203" s="134">
        <v>270.55</v>
      </c>
      <c r="G203" s="50">
        <f t="shared" si="21"/>
        <v>270.55</v>
      </c>
      <c r="H203" s="103"/>
      <c r="I203" s="144"/>
      <c r="J203" s="104"/>
      <c r="K203" s="103"/>
      <c r="L203" s="103"/>
      <c r="M203" s="141">
        <f t="shared" si="20"/>
        <v>1</v>
      </c>
      <c r="N203" s="103"/>
      <c r="O203" s="103" t="s">
        <v>946</v>
      </c>
      <c r="P203" s="137">
        <f t="shared" si="16"/>
        <v>270.55</v>
      </c>
    </row>
    <row r="204" spans="1:16" s="8" customFormat="1" ht="15.75" x14ac:dyDescent="0.25">
      <c r="A204" s="106" t="s">
        <v>432</v>
      </c>
      <c r="B204" s="102">
        <v>44193</v>
      </c>
      <c r="C204" s="25" t="s">
        <v>688</v>
      </c>
      <c r="D204" s="25" t="s">
        <v>1122</v>
      </c>
      <c r="E204" s="166">
        <v>3</v>
      </c>
      <c r="F204" s="134">
        <v>79.8</v>
      </c>
      <c r="G204" s="50">
        <f t="shared" si="21"/>
        <v>239.39999999999998</v>
      </c>
      <c r="H204" s="103"/>
      <c r="I204" s="144"/>
      <c r="J204" s="104"/>
      <c r="K204" s="103"/>
      <c r="L204" s="103"/>
      <c r="M204" s="141">
        <f t="shared" si="20"/>
        <v>3</v>
      </c>
      <c r="N204" s="103"/>
      <c r="O204" s="103" t="s">
        <v>946</v>
      </c>
      <c r="P204" s="137">
        <f t="shared" si="16"/>
        <v>239.39999999999998</v>
      </c>
    </row>
    <row r="205" spans="1:16" s="8" customFormat="1" ht="15.75" x14ac:dyDescent="0.25">
      <c r="A205" s="106" t="s">
        <v>433</v>
      </c>
      <c r="B205" s="102">
        <v>44193</v>
      </c>
      <c r="C205" s="25" t="s">
        <v>689</v>
      </c>
      <c r="D205" s="25" t="s">
        <v>1122</v>
      </c>
      <c r="E205" s="164">
        <v>7</v>
      </c>
      <c r="F205" s="134">
        <v>79.8</v>
      </c>
      <c r="G205" s="50">
        <f t="shared" si="21"/>
        <v>558.6</v>
      </c>
      <c r="H205" s="103"/>
      <c r="I205" s="144"/>
      <c r="J205" s="104"/>
      <c r="K205" s="103"/>
      <c r="L205" s="103"/>
      <c r="M205" s="141">
        <f t="shared" si="20"/>
        <v>7</v>
      </c>
      <c r="N205" s="103"/>
      <c r="O205" s="103" t="s">
        <v>946</v>
      </c>
      <c r="P205" s="137">
        <f t="shared" si="16"/>
        <v>558.6</v>
      </c>
    </row>
    <row r="206" spans="1:16" s="8" customFormat="1" ht="15.75" x14ac:dyDescent="0.25">
      <c r="A206" s="106" t="s">
        <v>434</v>
      </c>
      <c r="B206" s="102">
        <v>44193</v>
      </c>
      <c r="C206" s="25" t="s">
        <v>690</v>
      </c>
      <c r="D206" s="25" t="s">
        <v>1122</v>
      </c>
      <c r="E206" s="170">
        <v>7</v>
      </c>
      <c r="F206" s="134">
        <v>62.93</v>
      </c>
      <c r="G206" s="50">
        <f t="shared" si="21"/>
        <v>440.51</v>
      </c>
      <c r="H206" s="103"/>
      <c r="I206" s="144"/>
      <c r="J206" s="104"/>
      <c r="K206" s="103"/>
      <c r="L206" s="103"/>
      <c r="M206" s="141">
        <f t="shared" si="20"/>
        <v>7</v>
      </c>
      <c r="N206" s="103"/>
      <c r="O206" s="103" t="s">
        <v>946</v>
      </c>
      <c r="P206" s="137">
        <f t="shared" si="16"/>
        <v>440.51</v>
      </c>
    </row>
    <row r="207" spans="1:16" s="8" customFormat="1" ht="15.75" x14ac:dyDescent="0.25">
      <c r="A207" s="106" t="s">
        <v>435</v>
      </c>
      <c r="B207" s="102">
        <v>44193</v>
      </c>
      <c r="C207" s="25" t="s">
        <v>691</v>
      </c>
      <c r="D207" s="25" t="s">
        <v>1122</v>
      </c>
      <c r="E207" s="170">
        <v>21</v>
      </c>
      <c r="F207" s="134">
        <v>165</v>
      </c>
      <c r="G207" s="50">
        <f t="shared" si="21"/>
        <v>3465</v>
      </c>
      <c r="H207" s="103"/>
      <c r="I207" s="144"/>
      <c r="J207" s="104"/>
      <c r="K207" s="103"/>
      <c r="L207" s="103"/>
      <c r="M207" s="141">
        <f t="shared" si="20"/>
        <v>21</v>
      </c>
      <c r="N207" s="103"/>
      <c r="O207" s="103" t="s">
        <v>946</v>
      </c>
      <c r="P207" s="137">
        <f t="shared" si="16"/>
        <v>3465</v>
      </c>
    </row>
    <row r="208" spans="1:16" s="8" customFormat="1" ht="15.75" x14ac:dyDescent="0.25">
      <c r="A208" s="106" t="s">
        <v>436</v>
      </c>
      <c r="B208" s="102">
        <v>44193</v>
      </c>
      <c r="C208" s="25" t="s">
        <v>791</v>
      </c>
      <c r="D208" s="25" t="s">
        <v>1122</v>
      </c>
      <c r="E208" s="162">
        <v>18</v>
      </c>
      <c r="F208" s="134">
        <v>52</v>
      </c>
      <c r="G208" s="50">
        <f t="shared" si="21"/>
        <v>936</v>
      </c>
      <c r="H208" s="103"/>
      <c r="I208" s="144"/>
      <c r="J208" s="104"/>
      <c r="K208" s="103"/>
      <c r="L208" s="103">
        <v>1</v>
      </c>
      <c r="M208" s="141">
        <f t="shared" si="20"/>
        <v>17</v>
      </c>
      <c r="N208" s="103"/>
      <c r="O208" s="103" t="s">
        <v>946</v>
      </c>
      <c r="P208" s="137">
        <f t="shared" si="16"/>
        <v>884</v>
      </c>
    </row>
    <row r="209" spans="1:16" s="8" customFormat="1" ht="15.75" x14ac:dyDescent="0.25">
      <c r="A209" s="106" t="s">
        <v>437</v>
      </c>
      <c r="B209" s="102">
        <v>44193</v>
      </c>
      <c r="C209" s="25" t="s">
        <v>790</v>
      </c>
      <c r="D209" s="25" t="s">
        <v>1122</v>
      </c>
      <c r="E209" s="162">
        <v>11</v>
      </c>
      <c r="F209" s="134">
        <v>79.8</v>
      </c>
      <c r="G209" s="50">
        <f t="shared" si="21"/>
        <v>877.8</v>
      </c>
      <c r="H209" s="103"/>
      <c r="I209" s="144"/>
      <c r="J209" s="104"/>
      <c r="K209" s="103"/>
      <c r="L209" s="103"/>
      <c r="M209" s="141">
        <f t="shared" si="20"/>
        <v>11</v>
      </c>
      <c r="N209" s="103"/>
      <c r="O209" s="103" t="s">
        <v>946</v>
      </c>
      <c r="P209" s="137">
        <f t="shared" si="16"/>
        <v>877.8</v>
      </c>
    </row>
    <row r="210" spans="1:16" s="8" customFormat="1" ht="15.75" x14ac:dyDescent="0.25">
      <c r="A210" s="106" t="s">
        <v>438</v>
      </c>
      <c r="B210" s="102">
        <v>44193</v>
      </c>
      <c r="C210" s="25" t="s">
        <v>693</v>
      </c>
      <c r="D210" s="25" t="s">
        <v>1122</v>
      </c>
      <c r="E210" s="162">
        <v>1</v>
      </c>
      <c r="F210" s="134">
        <v>2075</v>
      </c>
      <c r="G210" s="50">
        <f t="shared" si="21"/>
        <v>2075</v>
      </c>
      <c r="H210" s="103"/>
      <c r="I210" s="144"/>
      <c r="J210" s="104"/>
      <c r="K210" s="103"/>
      <c r="L210" s="103"/>
      <c r="M210" s="141">
        <f t="shared" si="20"/>
        <v>1</v>
      </c>
      <c r="N210" s="103"/>
      <c r="O210" s="103" t="s">
        <v>946</v>
      </c>
      <c r="P210" s="137">
        <f t="shared" si="16"/>
        <v>2075</v>
      </c>
    </row>
    <row r="211" spans="1:16" s="8" customFormat="1" ht="15.75" x14ac:dyDescent="0.25">
      <c r="A211" s="106" t="s">
        <v>439</v>
      </c>
      <c r="B211" s="102">
        <v>44193</v>
      </c>
      <c r="C211" s="25" t="s">
        <v>692</v>
      </c>
      <c r="D211" s="25" t="s">
        <v>1122</v>
      </c>
      <c r="E211" s="170">
        <v>18</v>
      </c>
      <c r="F211" s="134">
        <v>165</v>
      </c>
      <c r="G211" s="50">
        <f t="shared" si="21"/>
        <v>2970</v>
      </c>
      <c r="H211" s="103"/>
      <c r="I211" s="144"/>
      <c r="J211" s="104"/>
      <c r="K211" s="103"/>
      <c r="L211" s="103"/>
      <c r="M211" s="141">
        <f t="shared" si="20"/>
        <v>18</v>
      </c>
      <c r="N211" s="103"/>
      <c r="O211" s="103" t="s">
        <v>946</v>
      </c>
      <c r="P211" s="137">
        <f t="shared" si="16"/>
        <v>2970</v>
      </c>
    </row>
    <row r="212" spans="1:16" s="8" customFormat="1" ht="15.75" x14ac:dyDescent="0.25">
      <c r="A212" s="106" t="s">
        <v>440</v>
      </c>
      <c r="B212" s="102">
        <v>44193</v>
      </c>
      <c r="C212" s="25" t="s">
        <v>697</v>
      </c>
      <c r="D212" s="25" t="s">
        <v>1122</v>
      </c>
      <c r="E212" s="162">
        <v>20</v>
      </c>
      <c r="F212" s="134">
        <v>79.8</v>
      </c>
      <c r="G212" s="50">
        <f t="shared" si="21"/>
        <v>1596</v>
      </c>
      <c r="H212" s="103"/>
      <c r="I212" s="144"/>
      <c r="J212" s="104"/>
      <c r="K212" s="103"/>
      <c r="L212" s="103"/>
      <c r="M212" s="141">
        <f t="shared" si="20"/>
        <v>20</v>
      </c>
      <c r="N212" s="103"/>
      <c r="O212" s="103" t="s">
        <v>946</v>
      </c>
      <c r="P212" s="137">
        <f t="shared" si="16"/>
        <v>1596</v>
      </c>
    </row>
    <row r="213" spans="1:16" s="8" customFormat="1" ht="15.75" x14ac:dyDescent="0.25">
      <c r="A213" s="106" t="s">
        <v>441</v>
      </c>
      <c r="B213" s="102">
        <v>44193</v>
      </c>
      <c r="C213" s="25" t="s">
        <v>696</v>
      </c>
      <c r="D213" s="25" t="s">
        <v>1122</v>
      </c>
      <c r="E213" s="162">
        <v>9</v>
      </c>
      <c r="F213" s="134">
        <v>79.8</v>
      </c>
      <c r="G213" s="50">
        <f t="shared" si="21"/>
        <v>718.19999999999993</v>
      </c>
      <c r="H213" s="103"/>
      <c r="I213" s="144"/>
      <c r="J213" s="104"/>
      <c r="K213" s="103"/>
      <c r="L213" s="103">
        <v>1</v>
      </c>
      <c r="M213" s="141">
        <f t="shared" si="20"/>
        <v>8</v>
      </c>
      <c r="N213" s="103"/>
      <c r="O213" s="103" t="s">
        <v>946</v>
      </c>
      <c r="P213" s="137">
        <f t="shared" si="16"/>
        <v>638.4</v>
      </c>
    </row>
    <row r="214" spans="1:16" s="8" customFormat="1" ht="15.75" x14ac:dyDescent="0.25">
      <c r="A214" s="106" t="s">
        <v>442</v>
      </c>
      <c r="B214" s="102"/>
      <c r="C214" s="25" t="s">
        <v>808</v>
      </c>
      <c r="D214" s="25" t="s">
        <v>1122</v>
      </c>
      <c r="E214" s="162">
        <v>9</v>
      </c>
      <c r="F214" s="134">
        <v>352</v>
      </c>
      <c r="G214" s="50">
        <f t="shared" si="21"/>
        <v>3168</v>
      </c>
      <c r="H214" s="103"/>
      <c r="I214" s="144"/>
      <c r="J214" s="104"/>
      <c r="K214" s="103"/>
      <c r="L214" s="103"/>
      <c r="M214" s="141">
        <f t="shared" si="20"/>
        <v>9</v>
      </c>
      <c r="N214" s="103"/>
      <c r="O214" s="103" t="s">
        <v>946</v>
      </c>
      <c r="P214" s="137">
        <f t="shared" si="16"/>
        <v>3168</v>
      </c>
    </row>
    <row r="215" spans="1:16" s="92" customFormat="1" x14ac:dyDescent="0.3">
      <c r="A215" s="106" t="s">
        <v>443</v>
      </c>
      <c r="B215" s="129">
        <v>45127</v>
      </c>
      <c r="C215" s="25" t="s">
        <v>698</v>
      </c>
      <c r="D215" s="25" t="s">
        <v>1122</v>
      </c>
      <c r="E215" s="162">
        <v>4</v>
      </c>
      <c r="F215" s="134">
        <v>676.5</v>
      </c>
      <c r="G215" s="50">
        <f t="shared" si="21"/>
        <v>2706</v>
      </c>
      <c r="H215" s="103">
        <v>45127</v>
      </c>
      <c r="I215" s="144">
        <v>18</v>
      </c>
      <c r="J215" s="104">
        <v>676.5</v>
      </c>
      <c r="K215" s="103">
        <v>676.5</v>
      </c>
      <c r="L215" s="103"/>
      <c r="M215" s="151">
        <f t="shared" si="20"/>
        <v>22</v>
      </c>
      <c r="N215" s="103"/>
      <c r="O215" s="103" t="s">
        <v>945</v>
      </c>
      <c r="P215" s="137">
        <f>+F215*M215</f>
        <v>14883</v>
      </c>
    </row>
    <row r="216" spans="1:16" s="92" customFormat="1" x14ac:dyDescent="0.3">
      <c r="A216" s="106" t="s">
        <v>444</v>
      </c>
      <c r="B216" s="102">
        <v>44193</v>
      </c>
      <c r="C216" s="25" t="s">
        <v>699</v>
      </c>
      <c r="D216" s="25" t="s">
        <v>1122</v>
      </c>
      <c r="E216" s="162">
        <v>15</v>
      </c>
      <c r="F216" s="134">
        <v>140</v>
      </c>
      <c r="G216" s="50">
        <f t="shared" si="21"/>
        <v>2100</v>
      </c>
      <c r="H216" s="103"/>
      <c r="I216" s="144"/>
      <c r="J216" s="104"/>
      <c r="K216" s="103"/>
      <c r="L216" s="103">
        <v>1</v>
      </c>
      <c r="M216" s="141">
        <f t="shared" si="20"/>
        <v>14</v>
      </c>
      <c r="N216" s="103"/>
      <c r="O216" s="103" t="s">
        <v>945</v>
      </c>
      <c r="P216" s="137">
        <f t="shared" si="16"/>
        <v>1960</v>
      </c>
    </row>
    <row r="217" spans="1:16" s="8" customFormat="1" ht="15.75" x14ac:dyDescent="0.25">
      <c r="A217" s="106" t="s">
        <v>445</v>
      </c>
      <c r="B217" s="102">
        <v>44193</v>
      </c>
      <c r="C217" s="9" t="s">
        <v>706</v>
      </c>
      <c r="D217" s="25" t="s">
        <v>1122</v>
      </c>
      <c r="E217" s="106">
        <v>1</v>
      </c>
      <c r="F217" s="134">
        <v>5250</v>
      </c>
      <c r="G217" s="50">
        <f t="shared" si="21"/>
        <v>5250</v>
      </c>
      <c r="H217" s="103"/>
      <c r="I217" s="144"/>
      <c r="J217" s="104"/>
      <c r="K217" s="103"/>
      <c r="L217" s="103"/>
      <c r="M217" s="141">
        <f t="shared" si="20"/>
        <v>1</v>
      </c>
      <c r="N217" s="103"/>
      <c r="O217" s="103" t="s">
        <v>947</v>
      </c>
      <c r="P217" s="137">
        <f t="shared" ref="P217:P280" si="22">+F217*M217</f>
        <v>5250</v>
      </c>
    </row>
    <row r="218" spans="1:16" s="8" customFormat="1" ht="15.75" x14ac:dyDescent="0.25">
      <c r="A218" s="106" t="s">
        <v>446</v>
      </c>
      <c r="B218" s="102">
        <v>44193</v>
      </c>
      <c r="C218" s="9" t="s">
        <v>700</v>
      </c>
      <c r="D218" s="25" t="s">
        <v>1122</v>
      </c>
      <c r="E218" s="106">
        <f>9+12+12+24</f>
        <v>57</v>
      </c>
      <c r="F218" s="134">
        <v>12.93</v>
      </c>
      <c r="G218" s="50">
        <f t="shared" si="21"/>
        <v>737.01</v>
      </c>
      <c r="H218" s="103"/>
      <c r="I218" s="144"/>
      <c r="J218" s="104"/>
      <c r="K218" s="103"/>
      <c r="L218" s="103"/>
      <c r="M218" s="141">
        <f t="shared" si="20"/>
        <v>57</v>
      </c>
      <c r="N218" s="103"/>
      <c r="O218" s="103" t="s">
        <v>947</v>
      </c>
      <c r="P218" s="137">
        <f t="shared" si="22"/>
        <v>737.01</v>
      </c>
    </row>
    <row r="219" spans="1:16" s="8" customFormat="1" ht="15.75" x14ac:dyDescent="0.25">
      <c r="A219" s="106" t="s">
        <v>447</v>
      </c>
      <c r="B219" s="102">
        <v>44193</v>
      </c>
      <c r="C219" s="9" t="s">
        <v>701</v>
      </c>
      <c r="D219" s="25" t="s">
        <v>1122</v>
      </c>
      <c r="E219" s="106">
        <f>16+12+12</f>
        <v>40</v>
      </c>
      <c r="F219" s="134">
        <v>14.37</v>
      </c>
      <c r="G219" s="50">
        <f t="shared" si="21"/>
        <v>574.79999999999995</v>
      </c>
      <c r="H219" s="103"/>
      <c r="I219" s="144"/>
      <c r="J219" s="104"/>
      <c r="K219" s="103"/>
      <c r="L219" s="103"/>
      <c r="M219" s="141">
        <f t="shared" si="20"/>
        <v>40</v>
      </c>
      <c r="N219" s="103"/>
      <c r="O219" s="103" t="s">
        <v>947</v>
      </c>
      <c r="P219" s="137">
        <f t="shared" si="22"/>
        <v>574.79999999999995</v>
      </c>
    </row>
    <row r="220" spans="1:16" s="8" customFormat="1" ht="15.75" x14ac:dyDescent="0.25">
      <c r="A220" s="106" t="s">
        <v>448</v>
      </c>
      <c r="B220" s="102">
        <v>44193</v>
      </c>
      <c r="C220" s="9" t="s">
        <v>702</v>
      </c>
      <c r="D220" s="25" t="s">
        <v>1122</v>
      </c>
      <c r="E220" s="106">
        <v>6</v>
      </c>
      <c r="F220" s="134">
        <v>35</v>
      </c>
      <c r="G220" s="50">
        <f t="shared" si="21"/>
        <v>210</v>
      </c>
      <c r="H220" s="103"/>
      <c r="I220" s="144"/>
      <c r="J220" s="104"/>
      <c r="K220" s="103"/>
      <c r="L220" s="103"/>
      <c r="M220" s="141">
        <f t="shared" si="20"/>
        <v>6</v>
      </c>
      <c r="N220" s="103"/>
      <c r="O220" s="103" t="s">
        <v>947</v>
      </c>
      <c r="P220" s="137">
        <f t="shared" si="22"/>
        <v>210</v>
      </c>
    </row>
    <row r="221" spans="1:16" s="8" customFormat="1" ht="15.75" x14ac:dyDescent="0.25">
      <c r="A221" s="106" t="s">
        <v>449</v>
      </c>
      <c r="B221" s="102">
        <v>44193</v>
      </c>
      <c r="C221" s="9" t="s">
        <v>703</v>
      </c>
      <c r="D221" s="25" t="s">
        <v>1122</v>
      </c>
      <c r="E221" s="106"/>
      <c r="F221" s="134">
        <v>30</v>
      </c>
      <c r="G221" s="50">
        <f t="shared" si="21"/>
        <v>0</v>
      </c>
      <c r="H221" s="103"/>
      <c r="I221" s="144"/>
      <c r="J221" s="104"/>
      <c r="K221" s="103"/>
      <c r="L221" s="103"/>
      <c r="M221" s="141">
        <f t="shared" si="20"/>
        <v>0</v>
      </c>
      <c r="N221" s="103"/>
      <c r="O221" s="103" t="s">
        <v>947</v>
      </c>
      <c r="P221" s="137">
        <f t="shared" si="22"/>
        <v>0</v>
      </c>
    </row>
    <row r="222" spans="1:16" s="8" customFormat="1" ht="15.75" x14ac:dyDescent="0.25">
      <c r="A222" s="106" t="s">
        <v>450</v>
      </c>
      <c r="B222" s="102">
        <v>44193</v>
      </c>
      <c r="C222" s="9" t="s">
        <v>704</v>
      </c>
      <c r="D222" s="25" t="s">
        <v>1122</v>
      </c>
      <c r="E222" s="106">
        <v>1300</v>
      </c>
      <c r="F222" s="134">
        <v>2.6</v>
      </c>
      <c r="G222" s="50">
        <f t="shared" si="21"/>
        <v>3380</v>
      </c>
      <c r="H222" s="103"/>
      <c r="I222" s="144"/>
      <c r="J222" s="104"/>
      <c r="K222" s="103"/>
      <c r="L222" s="103">
        <v>1150</v>
      </c>
      <c r="M222" s="151">
        <f t="shared" si="20"/>
        <v>150</v>
      </c>
      <c r="N222" s="103"/>
      <c r="O222" s="103" t="s">
        <v>947</v>
      </c>
      <c r="P222" s="137">
        <f t="shared" si="22"/>
        <v>390</v>
      </c>
    </row>
    <row r="223" spans="1:16" s="8" customFormat="1" ht="15.75" x14ac:dyDescent="0.25">
      <c r="A223" s="106" t="s">
        <v>451</v>
      </c>
      <c r="B223" s="102">
        <v>44193</v>
      </c>
      <c r="C223" s="9" t="s">
        <v>705</v>
      </c>
      <c r="D223" s="25" t="s">
        <v>1122</v>
      </c>
      <c r="E223" s="106">
        <v>1</v>
      </c>
      <c r="F223" s="134">
        <v>728.81</v>
      </c>
      <c r="G223" s="50">
        <f t="shared" si="21"/>
        <v>728.81</v>
      </c>
      <c r="H223" s="103"/>
      <c r="I223" s="144"/>
      <c r="J223" s="104"/>
      <c r="K223" s="103"/>
      <c r="L223" s="103"/>
      <c r="M223" s="141">
        <f t="shared" si="20"/>
        <v>1</v>
      </c>
      <c r="N223" s="103"/>
      <c r="O223" s="103" t="s">
        <v>947</v>
      </c>
      <c r="P223" s="137">
        <f t="shared" si="22"/>
        <v>728.81</v>
      </c>
    </row>
    <row r="224" spans="1:16" s="8" customFormat="1" ht="15.75" x14ac:dyDescent="0.25">
      <c r="A224" s="106" t="s">
        <v>452</v>
      </c>
      <c r="B224" s="102">
        <v>44193</v>
      </c>
      <c r="C224" s="9" t="s">
        <v>709</v>
      </c>
      <c r="D224" s="25" t="s">
        <v>1122</v>
      </c>
      <c r="E224" s="166">
        <v>2</v>
      </c>
      <c r="F224" s="134">
        <v>350</v>
      </c>
      <c r="G224" s="50">
        <f t="shared" si="21"/>
        <v>700</v>
      </c>
      <c r="H224" s="103"/>
      <c r="I224" s="144"/>
      <c r="J224" s="104"/>
      <c r="K224" s="103"/>
      <c r="L224" s="103"/>
      <c r="M224" s="141">
        <f t="shared" si="20"/>
        <v>2</v>
      </c>
      <c r="N224" s="103"/>
      <c r="O224" s="103" t="s">
        <v>947</v>
      </c>
      <c r="P224" s="137">
        <f t="shared" si="22"/>
        <v>700</v>
      </c>
    </row>
    <row r="225" spans="1:16" s="8" customFormat="1" ht="15.75" x14ac:dyDescent="0.25">
      <c r="A225" s="106" t="s">
        <v>453</v>
      </c>
      <c r="B225" s="102">
        <v>44193</v>
      </c>
      <c r="C225" s="9" t="s">
        <v>707</v>
      </c>
      <c r="D225" s="25" t="s">
        <v>1122</v>
      </c>
      <c r="E225" s="106">
        <v>5</v>
      </c>
      <c r="F225" s="134">
        <v>595</v>
      </c>
      <c r="G225" s="50">
        <f t="shared" si="21"/>
        <v>2975</v>
      </c>
      <c r="H225" s="103"/>
      <c r="I225" s="144"/>
      <c r="J225" s="104"/>
      <c r="K225" s="103"/>
      <c r="L225" s="103"/>
      <c r="M225" s="141">
        <f t="shared" si="20"/>
        <v>5</v>
      </c>
      <c r="N225" s="103"/>
      <c r="O225" s="103" t="s">
        <v>947</v>
      </c>
      <c r="P225" s="137">
        <f t="shared" si="22"/>
        <v>2975</v>
      </c>
    </row>
    <row r="226" spans="1:16" s="8" customFormat="1" ht="15.75" x14ac:dyDescent="0.25">
      <c r="A226" s="106" t="s">
        <v>454</v>
      </c>
      <c r="B226" s="102">
        <v>44193</v>
      </c>
      <c r="C226" s="9" t="s">
        <v>868</v>
      </c>
      <c r="D226" s="25" t="s">
        <v>1122</v>
      </c>
      <c r="E226" s="106">
        <v>2</v>
      </c>
      <c r="F226" s="134">
        <v>300</v>
      </c>
      <c r="G226" s="50">
        <f t="shared" si="21"/>
        <v>600</v>
      </c>
      <c r="H226" s="103"/>
      <c r="I226" s="144"/>
      <c r="J226" s="104"/>
      <c r="K226" s="103"/>
      <c r="L226" s="103"/>
      <c r="M226" s="141">
        <f t="shared" si="20"/>
        <v>2</v>
      </c>
      <c r="N226" s="103"/>
      <c r="O226" s="103" t="s">
        <v>947</v>
      </c>
      <c r="P226" s="137">
        <f t="shared" si="22"/>
        <v>600</v>
      </c>
    </row>
    <row r="227" spans="1:16" s="8" customFormat="1" ht="15.75" x14ac:dyDescent="0.25">
      <c r="A227" s="106" t="s">
        <v>455</v>
      </c>
      <c r="B227" s="102">
        <v>44193</v>
      </c>
      <c r="C227" s="25" t="s">
        <v>710</v>
      </c>
      <c r="D227" s="25" t="s">
        <v>1122</v>
      </c>
      <c r="E227" s="165">
        <v>0</v>
      </c>
      <c r="F227" s="134">
        <v>3950</v>
      </c>
      <c r="G227" s="50">
        <f t="shared" si="21"/>
        <v>0</v>
      </c>
      <c r="H227" s="103"/>
      <c r="I227" s="144"/>
      <c r="J227" s="104"/>
      <c r="K227" s="103"/>
      <c r="L227" s="103"/>
      <c r="M227" s="141">
        <f t="shared" si="20"/>
        <v>0</v>
      </c>
      <c r="N227" s="103"/>
      <c r="O227" s="103" t="s">
        <v>947</v>
      </c>
      <c r="P227" s="137">
        <f t="shared" si="22"/>
        <v>0</v>
      </c>
    </row>
    <row r="228" spans="1:16" s="8" customFormat="1" ht="15.75" x14ac:dyDescent="0.25">
      <c r="A228" s="106" t="s">
        <v>456</v>
      </c>
      <c r="B228" s="106" t="s">
        <v>108</v>
      </c>
      <c r="C228" s="25" t="s">
        <v>714</v>
      </c>
      <c r="D228" s="25" t="s">
        <v>1122</v>
      </c>
      <c r="E228" s="164">
        <v>6</v>
      </c>
      <c r="F228" s="171">
        <v>11000</v>
      </c>
      <c r="G228" s="50">
        <f t="shared" si="21"/>
        <v>66000</v>
      </c>
      <c r="H228" s="103"/>
      <c r="I228" s="144"/>
      <c r="J228" s="104"/>
      <c r="K228" s="103"/>
      <c r="L228" s="103"/>
      <c r="M228" s="141">
        <f t="shared" si="20"/>
        <v>6</v>
      </c>
      <c r="N228" s="103"/>
      <c r="O228" s="103" t="s">
        <v>947</v>
      </c>
      <c r="P228" s="137">
        <f t="shared" si="22"/>
        <v>66000</v>
      </c>
    </row>
    <row r="229" spans="1:16" s="8" customFormat="1" ht="15.75" x14ac:dyDescent="0.25">
      <c r="A229" s="106" t="s">
        <v>457</v>
      </c>
      <c r="B229" s="102">
        <v>44652</v>
      </c>
      <c r="C229" s="25" t="s">
        <v>856</v>
      </c>
      <c r="D229" s="25" t="s">
        <v>1122</v>
      </c>
      <c r="E229" s="162">
        <v>5</v>
      </c>
      <c r="F229" s="173">
        <v>1700</v>
      </c>
      <c r="G229" s="50">
        <f t="shared" si="21"/>
        <v>8500</v>
      </c>
      <c r="H229" s="103"/>
      <c r="I229" s="144"/>
      <c r="J229" s="104"/>
      <c r="K229" s="103"/>
      <c r="L229" s="103"/>
      <c r="M229" s="141">
        <f t="shared" si="20"/>
        <v>5</v>
      </c>
      <c r="N229" s="103"/>
      <c r="O229" s="103" t="s">
        <v>946</v>
      </c>
      <c r="P229" s="137">
        <f t="shared" si="22"/>
        <v>8500</v>
      </c>
    </row>
    <row r="230" spans="1:16" s="8" customFormat="1" ht="15.75" x14ac:dyDescent="0.25">
      <c r="A230" s="106" t="s">
        <v>458</v>
      </c>
      <c r="B230" s="102">
        <v>44193</v>
      </c>
      <c r="C230" s="25" t="s">
        <v>712</v>
      </c>
      <c r="D230" s="25" t="s">
        <v>1122</v>
      </c>
      <c r="E230" s="165">
        <v>0</v>
      </c>
      <c r="F230" s="134">
        <v>148.31</v>
      </c>
      <c r="G230" s="50">
        <f t="shared" si="21"/>
        <v>0</v>
      </c>
      <c r="H230" s="103"/>
      <c r="I230" s="144"/>
      <c r="J230" s="104"/>
      <c r="K230" s="103"/>
      <c r="L230" s="103"/>
      <c r="M230" s="141">
        <f t="shared" si="20"/>
        <v>0</v>
      </c>
      <c r="N230" s="103"/>
      <c r="O230" s="103" t="s">
        <v>946</v>
      </c>
      <c r="P230" s="137">
        <f t="shared" si="22"/>
        <v>0</v>
      </c>
    </row>
    <row r="231" spans="1:16" s="8" customFormat="1" ht="15.75" x14ac:dyDescent="0.25">
      <c r="A231" s="106" t="s">
        <v>459</v>
      </c>
      <c r="B231" s="102">
        <v>44193</v>
      </c>
      <c r="C231" s="25" t="s">
        <v>713</v>
      </c>
      <c r="D231" s="25" t="s">
        <v>1122</v>
      </c>
      <c r="E231" s="165">
        <v>0</v>
      </c>
      <c r="F231" s="134">
        <v>122.88</v>
      </c>
      <c r="G231" s="50">
        <f t="shared" si="21"/>
        <v>0</v>
      </c>
      <c r="H231" s="103"/>
      <c r="I231" s="144"/>
      <c r="J231" s="104"/>
      <c r="K231" s="103"/>
      <c r="L231" s="103"/>
      <c r="M231" s="141">
        <f t="shared" si="20"/>
        <v>0</v>
      </c>
      <c r="N231" s="103"/>
      <c r="O231" s="103" t="s">
        <v>946</v>
      </c>
      <c r="P231" s="137">
        <f t="shared" si="22"/>
        <v>0</v>
      </c>
    </row>
    <row r="232" spans="1:16" s="8" customFormat="1" ht="15.75" x14ac:dyDescent="0.25">
      <c r="A232" s="106" t="s">
        <v>460</v>
      </c>
      <c r="B232" s="102">
        <v>44193</v>
      </c>
      <c r="C232" s="25" t="s">
        <v>847</v>
      </c>
      <c r="D232" s="25" t="s">
        <v>1122</v>
      </c>
      <c r="E232" s="165">
        <v>0</v>
      </c>
      <c r="F232" s="134">
        <v>0</v>
      </c>
      <c r="G232" s="50">
        <f t="shared" si="21"/>
        <v>0</v>
      </c>
      <c r="H232" s="103"/>
      <c r="I232" s="144"/>
      <c r="J232" s="104"/>
      <c r="K232" s="103"/>
      <c r="L232" s="103"/>
      <c r="M232" s="141">
        <f t="shared" si="20"/>
        <v>0</v>
      </c>
      <c r="N232" s="103"/>
      <c r="O232" s="103" t="s">
        <v>946</v>
      </c>
      <c r="P232" s="137">
        <f t="shared" si="22"/>
        <v>0</v>
      </c>
    </row>
    <row r="233" spans="1:16" s="8" customFormat="1" ht="15.75" x14ac:dyDescent="0.25">
      <c r="A233" s="106" t="s">
        <v>461</v>
      </c>
      <c r="B233" s="167">
        <v>44851</v>
      </c>
      <c r="C233" s="25" t="s">
        <v>711</v>
      </c>
      <c r="D233" s="25" t="s">
        <v>1122</v>
      </c>
      <c r="E233" s="165">
        <v>0</v>
      </c>
      <c r="F233" s="134">
        <v>156.35</v>
      </c>
      <c r="G233" s="50">
        <f t="shared" si="21"/>
        <v>0</v>
      </c>
      <c r="H233" s="124">
        <v>44851</v>
      </c>
      <c r="I233" s="144">
        <v>100</v>
      </c>
      <c r="J233" s="126">
        <v>156.35</v>
      </c>
      <c r="K233" s="127">
        <f>+I233*J233</f>
        <v>15635</v>
      </c>
      <c r="L233" s="125">
        <f>2+1+1+1+2</f>
        <v>7</v>
      </c>
      <c r="M233" s="141">
        <f t="shared" si="20"/>
        <v>93</v>
      </c>
      <c r="N233" s="103"/>
      <c r="O233" s="103" t="s">
        <v>946</v>
      </c>
      <c r="P233" s="137">
        <f t="shared" si="22"/>
        <v>14540.55</v>
      </c>
    </row>
    <row r="234" spans="1:16" s="92" customFormat="1" x14ac:dyDescent="0.3">
      <c r="A234" s="106" t="s">
        <v>462</v>
      </c>
      <c r="B234" s="102">
        <v>44193</v>
      </c>
      <c r="C234" s="25" t="s">
        <v>716</v>
      </c>
      <c r="D234" s="25" t="s">
        <v>1122</v>
      </c>
      <c r="E234" s="165">
        <v>0</v>
      </c>
      <c r="F234" s="171">
        <v>82</v>
      </c>
      <c r="G234" s="50">
        <f t="shared" si="21"/>
        <v>0</v>
      </c>
      <c r="H234" s="125"/>
      <c r="I234" s="144"/>
      <c r="J234" s="126"/>
      <c r="K234" s="125"/>
      <c r="L234" s="125">
        <v>2</v>
      </c>
      <c r="M234" s="141">
        <f t="shared" si="20"/>
        <v>-2</v>
      </c>
      <c r="N234" s="103"/>
      <c r="O234" s="103" t="s">
        <v>945</v>
      </c>
      <c r="P234" s="137">
        <f t="shared" si="22"/>
        <v>-164</v>
      </c>
    </row>
    <row r="235" spans="1:16" s="92" customFormat="1" x14ac:dyDescent="0.3">
      <c r="A235" s="106" t="s">
        <v>463</v>
      </c>
      <c r="B235" s="102">
        <v>44193</v>
      </c>
      <c r="C235" s="25" t="s">
        <v>717</v>
      </c>
      <c r="D235" s="25" t="s">
        <v>1122</v>
      </c>
      <c r="E235" s="165">
        <v>0</v>
      </c>
      <c r="F235" s="171">
        <v>14.29</v>
      </c>
      <c r="G235" s="50">
        <f t="shared" si="21"/>
        <v>0</v>
      </c>
      <c r="H235" s="103"/>
      <c r="I235" s="144"/>
      <c r="J235" s="104"/>
      <c r="K235" s="103"/>
      <c r="L235" s="103"/>
      <c r="M235" s="141">
        <f t="shared" si="20"/>
        <v>0</v>
      </c>
      <c r="N235" s="103"/>
      <c r="O235" s="103" t="s">
        <v>945</v>
      </c>
      <c r="P235" s="137">
        <f t="shared" si="22"/>
        <v>0</v>
      </c>
    </row>
    <row r="236" spans="1:16" s="92" customFormat="1" x14ac:dyDescent="0.3">
      <c r="A236" s="106" t="s">
        <v>464</v>
      </c>
      <c r="B236" s="106" t="s">
        <v>770</v>
      </c>
      <c r="C236" s="25" t="s">
        <v>715</v>
      </c>
      <c r="D236" s="25" t="s">
        <v>1122</v>
      </c>
      <c r="E236" s="165">
        <v>6</v>
      </c>
      <c r="F236" s="171">
        <v>82</v>
      </c>
      <c r="G236" s="50">
        <f t="shared" si="21"/>
        <v>492</v>
      </c>
      <c r="H236" s="103"/>
      <c r="I236" s="144"/>
      <c r="J236" s="104"/>
      <c r="K236" s="103"/>
      <c r="L236" s="103"/>
      <c r="M236" s="141">
        <f t="shared" si="20"/>
        <v>6</v>
      </c>
      <c r="N236" s="103"/>
      <c r="O236" s="103" t="s">
        <v>945</v>
      </c>
      <c r="P236" s="137">
        <f t="shared" si="22"/>
        <v>492</v>
      </c>
    </row>
    <row r="237" spans="1:16" s="8" customFormat="1" ht="15.75" x14ac:dyDescent="0.25">
      <c r="A237" s="106" t="s">
        <v>465</v>
      </c>
      <c r="B237" s="106" t="s">
        <v>108</v>
      </c>
      <c r="C237" s="25" t="s">
        <v>718</v>
      </c>
      <c r="D237" s="25" t="s">
        <v>1122</v>
      </c>
      <c r="E237" s="165">
        <v>0</v>
      </c>
      <c r="F237" s="171">
        <v>6375</v>
      </c>
      <c r="G237" s="50">
        <f t="shared" si="21"/>
        <v>0</v>
      </c>
      <c r="H237" s="103"/>
      <c r="I237" s="144"/>
      <c r="J237" s="104"/>
      <c r="K237" s="103"/>
      <c r="L237" s="103">
        <v>1</v>
      </c>
      <c r="M237" s="141">
        <f t="shared" si="20"/>
        <v>-1</v>
      </c>
      <c r="N237" s="103"/>
      <c r="O237" s="103" t="s">
        <v>946</v>
      </c>
      <c r="P237" s="137">
        <f t="shared" si="22"/>
        <v>-6375</v>
      </c>
    </row>
    <row r="238" spans="1:16" s="8" customFormat="1" ht="15.75" x14ac:dyDescent="0.25">
      <c r="A238" s="106" t="s">
        <v>466</v>
      </c>
      <c r="B238" s="102">
        <v>44193</v>
      </c>
      <c r="C238" s="9" t="s">
        <v>781</v>
      </c>
      <c r="D238" s="25" t="s">
        <v>1122</v>
      </c>
      <c r="E238" s="106">
        <v>2</v>
      </c>
      <c r="F238" s="134">
        <v>725</v>
      </c>
      <c r="G238" s="50">
        <f t="shared" si="21"/>
        <v>1450</v>
      </c>
      <c r="H238" s="103"/>
      <c r="I238" s="144"/>
      <c r="J238" s="104"/>
      <c r="K238" s="103"/>
      <c r="L238" s="103"/>
      <c r="M238" s="141">
        <f t="shared" si="20"/>
        <v>2</v>
      </c>
      <c r="N238" s="103"/>
      <c r="O238" s="103" t="s">
        <v>947</v>
      </c>
      <c r="P238" s="137">
        <f t="shared" si="22"/>
        <v>1450</v>
      </c>
    </row>
    <row r="239" spans="1:16" s="8" customFormat="1" ht="15.75" x14ac:dyDescent="0.25">
      <c r="A239" s="106" t="s">
        <v>467</v>
      </c>
      <c r="B239" s="129">
        <v>45042</v>
      </c>
      <c r="C239" s="9" t="s">
        <v>1168</v>
      </c>
      <c r="D239" s="25" t="s">
        <v>1122</v>
      </c>
      <c r="E239" s="161">
        <v>40</v>
      </c>
      <c r="F239" s="134">
        <v>326.62</v>
      </c>
      <c r="G239" s="50">
        <f t="shared" si="21"/>
        <v>13064.8</v>
      </c>
      <c r="H239" s="107">
        <v>45042</v>
      </c>
      <c r="I239" s="144">
        <v>50</v>
      </c>
      <c r="J239" s="104">
        <v>279.66000000000003</v>
      </c>
      <c r="K239" s="104">
        <f>+J239*I239</f>
        <v>13983.000000000002</v>
      </c>
      <c r="L239" s="103">
        <f>17+1+1+5+1+1+1+2</f>
        <v>29</v>
      </c>
      <c r="M239" s="141">
        <f t="shared" si="20"/>
        <v>61</v>
      </c>
      <c r="N239" s="103" t="s">
        <v>1037</v>
      </c>
      <c r="O239" s="103" t="s">
        <v>947</v>
      </c>
      <c r="P239" s="137">
        <f t="shared" si="22"/>
        <v>19923.82</v>
      </c>
    </row>
    <row r="240" spans="1:16" s="8" customFormat="1" ht="15.75" x14ac:dyDescent="0.25">
      <c r="A240" s="106" t="s">
        <v>468</v>
      </c>
      <c r="B240" s="102">
        <v>44193</v>
      </c>
      <c r="C240" s="9" t="s">
        <v>722</v>
      </c>
      <c r="D240" s="25" t="s">
        <v>1122</v>
      </c>
      <c r="E240" s="106">
        <v>100</v>
      </c>
      <c r="F240" s="134">
        <v>2.25</v>
      </c>
      <c r="G240" s="50">
        <f t="shared" si="21"/>
        <v>225</v>
      </c>
      <c r="H240" s="103"/>
      <c r="I240" s="144"/>
      <c r="J240" s="104"/>
      <c r="K240" s="104">
        <f t="shared" ref="K240:K251" si="23">+J240*I240</f>
        <v>0</v>
      </c>
      <c r="L240" s="103">
        <v>5</v>
      </c>
      <c r="M240" s="141">
        <f t="shared" ref="M240:M303" si="24">+E240+I240-L240</f>
        <v>95</v>
      </c>
      <c r="N240" s="103"/>
      <c r="O240" s="103" t="s">
        <v>947</v>
      </c>
      <c r="P240" s="137">
        <f t="shared" si="22"/>
        <v>213.75</v>
      </c>
    </row>
    <row r="241" spans="1:16" s="105" customFormat="1" ht="15.75" x14ac:dyDescent="0.25">
      <c r="A241" s="106" t="s">
        <v>469</v>
      </c>
      <c r="B241" s="129">
        <v>44852</v>
      </c>
      <c r="C241" s="9" t="s">
        <v>1039</v>
      </c>
      <c r="D241" s="25" t="s">
        <v>1122</v>
      </c>
      <c r="E241" s="106">
        <v>7</v>
      </c>
      <c r="F241" s="134">
        <v>428.22</v>
      </c>
      <c r="G241" s="50">
        <f t="shared" si="21"/>
        <v>2997.54</v>
      </c>
      <c r="H241" s="107">
        <v>44852</v>
      </c>
      <c r="I241" s="144">
        <f>2*10</f>
        <v>20</v>
      </c>
      <c r="J241" s="104">
        <v>428.22</v>
      </c>
      <c r="K241" s="104">
        <f t="shared" si="23"/>
        <v>8564.4000000000015</v>
      </c>
      <c r="L241" s="103">
        <v>4</v>
      </c>
      <c r="M241" s="141">
        <f t="shared" si="24"/>
        <v>23</v>
      </c>
      <c r="N241" s="103" t="s">
        <v>1037</v>
      </c>
      <c r="O241" s="103" t="s">
        <v>947</v>
      </c>
      <c r="P241" s="137">
        <f t="shared" si="22"/>
        <v>9849.0600000000013</v>
      </c>
    </row>
    <row r="242" spans="1:16" s="8" customFormat="1" ht="15.75" x14ac:dyDescent="0.25">
      <c r="A242" s="106" t="s">
        <v>470</v>
      </c>
      <c r="B242" s="129">
        <v>44852</v>
      </c>
      <c r="C242" s="9" t="s">
        <v>725</v>
      </c>
      <c r="D242" s="25" t="s">
        <v>1122</v>
      </c>
      <c r="E242" s="106">
        <v>61</v>
      </c>
      <c r="F242" s="134">
        <v>21.69</v>
      </c>
      <c r="G242" s="50">
        <f t="shared" si="21"/>
        <v>1323.0900000000001</v>
      </c>
      <c r="H242" s="107">
        <v>44852</v>
      </c>
      <c r="I242" s="144">
        <v>2</v>
      </c>
      <c r="J242" s="104">
        <v>21.69</v>
      </c>
      <c r="K242" s="104">
        <f t="shared" si="23"/>
        <v>43.38</v>
      </c>
      <c r="L242" s="103">
        <v>16</v>
      </c>
      <c r="M242" s="141">
        <f t="shared" si="24"/>
        <v>47</v>
      </c>
      <c r="N242" s="103" t="s">
        <v>1037</v>
      </c>
      <c r="O242" s="103" t="s">
        <v>947</v>
      </c>
      <c r="P242" s="137">
        <f t="shared" si="22"/>
        <v>1019.4300000000001</v>
      </c>
    </row>
    <row r="243" spans="1:16" s="105" customFormat="1" ht="15.75" x14ac:dyDescent="0.25">
      <c r="A243" s="106" t="s">
        <v>466</v>
      </c>
      <c r="B243" s="129">
        <v>44851</v>
      </c>
      <c r="C243" s="9" t="s">
        <v>1228</v>
      </c>
      <c r="D243" s="25" t="s">
        <v>1122</v>
      </c>
      <c r="E243" s="106">
        <v>2</v>
      </c>
      <c r="F243" s="134">
        <v>857.86</v>
      </c>
      <c r="G243" s="50">
        <f t="shared" si="21"/>
        <v>1715.72</v>
      </c>
      <c r="H243" s="107">
        <v>44851</v>
      </c>
      <c r="I243" s="144">
        <v>2</v>
      </c>
      <c r="J243" s="104">
        <v>857.86</v>
      </c>
      <c r="K243" s="103">
        <f>+J243*I243</f>
        <v>1715.72</v>
      </c>
      <c r="L243" s="103">
        <v>2</v>
      </c>
      <c r="M243" s="141">
        <f t="shared" si="24"/>
        <v>2</v>
      </c>
      <c r="N243" s="103" t="s">
        <v>1037</v>
      </c>
      <c r="O243" s="103" t="s">
        <v>947</v>
      </c>
      <c r="P243" s="137">
        <f t="shared" si="22"/>
        <v>1715.72</v>
      </c>
    </row>
    <row r="244" spans="1:16" s="8" customFormat="1" ht="15.75" x14ac:dyDescent="0.25">
      <c r="A244" s="106" t="s">
        <v>472</v>
      </c>
      <c r="B244" s="107">
        <v>45127</v>
      </c>
      <c r="C244" s="9" t="s">
        <v>727</v>
      </c>
      <c r="D244" s="25" t="s">
        <v>1122</v>
      </c>
      <c r="E244" s="160">
        <v>92</v>
      </c>
      <c r="F244" s="134">
        <v>133.80000000000001</v>
      </c>
      <c r="G244" s="50">
        <f t="shared" si="21"/>
        <v>12309.6</v>
      </c>
      <c r="H244" s="107">
        <v>45127</v>
      </c>
      <c r="I244" s="144">
        <v>600</v>
      </c>
      <c r="J244" s="104">
        <v>133.80000000000001</v>
      </c>
      <c r="K244" s="104">
        <f t="shared" si="23"/>
        <v>80280</v>
      </c>
      <c r="L244" s="103">
        <v>32</v>
      </c>
      <c r="M244" s="141">
        <f t="shared" si="24"/>
        <v>660</v>
      </c>
      <c r="N244" s="103"/>
      <c r="O244" s="103" t="s">
        <v>947</v>
      </c>
      <c r="P244" s="137">
        <f t="shared" si="22"/>
        <v>88308.000000000015</v>
      </c>
    </row>
    <row r="245" spans="1:16" s="8" customFormat="1" ht="15.75" x14ac:dyDescent="0.25">
      <c r="A245" s="106" t="s">
        <v>473</v>
      </c>
      <c r="B245" s="106" t="s">
        <v>112</v>
      </c>
      <c r="C245" s="25" t="s">
        <v>752</v>
      </c>
      <c r="D245" s="25" t="s">
        <v>1122</v>
      </c>
      <c r="E245" s="162">
        <v>3</v>
      </c>
      <c r="F245" s="134">
        <v>135</v>
      </c>
      <c r="G245" s="50">
        <f t="shared" si="21"/>
        <v>405</v>
      </c>
      <c r="H245" s="103"/>
      <c r="I245" s="144"/>
      <c r="J245" s="104"/>
      <c r="K245" s="104">
        <f t="shared" si="23"/>
        <v>0</v>
      </c>
      <c r="L245" s="103"/>
      <c r="M245" s="141">
        <f t="shared" si="24"/>
        <v>3</v>
      </c>
      <c r="N245" s="103"/>
      <c r="O245" s="103" t="s">
        <v>947</v>
      </c>
      <c r="P245" s="137">
        <f t="shared" si="22"/>
        <v>405</v>
      </c>
    </row>
    <row r="246" spans="1:16" s="105" customFormat="1" ht="15.75" x14ac:dyDescent="0.25">
      <c r="A246" s="106" t="s">
        <v>507</v>
      </c>
      <c r="B246" s="129">
        <v>45042</v>
      </c>
      <c r="C246" s="9" t="s">
        <v>728</v>
      </c>
      <c r="D246" s="25" t="s">
        <v>1122</v>
      </c>
      <c r="E246" s="161">
        <v>15</v>
      </c>
      <c r="F246" s="134">
        <v>206.54</v>
      </c>
      <c r="G246" s="50">
        <f t="shared" si="21"/>
        <v>3098.1</v>
      </c>
      <c r="H246" s="107">
        <v>45042</v>
      </c>
      <c r="I246" s="144">
        <v>10</v>
      </c>
      <c r="J246" s="104">
        <v>206.54</v>
      </c>
      <c r="K246" s="103">
        <f>+J246*I246</f>
        <v>2065.4</v>
      </c>
      <c r="L246" s="103">
        <f>2+1</f>
        <v>3</v>
      </c>
      <c r="M246" s="141">
        <f t="shared" si="24"/>
        <v>22</v>
      </c>
      <c r="N246" s="103" t="s">
        <v>1037</v>
      </c>
      <c r="O246" s="103" t="s">
        <v>947</v>
      </c>
      <c r="P246" s="137">
        <f t="shared" si="22"/>
        <v>4543.88</v>
      </c>
    </row>
    <row r="247" spans="1:16" s="8" customFormat="1" ht="15.75" x14ac:dyDescent="0.25">
      <c r="A247" s="106" t="s">
        <v>508</v>
      </c>
      <c r="B247" s="102">
        <v>44193</v>
      </c>
      <c r="C247" s="9" t="s">
        <v>729</v>
      </c>
      <c r="D247" s="25" t="s">
        <v>1122</v>
      </c>
      <c r="E247" s="161">
        <v>226</v>
      </c>
      <c r="F247" s="134">
        <v>22.2</v>
      </c>
      <c r="G247" s="50">
        <f t="shared" si="21"/>
        <v>5017.2</v>
      </c>
      <c r="H247" s="103"/>
      <c r="I247" s="144"/>
      <c r="J247" s="104"/>
      <c r="K247" s="104">
        <f t="shared" si="23"/>
        <v>0</v>
      </c>
      <c r="L247" s="103">
        <v>6</v>
      </c>
      <c r="M247" s="141">
        <f t="shared" si="24"/>
        <v>220</v>
      </c>
      <c r="N247" s="103"/>
      <c r="O247" s="103" t="s">
        <v>947</v>
      </c>
      <c r="P247" s="137">
        <f t="shared" si="22"/>
        <v>4884</v>
      </c>
    </row>
    <row r="248" spans="1:16" s="8" customFormat="1" ht="15.75" x14ac:dyDescent="0.25">
      <c r="A248" s="106" t="s">
        <v>509</v>
      </c>
      <c r="B248" s="129">
        <v>44610</v>
      </c>
      <c r="C248" s="9" t="s">
        <v>730</v>
      </c>
      <c r="D248" s="25" t="s">
        <v>1122</v>
      </c>
      <c r="E248" s="161">
        <v>2</v>
      </c>
      <c r="F248" s="134">
        <v>284.99</v>
      </c>
      <c r="G248" s="50">
        <f t="shared" si="21"/>
        <v>569.98</v>
      </c>
      <c r="H248" s="107">
        <v>44610</v>
      </c>
      <c r="I248" s="144">
        <v>2</v>
      </c>
      <c r="J248" s="104">
        <v>284.99</v>
      </c>
      <c r="K248" s="104">
        <f t="shared" si="23"/>
        <v>569.98</v>
      </c>
      <c r="L248" s="103"/>
      <c r="M248" s="141">
        <f t="shared" si="24"/>
        <v>4</v>
      </c>
      <c r="N248" s="103" t="s">
        <v>1037</v>
      </c>
      <c r="O248" s="103" t="s">
        <v>947</v>
      </c>
      <c r="P248" s="137">
        <f t="shared" si="22"/>
        <v>1139.96</v>
      </c>
    </row>
    <row r="249" spans="1:16" s="8" customFormat="1" ht="15.75" x14ac:dyDescent="0.25">
      <c r="A249" s="106" t="s">
        <v>869</v>
      </c>
      <c r="B249" s="102">
        <v>44193</v>
      </c>
      <c r="C249" s="25" t="s">
        <v>825</v>
      </c>
      <c r="D249" s="25" t="s">
        <v>1122</v>
      </c>
      <c r="E249" s="162">
        <v>11</v>
      </c>
      <c r="F249" s="134">
        <v>301</v>
      </c>
      <c r="G249" s="50">
        <f t="shared" si="21"/>
        <v>3311</v>
      </c>
      <c r="H249" s="103"/>
      <c r="I249" s="144"/>
      <c r="J249" s="104"/>
      <c r="K249" s="104">
        <f t="shared" si="23"/>
        <v>0</v>
      </c>
      <c r="L249" s="103"/>
      <c r="M249" s="141">
        <f t="shared" si="24"/>
        <v>11</v>
      </c>
      <c r="N249" s="103"/>
      <c r="O249" s="103" t="s">
        <v>947</v>
      </c>
      <c r="P249" s="137">
        <f t="shared" si="22"/>
        <v>3311</v>
      </c>
    </row>
    <row r="250" spans="1:16" s="92" customFormat="1" x14ac:dyDescent="0.3">
      <c r="A250" s="106" t="s">
        <v>512</v>
      </c>
      <c r="B250" s="129">
        <v>45019</v>
      </c>
      <c r="C250" s="25" t="s">
        <v>731</v>
      </c>
      <c r="D250" s="25" t="s">
        <v>1122</v>
      </c>
      <c r="E250" s="161">
        <v>180</v>
      </c>
      <c r="F250" s="171">
        <v>38.19</v>
      </c>
      <c r="G250" s="50">
        <f t="shared" si="21"/>
        <v>6874.2</v>
      </c>
      <c r="H250" s="107">
        <v>45019</v>
      </c>
      <c r="I250" s="144">
        <f>7*48</f>
        <v>336</v>
      </c>
      <c r="J250" s="104">
        <v>38.19</v>
      </c>
      <c r="K250" s="104">
        <f t="shared" si="23"/>
        <v>12831.84</v>
      </c>
      <c r="L250" s="103">
        <f>48+3+3+2+4+6+7+3+3+6+1+6+2+4+14+13</f>
        <v>125</v>
      </c>
      <c r="M250" s="141">
        <f t="shared" si="24"/>
        <v>391</v>
      </c>
      <c r="N250" s="103" t="s">
        <v>1006</v>
      </c>
      <c r="O250" s="103" t="s">
        <v>945</v>
      </c>
      <c r="P250" s="137">
        <f t="shared" si="22"/>
        <v>14932.289999999999</v>
      </c>
    </row>
    <row r="251" spans="1:16" s="105" customFormat="1" ht="15.75" x14ac:dyDescent="0.25">
      <c r="A251" s="106" t="s">
        <v>870</v>
      </c>
      <c r="B251" s="129">
        <v>44852</v>
      </c>
      <c r="C251" s="9" t="s">
        <v>950</v>
      </c>
      <c r="D251" s="25" t="s">
        <v>1122</v>
      </c>
      <c r="E251" s="161">
        <f>52+12</f>
        <v>64</v>
      </c>
      <c r="F251" s="134">
        <v>44.54</v>
      </c>
      <c r="G251" s="50">
        <f t="shared" si="21"/>
        <v>2850.56</v>
      </c>
      <c r="H251" s="107">
        <v>44852</v>
      </c>
      <c r="I251" s="144">
        <v>32</v>
      </c>
      <c r="J251" s="104">
        <v>44.54</v>
      </c>
      <c r="K251" s="104">
        <f t="shared" si="23"/>
        <v>1425.28</v>
      </c>
      <c r="L251" s="103">
        <f>4+4+6</f>
        <v>14</v>
      </c>
      <c r="M251" s="141">
        <f t="shared" si="24"/>
        <v>82</v>
      </c>
      <c r="N251" s="103"/>
      <c r="O251" s="103" t="s">
        <v>945</v>
      </c>
      <c r="P251" s="137">
        <f t="shared" si="22"/>
        <v>3652.2799999999997</v>
      </c>
    </row>
    <row r="252" spans="1:16" s="92" customFormat="1" x14ac:dyDescent="0.3">
      <c r="A252" s="106" t="s">
        <v>513</v>
      </c>
      <c r="B252" s="102">
        <v>44678</v>
      </c>
      <c r="C252" s="25" t="s">
        <v>853</v>
      </c>
      <c r="D252" s="25" t="s">
        <v>1122</v>
      </c>
      <c r="E252" s="169">
        <v>16</v>
      </c>
      <c r="F252" s="134">
        <v>3000</v>
      </c>
      <c r="G252" s="50">
        <f t="shared" si="21"/>
        <v>48000</v>
      </c>
      <c r="H252" s="103"/>
      <c r="I252" s="144"/>
      <c r="J252" s="104"/>
      <c r="K252" s="103"/>
      <c r="L252" s="103"/>
      <c r="M252" s="141">
        <f t="shared" si="24"/>
        <v>16</v>
      </c>
      <c r="N252" s="103"/>
      <c r="O252" s="103" t="s">
        <v>945</v>
      </c>
      <c r="P252" s="137">
        <f t="shared" si="22"/>
        <v>48000</v>
      </c>
    </row>
    <row r="253" spans="1:16" s="92" customFormat="1" x14ac:dyDescent="0.3">
      <c r="A253" s="106" t="s">
        <v>514</v>
      </c>
      <c r="B253" s="102">
        <v>44193</v>
      </c>
      <c r="C253" s="25" t="s">
        <v>734</v>
      </c>
      <c r="D253" s="25" t="s">
        <v>1122</v>
      </c>
      <c r="E253" s="162">
        <v>0</v>
      </c>
      <c r="F253" s="134">
        <v>1500</v>
      </c>
      <c r="G253" s="50">
        <f t="shared" si="21"/>
        <v>0</v>
      </c>
      <c r="H253" s="103"/>
      <c r="I253" s="144"/>
      <c r="J253" s="104"/>
      <c r="K253" s="103"/>
      <c r="L253" s="103"/>
      <c r="M253" s="141">
        <f t="shared" si="24"/>
        <v>0</v>
      </c>
      <c r="N253" s="103"/>
      <c r="O253" s="103" t="s">
        <v>945</v>
      </c>
      <c r="P253" s="137">
        <f t="shared" si="22"/>
        <v>0</v>
      </c>
    </row>
    <row r="254" spans="1:16" s="92" customFormat="1" x14ac:dyDescent="0.3">
      <c r="A254" s="106" t="s">
        <v>871</v>
      </c>
      <c r="B254" s="102">
        <v>44678</v>
      </c>
      <c r="C254" s="25" t="s">
        <v>852</v>
      </c>
      <c r="D254" s="25" t="s">
        <v>1122</v>
      </c>
      <c r="E254" s="170">
        <v>11</v>
      </c>
      <c r="F254" s="134">
        <v>1500</v>
      </c>
      <c r="G254" s="50">
        <f t="shared" si="21"/>
        <v>16500</v>
      </c>
      <c r="H254" s="103"/>
      <c r="I254" s="144"/>
      <c r="J254" s="104"/>
      <c r="K254" s="103"/>
      <c r="L254" s="103"/>
      <c r="M254" s="141">
        <f t="shared" si="24"/>
        <v>11</v>
      </c>
      <c r="N254" s="103"/>
      <c r="O254" s="103" t="s">
        <v>945</v>
      </c>
      <c r="P254" s="137">
        <f t="shared" si="22"/>
        <v>16500</v>
      </c>
    </row>
    <row r="255" spans="1:16" s="92" customFormat="1" x14ac:dyDescent="0.3">
      <c r="A255" s="106" t="s">
        <v>872</v>
      </c>
      <c r="B255" s="102">
        <v>44678</v>
      </c>
      <c r="C255" s="25" t="s">
        <v>735</v>
      </c>
      <c r="D255" s="25" t="s">
        <v>1122</v>
      </c>
      <c r="E255" s="170">
        <v>3</v>
      </c>
      <c r="F255" s="134">
        <v>3800</v>
      </c>
      <c r="G255" s="50">
        <f t="shared" si="21"/>
        <v>11400</v>
      </c>
      <c r="H255" s="103"/>
      <c r="I255" s="144"/>
      <c r="J255" s="104"/>
      <c r="K255" s="103"/>
      <c r="L255" s="103"/>
      <c r="M255" s="141">
        <f t="shared" si="24"/>
        <v>3</v>
      </c>
      <c r="N255" s="103"/>
      <c r="O255" s="103" t="s">
        <v>945</v>
      </c>
      <c r="P255" s="137">
        <f t="shared" si="22"/>
        <v>11400</v>
      </c>
    </row>
    <row r="256" spans="1:16" s="92" customFormat="1" x14ac:dyDescent="0.3">
      <c r="A256" s="106" t="s">
        <v>515</v>
      </c>
      <c r="B256" s="102">
        <v>44678</v>
      </c>
      <c r="C256" s="25" t="s">
        <v>737</v>
      </c>
      <c r="D256" s="25" t="s">
        <v>1122</v>
      </c>
      <c r="E256" s="170">
        <v>2</v>
      </c>
      <c r="F256" s="134">
        <v>1500</v>
      </c>
      <c r="G256" s="50">
        <f t="shared" si="21"/>
        <v>3000</v>
      </c>
      <c r="H256" s="103"/>
      <c r="I256" s="144"/>
      <c r="J256" s="104"/>
      <c r="K256" s="103"/>
      <c r="L256" s="103"/>
      <c r="M256" s="141">
        <f t="shared" si="24"/>
        <v>2</v>
      </c>
      <c r="N256" s="103"/>
      <c r="O256" s="103" t="s">
        <v>945</v>
      </c>
      <c r="P256" s="137">
        <f t="shared" si="22"/>
        <v>3000</v>
      </c>
    </row>
    <row r="257" spans="1:16" s="92" customFormat="1" x14ac:dyDescent="0.3">
      <c r="A257" s="106" t="s">
        <v>516</v>
      </c>
      <c r="B257" s="102">
        <v>44678</v>
      </c>
      <c r="C257" s="25" t="s">
        <v>736</v>
      </c>
      <c r="D257" s="25" t="s">
        <v>1122</v>
      </c>
      <c r="E257" s="170">
        <v>2</v>
      </c>
      <c r="F257" s="134">
        <v>3800</v>
      </c>
      <c r="G257" s="50">
        <f t="shared" si="21"/>
        <v>7600</v>
      </c>
      <c r="H257" s="103"/>
      <c r="I257" s="144"/>
      <c r="J257" s="104"/>
      <c r="K257" s="103"/>
      <c r="L257" s="103"/>
      <c r="M257" s="141">
        <f t="shared" si="24"/>
        <v>2</v>
      </c>
      <c r="N257" s="103"/>
      <c r="O257" s="103" t="s">
        <v>945</v>
      </c>
      <c r="P257" s="137">
        <f t="shared" si="22"/>
        <v>7600</v>
      </c>
    </row>
    <row r="258" spans="1:16" s="92" customFormat="1" x14ac:dyDescent="0.3">
      <c r="A258" s="106" t="s">
        <v>517</v>
      </c>
      <c r="B258" s="102">
        <v>44678</v>
      </c>
      <c r="C258" s="25" t="s">
        <v>738</v>
      </c>
      <c r="D258" s="25" t="s">
        <v>1122</v>
      </c>
      <c r="E258" s="170">
        <v>4</v>
      </c>
      <c r="F258" s="134">
        <v>3800</v>
      </c>
      <c r="G258" s="50">
        <f t="shared" si="21"/>
        <v>15200</v>
      </c>
      <c r="H258" s="103"/>
      <c r="I258" s="144"/>
      <c r="J258" s="104"/>
      <c r="K258" s="103"/>
      <c r="L258" s="103"/>
      <c r="M258" s="141">
        <f t="shared" si="24"/>
        <v>4</v>
      </c>
      <c r="N258" s="103"/>
      <c r="O258" s="103" t="s">
        <v>945</v>
      </c>
      <c r="P258" s="137">
        <f t="shared" si="22"/>
        <v>15200</v>
      </c>
    </row>
    <row r="259" spans="1:16" s="92" customFormat="1" x14ac:dyDescent="0.3">
      <c r="A259" s="106" t="s">
        <v>518</v>
      </c>
      <c r="B259" s="102">
        <v>44678</v>
      </c>
      <c r="C259" s="25" t="s">
        <v>751</v>
      </c>
      <c r="D259" s="25" t="s">
        <v>1122</v>
      </c>
      <c r="E259" s="170">
        <v>16</v>
      </c>
      <c r="F259" s="134">
        <v>3000</v>
      </c>
      <c r="G259" s="50">
        <f t="shared" si="21"/>
        <v>48000</v>
      </c>
      <c r="H259" s="103"/>
      <c r="I259" s="144"/>
      <c r="J259" s="104"/>
      <c r="K259" s="103"/>
      <c r="L259" s="103"/>
      <c r="M259" s="141">
        <f t="shared" si="24"/>
        <v>16</v>
      </c>
      <c r="N259" s="103"/>
      <c r="O259" s="103" t="s">
        <v>945</v>
      </c>
      <c r="P259" s="137">
        <f t="shared" si="22"/>
        <v>48000</v>
      </c>
    </row>
    <row r="260" spans="1:16" s="92" customFormat="1" x14ac:dyDescent="0.3">
      <c r="A260" s="106" t="s">
        <v>519</v>
      </c>
      <c r="B260" s="102">
        <v>44678</v>
      </c>
      <c r="C260" s="25" t="s">
        <v>845</v>
      </c>
      <c r="D260" s="25" t="s">
        <v>1122</v>
      </c>
      <c r="E260" s="162">
        <v>2</v>
      </c>
      <c r="F260" s="134">
        <v>200</v>
      </c>
      <c r="G260" s="50">
        <f t="shared" si="21"/>
        <v>400</v>
      </c>
      <c r="H260" s="103"/>
      <c r="I260" s="144"/>
      <c r="J260" s="104"/>
      <c r="K260" s="103"/>
      <c r="L260" s="103"/>
      <c r="M260" s="141">
        <f t="shared" si="24"/>
        <v>2</v>
      </c>
      <c r="N260" s="103"/>
      <c r="O260" s="103" t="s">
        <v>945</v>
      </c>
      <c r="P260" s="137">
        <f t="shared" si="22"/>
        <v>400</v>
      </c>
    </row>
    <row r="261" spans="1:16" s="8" customFormat="1" ht="15.75" x14ac:dyDescent="0.25">
      <c r="A261" s="106" t="s">
        <v>520</v>
      </c>
      <c r="B261" s="102">
        <v>44193</v>
      </c>
      <c r="C261" s="9" t="s">
        <v>740</v>
      </c>
      <c r="D261" s="25" t="s">
        <v>1122</v>
      </c>
      <c r="E261" s="161">
        <v>3</v>
      </c>
      <c r="F261" s="134">
        <v>75</v>
      </c>
      <c r="G261" s="50">
        <f>E261*F261</f>
        <v>225</v>
      </c>
      <c r="H261" s="103"/>
      <c r="I261" s="144"/>
      <c r="J261" s="104"/>
      <c r="K261" s="103"/>
      <c r="L261" s="103"/>
      <c r="M261" s="141">
        <f t="shared" si="24"/>
        <v>3</v>
      </c>
      <c r="N261" s="103"/>
      <c r="O261" s="103" t="s">
        <v>947</v>
      </c>
      <c r="P261" s="137">
        <f t="shared" si="22"/>
        <v>225</v>
      </c>
    </row>
    <row r="262" spans="1:16" s="8" customFormat="1" ht="15.75" x14ac:dyDescent="0.25">
      <c r="A262" s="106" t="s">
        <v>521</v>
      </c>
      <c r="B262" s="102">
        <v>44193</v>
      </c>
      <c r="C262" s="9" t="s">
        <v>739</v>
      </c>
      <c r="D262" s="25" t="s">
        <v>1122</v>
      </c>
      <c r="E262" s="161">
        <v>300</v>
      </c>
      <c r="F262" s="134">
        <v>29</v>
      </c>
      <c r="G262" s="50">
        <f>E262*F262</f>
        <v>8700</v>
      </c>
      <c r="H262" s="103"/>
      <c r="I262" s="144"/>
      <c r="J262" s="104"/>
      <c r="K262" s="103"/>
      <c r="L262" s="103"/>
      <c r="M262" s="141">
        <f t="shared" si="24"/>
        <v>300</v>
      </c>
      <c r="N262" s="103"/>
      <c r="O262" s="103" t="s">
        <v>947</v>
      </c>
      <c r="P262" s="137">
        <f t="shared" si="22"/>
        <v>8700</v>
      </c>
    </row>
    <row r="263" spans="1:16" s="8" customFormat="1" ht="15.75" x14ac:dyDescent="0.25">
      <c r="A263" s="106" t="s">
        <v>522</v>
      </c>
      <c r="B263" s="102">
        <v>44193</v>
      </c>
      <c r="C263" s="25" t="s">
        <v>826</v>
      </c>
      <c r="D263" s="25" t="s">
        <v>1122</v>
      </c>
      <c r="E263" s="162">
        <v>16</v>
      </c>
      <c r="F263" s="134">
        <v>143</v>
      </c>
      <c r="G263" s="50">
        <f>E263*F263</f>
        <v>2288</v>
      </c>
      <c r="H263" s="103"/>
      <c r="I263" s="144"/>
      <c r="J263" s="104"/>
      <c r="K263" s="103"/>
      <c r="L263" s="103"/>
      <c r="M263" s="141">
        <f t="shared" si="24"/>
        <v>16</v>
      </c>
      <c r="N263" s="103"/>
      <c r="O263" s="103" t="s">
        <v>946</v>
      </c>
      <c r="P263" s="137">
        <f t="shared" si="22"/>
        <v>2288</v>
      </c>
    </row>
    <row r="264" spans="1:16" s="8" customFormat="1" ht="15.75" x14ac:dyDescent="0.25">
      <c r="A264" s="106" t="s">
        <v>523</v>
      </c>
      <c r="B264" s="102">
        <v>44193</v>
      </c>
      <c r="C264" s="9" t="s">
        <v>741</v>
      </c>
      <c r="D264" s="25" t="s">
        <v>1122</v>
      </c>
      <c r="E264" s="169">
        <v>112</v>
      </c>
      <c r="F264" s="134">
        <v>8.5</v>
      </c>
      <c r="G264" s="50">
        <f t="shared" ref="G264:G271" si="25">E264*F264</f>
        <v>952</v>
      </c>
      <c r="H264" s="103"/>
      <c r="I264" s="144"/>
      <c r="J264" s="104"/>
      <c r="K264" s="103"/>
      <c r="L264" s="103"/>
      <c r="M264" s="141">
        <f t="shared" si="24"/>
        <v>112</v>
      </c>
      <c r="N264" s="103"/>
      <c r="O264" s="103" t="s">
        <v>947</v>
      </c>
      <c r="P264" s="137">
        <f t="shared" si="22"/>
        <v>952</v>
      </c>
    </row>
    <row r="265" spans="1:16" s="8" customFormat="1" ht="15.75" x14ac:dyDescent="0.25">
      <c r="A265" s="106" t="s">
        <v>524</v>
      </c>
      <c r="B265" s="102">
        <v>44193</v>
      </c>
      <c r="C265" s="9" t="s">
        <v>742</v>
      </c>
      <c r="D265" s="25" t="s">
        <v>1122</v>
      </c>
      <c r="E265" s="169">
        <v>24</v>
      </c>
      <c r="F265" s="134">
        <v>12</v>
      </c>
      <c r="G265" s="50">
        <f t="shared" si="25"/>
        <v>288</v>
      </c>
      <c r="H265" s="103"/>
      <c r="I265" s="144"/>
      <c r="J265" s="104"/>
      <c r="K265" s="103"/>
      <c r="L265" s="103"/>
      <c r="M265" s="141">
        <f t="shared" si="24"/>
        <v>24</v>
      </c>
      <c r="N265" s="103"/>
      <c r="O265" s="103" t="s">
        <v>947</v>
      </c>
      <c r="P265" s="137">
        <f t="shared" si="22"/>
        <v>288</v>
      </c>
    </row>
    <row r="266" spans="1:16" s="8" customFormat="1" ht="15.75" x14ac:dyDescent="0.25">
      <c r="A266" s="106" t="s">
        <v>525</v>
      </c>
      <c r="B266" s="102">
        <v>44193</v>
      </c>
      <c r="C266" s="9" t="s">
        <v>743</v>
      </c>
      <c r="D266" s="25" t="s">
        <v>1122</v>
      </c>
      <c r="E266" s="161">
        <v>34</v>
      </c>
      <c r="F266" s="134">
        <v>8</v>
      </c>
      <c r="G266" s="50">
        <f t="shared" si="25"/>
        <v>272</v>
      </c>
      <c r="H266" s="103"/>
      <c r="I266" s="144"/>
      <c r="J266" s="104"/>
      <c r="K266" s="103"/>
      <c r="L266" s="103"/>
      <c r="M266" s="141">
        <f t="shared" si="24"/>
        <v>34</v>
      </c>
      <c r="N266" s="103"/>
      <c r="O266" s="103" t="s">
        <v>947</v>
      </c>
      <c r="P266" s="137">
        <f t="shared" si="22"/>
        <v>272</v>
      </c>
    </row>
    <row r="267" spans="1:16" s="105" customFormat="1" ht="15.75" x14ac:dyDescent="0.25">
      <c r="A267" s="106" t="s">
        <v>526</v>
      </c>
      <c r="B267" s="129">
        <v>45042</v>
      </c>
      <c r="C267" s="9" t="s">
        <v>744</v>
      </c>
      <c r="D267" s="25" t="s">
        <v>1122</v>
      </c>
      <c r="E267" s="161">
        <v>22</v>
      </c>
      <c r="F267" s="134">
        <v>91.99</v>
      </c>
      <c r="G267" s="50">
        <f t="shared" si="25"/>
        <v>2023.78</v>
      </c>
      <c r="H267" s="107"/>
      <c r="I267" s="144"/>
      <c r="J267" s="104"/>
      <c r="K267" s="108">
        <f>+I267*J267</f>
        <v>0</v>
      </c>
      <c r="L267" s="103">
        <v>1</v>
      </c>
      <c r="M267" s="151">
        <f t="shared" si="24"/>
        <v>21</v>
      </c>
      <c r="N267" s="103" t="s">
        <v>1037</v>
      </c>
      <c r="O267" s="103" t="s">
        <v>947</v>
      </c>
      <c r="P267" s="137">
        <f t="shared" si="22"/>
        <v>1931.79</v>
      </c>
    </row>
    <row r="268" spans="1:16" s="8" customFormat="1" ht="31.5" x14ac:dyDescent="0.25">
      <c r="A268" s="106" t="s">
        <v>527</v>
      </c>
      <c r="B268" s="129">
        <v>45111</v>
      </c>
      <c r="C268" s="9" t="s">
        <v>745</v>
      </c>
      <c r="D268" s="25" t="s">
        <v>1122</v>
      </c>
      <c r="E268" s="161">
        <v>20</v>
      </c>
      <c r="F268" s="134">
        <v>188.21</v>
      </c>
      <c r="G268" s="50">
        <f t="shared" si="25"/>
        <v>3764.2000000000003</v>
      </c>
      <c r="H268" s="107">
        <v>45111</v>
      </c>
      <c r="I268" s="144">
        <v>10</v>
      </c>
      <c r="J268" s="104">
        <v>234.82</v>
      </c>
      <c r="K268" s="108">
        <f>+I268*J268</f>
        <v>2348.1999999999998</v>
      </c>
      <c r="L268" s="103">
        <v>1</v>
      </c>
      <c r="M268" s="141">
        <f t="shared" si="24"/>
        <v>29</v>
      </c>
      <c r="N268" s="121" t="s">
        <v>1006</v>
      </c>
      <c r="O268" s="103" t="s">
        <v>946</v>
      </c>
      <c r="P268" s="137">
        <f t="shared" si="22"/>
        <v>5458.09</v>
      </c>
    </row>
    <row r="269" spans="1:16" s="8" customFormat="1" ht="15.75" x14ac:dyDescent="0.25">
      <c r="A269" s="106" t="s">
        <v>528</v>
      </c>
      <c r="B269" s="129">
        <v>45042</v>
      </c>
      <c r="C269" s="9" t="s">
        <v>747</v>
      </c>
      <c r="D269" s="25" t="s">
        <v>1122</v>
      </c>
      <c r="E269" s="161"/>
      <c r="F269" s="134">
        <v>25.42</v>
      </c>
      <c r="G269" s="50">
        <f t="shared" si="25"/>
        <v>0</v>
      </c>
      <c r="H269" s="107">
        <v>45042</v>
      </c>
      <c r="I269" s="144">
        <v>240</v>
      </c>
      <c r="J269" s="104">
        <v>30.11</v>
      </c>
      <c r="K269" s="104">
        <f>+I269*J269</f>
        <v>7226.4</v>
      </c>
      <c r="L269" s="103">
        <v>22</v>
      </c>
      <c r="M269" s="151">
        <f t="shared" si="24"/>
        <v>218</v>
      </c>
      <c r="N269" s="103"/>
      <c r="O269" s="103" t="s">
        <v>947</v>
      </c>
      <c r="P269" s="137">
        <f t="shared" si="22"/>
        <v>5541.56</v>
      </c>
    </row>
    <row r="270" spans="1:16" s="8" customFormat="1" ht="15.75" x14ac:dyDescent="0.25">
      <c r="A270" s="106" t="s">
        <v>529</v>
      </c>
      <c r="B270" s="129">
        <v>44852</v>
      </c>
      <c r="C270" s="9" t="s">
        <v>748</v>
      </c>
      <c r="D270" s="25" t="s">
        <v>1122</v>
      </c>
      <c r="E270" s="161"/>
      <c r="F270" s="134">
        <v>23.82</v>
      </c>
      <c r="G270" s="50">
        <f t="shared" si="25"/>
        <v>0</v>
      </c>
      <c r="H270" s="107">
        <v>44852</v>
      </c>
      <c r="I270" s="144">
        <f>15*12</f>
        <v>180</v>
      </c>
      <c r="J270" s="104">
        <v>40.69</v>
      </c>
      <c r="K270" s="108">
        <f>+I270*J270</f>
        <v>7324.2</v>
      </c>
      <c r="L270" s="103">
        <f>72+12+6</f>
        <v>90</v>
      </c>
      <c r="M270" s="151">
        <f t="shared" si="24"/>
        <v>90</v>
      </c>
      <c r="N270" s="103" t="s">
        <v>1037</v>
      </c>
      <c r="O270" s="103" t="s">
        <v>947</v>
      </c>
      <c r="P270" s="137">
        <f t="shared" si="22"/>
        <v>2143.8000000000002</v>
      </c>
    </row>
    <row r="271" spans="1:16" s="8" customFormat="1" ht="15.75" x14ac:dyDescent="0.25">
      <c r="A271" s="106" t="s">
        <v>873</v>
      </c>
      <c r="B271" s="102">
        <v>44193</v>
      </c>
      <c r="C271" s="25" t="s">
        <v>785</v>
      </c>
      <c r="D271" s="25" t="s">
        <v>1122</v>
      </c>
      <c r="E271" s="162">
        <v>4</v>
      </c>
      <c r="F271" s="134">
        <v>45</v>
      </c>
      <c r="G271" s="50">
        <f t="shared" si="25"/>
        <v>180</v>
      </c>
      <c r="H271" s="103"/>
      <c r="I271" s="144"/>
      <c r="J271" s="104"/>
      <c r="K271" s="103"/>
      <c r="L271" s="103">
        <v>4</v>
      </c>
      <c r="M271" s="151">
        <f t="shared" si="24"/>
        <v>0</v>
      </c>
      <c r="N271" s="103"/>
      <c r="O271" s="103" t="s">
        <v>947</v>
      </c>
      <c r="P271" s="137">
        <f t="shared" si="22"/>
        <v>0</v>
      </c>
    </row>
    <row r="272" spans="1:16" s="8" customFormat="1" ht="15.75" x14ac:dyDescent="0.25">
      <c r="A272" s="106" t="s">
        <v>874</v>
      </c>
      <c r="B272" s="106" t="s">
        <v>105</v>
      </c>
      <c r="C272" s="9" t="s">
        <v>746</v>
      </c>
      <c r="D272" s="25" t="s">
        <v>1122</v>
      </c>
      <c r="E272" s="161">
        <v>7</v>
      </c>
      <c r="F272" s="171">
        <v>48</v>
      </c>
      <c r="G272" s="50">
        <f>E272*F272</f>
        <v>336</v>
      </c>
      <c r="H272" s="103"/>
      <c r="I272" s="144"/>
      <c r="J272" s="104"/>
      <c r="K272" s="103"/>
      <c r="L272" s="103">
        <v>7</v>
      </c>
      <c r="M272" s="151">
        <f t="shared" si="24"/>
        <v>0</v>
      </c>
      <c r="N272" s="103"/>
      <c r="O272" s="103" t="s">
        <v>947</v>
      </c>
      <c r="P272" s="137">
        <f t="shared" si="22"/>
        <v>0</v>
      </c>
    </row>
    <row r="273" spans="1:16" s="8" customFormat="1" ht="15.75" x14ac:dyDescent="0.25">
      <c r="A273" s="106" t="s">
        <v>875</v>
      </c>
      <c r="B273" s="102"/>
      <c r="C273" s="25" t="s">
        <v>815</v>
      </c>
      <c r="D273" s="25" t="s">
        <v>1122</v>
      </c>
      <c r="E273" s="162">
        <v>6</v>
      </c>
      <c r="F273" s="134"/>
      <c r="G273" s="50"/>
      <c r="H273" s="103"/>
      <c r="I273" s="144"/>
      <c r="J273" s="104"/>
      <c r="K273" s="103"/>
      <c r="L273" s="103"/>
      <c r="M273" s="141">
        <f t="shared" si="24"/>
        <v>6</v>
      </c>
      <c r="N273" s="103"/>
      <c r="O273" s="103" t="s">
        <v>946</v>
      </c>
      <c r="P273" s="137">
        <f t="shared" si="22"/>
        <v>0</v>
      </c>
    </row>
    <row r="274" spans="1:16" s="92" customFormat="1" x14ac:dyDescent="0.3">
      <c r="A274" s="106" t="s">
        <v>876</v>
      </c>
      <c r="B274" s="102">
        <v>44193</v>
      </c>
      <c r="C274" s="25" t="s">
        <v>750</v>
      </c>
      <c r="D274" s="25" t="s">
        <v>1122</v>
      </c>
      <c r="E274" s="162">
        <v>20</v>
      </c>
      <c r="F274" s="134">
        <v>1449.14</v>
      </c>
      <c r="G274" s="50">
        <f t="shared" ref="G274:G286" si="26">E274*F274</f>
        <v>28982.800000000003</v>
      </c>
      <c r="H274" s="103"/>
      <c r="I274" s="144"/>
      <c r="J274" s="104"/>
      <c r="K274" s="103"/>
      <c r="L274" s="103"/>
      <c r="M274" s="141">
        <f t="shared" si="24"/>
        <v>20</v>
      </c>
      <c r="N274" s="103"/>
      <c r="O274" s="103" t="s">
        <v>945</v>
      </c>
      <c r="P274" s="137">
        <f t="shared" si="22"/>
        <v>28982.800000000003</v>
      </c>
    </row>
    <row r="275" spans="1:16" s="92" customFormat="1" x14ac:dyDescent="0.3">
      <c r="A275" s="106" t="s">
        <v>877</v>
      </c>
      <c r="B275" s="129">
        <v>45019</v>
      </c>
      <c r="C275" s="25" t="s">
        <v>771</v>
      </c>
      <c r="D275" s="25" t="s">
        <v>1122</v>
      </c>
      <c r="E275" s="162">
        <v>3</v>
      </c>
      <c r="F275" s="134">
        <v>3481</v>
      </c>
      <c r="G275" s="50">
        <f t="shared" si="26"/>
        <v>10443</v>
      </c>
      <c r="H275" s="107">
        <v>45019</v>
      </c>
      <c r="I275" s="144">
        <v>30</v>
      </c>
      <c r="J275" s="104">
        <v>300.89999999999998</v>
      </c>
      <c r="K275" s="103">
        <f>+J275/10</f>
        <v>30.089999999999996</v>
      </c>
      <c r="L275" s="103">
        <v>5</v>
      </c>
      <c r="M275" s="151">
        <f t="shared" si="24"/>
        <v>28</v>
      </c>
      <c r="N275" s="103" t="s">
        <v>943</v>
      </c>
      <c r="O275" s="103" t="s">
        <v>945</v>
      </c>
      <c r="P275" s="137">
        <f t="shared" si="22"/>
        <v>97468</v>
      </c>
    </row>
    <row r="276" spans="1:16" s="8" customFormat="1" ht="15.75" x14ac:dyDescent="0.25">
      <c r="A276" s="106" t="s">
        <v>878</v>
      </c>
      <c r="B276" s="102">
        <v>44193</v>
      </c>
      <c r="C276" s="25" t="s">
        <v>754</v>
      </c>
      <c r="D276" s="25" t="s">
        <v>1122</v>
      </c>
      <c r="E276" s="162">
        <v>7</v>
      </c>
      <c r="F276" s="134">
        <v>38</v>
      </c>
      <c r="G276" s="50">
        <f t="shared" si="26"/>
        <v>266</v>
      </c>
      <c r="H276" s="103"/>
      <c r="I276" s="144"/>
      <c r="J276" s="104"/>
      <c r="K276" s="103"/>
      <c r="L276" s="103"/>
      <c r="M276" s="141">
        <f t="shared" si="24"/>
        <v>7</v>
      </c>
      <c r="N276" s="103"/>
      <c r="O276" s="103" t="s">
        <v>946</v>
      </c>
      <c r="P276" s="137">
        <f t="shared" si="22"/>
        <v>266</v>
      </c>
    </row>
    <row r="277" spans="1:16" s="8" customFormat="1" ht="15.75" x14ac:dyDescent="0.25">
      <c r="A277" s="106" t="s">
        <v>879</v>
      </c>
      <c r="B277" s="106" t="s">
        <v>105</v>
      </c>
      <c r="C277" s="25" t="s">
        <v>753</v>
      </c>
      <c r="D277" s="25" t="s">
        <v>1122</v>
      </c>
      <c r="E277" s="162">
        <v>12</v>
      </c>
      <c r="F277" s="134">
        <v>38</v>
      </c>
      <c r="G277" s="50">
        <f t="shared" si="26"/>
        <v>456</v>
      </c>
      <c r="H277" s="103"/>
      <c r="I277" s="144"/>
      <c r="J277" s="104"/>
      <c r="K277" s="103"/>
      <c r="L277" s="103"/>
      <c r="M277" s="141">
        <f t="shared" si="24"/>
        <v>12</v>
      </c>
      <c r="N277" s="103"/>
      <c r="O277" s="103" t="s">
        <v>946</v>
      </c>
      <c r="P277" s="137">
        <f t="shared" si="22"/>
        <v>456</v>
      </c>
    </row>
    <row r="278" spans="1:16" s="8" customFormat="1" ht="15.75" x14ac:dyDescent="0.25">
      <c r="A278" s="106" t="s">
        <v>880</v>
      </c>
      <c r="B278" s="102">
        <v>44193</v>
      </c>
      <c r="C278" s="25" t="s">
        <v>757</v>
      </c>
      <c r="D278" s="25" t="s">
        <v>1122</v>
      </c>
      <c r="E278" s="162">
        <v>1</v>
      </c>
      <c r="F278" s="134">
        <v>38</v>
      </c>
      <c r="G278" s="50">
        <f t="shared" si="26"/>
        <v>38</v>
      </c>
      <c r="H278" s="103"/>
      <c r="I278" s="144"/>
      <c r="J278" s="104"/>
      <c r="K278" s="103"/>
      <c r="L278" s="103"/>
      <c r="M278" s="141">
        <f t="shared" si="24"/>
        <v>1</v>
      </c>
      <c r="N278" s="103"/>
      <c r="O278" s="103" t="s">
        <v>946</v>
      </c>
      <c r="P278" s="137">
        <f t="shared" si="22"/>
        <v>38</v>
      </c>
    </row>
    <row r="279" spans="1:16" s="8" customFormat="1" ht="15.75" x14ac:dyDescent="0.25">
      <c r="A279" s="106" t="s">
        <v>881</v>
      </c>
      <c r="B279" s="102">
        <v>44193</v>
      </c>
      <c r="C279" s="25" t="s">
        <v>760</v>
      </c>
      <c r="D279" s="25" t="s">
        <v>1122</v>
      </c>
      <c r="E279" s="162">
        <v>1</v>
      </c>
      <c r="F279" s="134">
        <v>41</v>
      </c>
      <c r="G279" s="50">
        <f t="shared" si="26"/>
        <v>41</v>
      </c>
      <c r="H279" s="103"/>
      <c r="I279" s="144"/>
      <c r="J279" s="104"/>
      <c r="K279" s="103"/>
      <c r="L279" s="103"/>
      <c r="M279" s="141">
        <f t="shared" si="24"/>
        <v>1</v>
      </c>
      <c r="N279" s="103"/>
      <c r="O279" s="103" t="s">
        <v>946</v>
      </c>
      <c r="P279" s="137">
        <f t="shared" si="22"/>
        <v>41</v>
      </c>
    </row>
    <row r="280" spans="1:16" s="8" customFormat="1" ht="15.75" x14ac:dyDescent="0.25">
      <c r="A280" s="106" t="s">
        <v>882</v>
      </c>
      <c r="B280" s="102">
        <v>44193</v>
      </c>
      <c r="C280" s="25" t="s">
        <v>758</v>
      </c>
      <c r="D280" s="25" t="s">
        <v>1122</v>
      </c>
      <c r="E280" s="162">
        <v>1</v>
      </c>
      <c r="F280" s="134">
        <v>38</v>
      </c>
      <c r="G280" s="50">
        <f t="shared" si="26"/>
        <v>38</v>
      </c>
      <c r="H280" s="103"/>
      <c r="I280" s="144"/>
      <c r="J280" s="104"/>
      <c r="K280" s="103"/>
      <c r="L280" s="103"/>
      <c r="M280" s="141">
        <f t="shared" si="24"/>
        <v>1</v>
      </c>
      <c r="N280" s="103"/>
      <c r="O280" s="103" t="s">
        <v>946</v>
      </c>
      <c r="P280" s="137">
        <f t="shared" si="22"/>
        <v>38</v>
      </c>
    </row>
    <row r="281" spans="1:16" s="8" customFormat="1" ht="15.75" x14ac:dyDescent="0.25">
      <c r="A281" s="106" t="s">
        <v>883</v>
      </c>
      <c r="B281" s="102">
        <v>44193</v>
      </c>
      <c r="C281" s="25" t="s">
        <v>759</v>
      </c>
      <c r="D281" s="25" t="s">
        <v>1122</v>
      </c>
      <c r="E281" s="162">
        <v>1</v>
      </c>
      <c r="F281" s="134">
        <v>38</v>
      </c>
      <c r="G281" s="50">
        <f t="shared" si="26"/>
        <v>38</v>
      </c>
      <c r="H281" s="103"/>
      <c r="I281" s="144"/>
      <c r="J281" s="104"/>
      <c r="K281" s="103"/>
      <c r="L281" s="103"/>
      <c r="M281" s="141">
        <f t="shared" si="24"/>
        <v>1</v>
      </c>
      <c r="N281" s="103"/>
      <c r="O281" s="103" t="s">
        <v>946</v>
      </c>
      <c r="P281" s="137">
        <f t="shared" ref="P281:P344" si="27">+F281*M281</f>
        <v>38</v>
      </c>
    </row>
    <row r="282" spans="1:16" s="8" customFormat="1" ht="15.75" x14ac:dyDescent="0.25">
      <c r="A282" s="106" t="s">
        <v>884</v>
      </c>
      <c r="B282" s="106" t="s">
        <v>105</v>
      </c>
      <c r="C282" s="25" t="s">
        <v>755</v>
      </c>
      <c r="D282" s="25" t="s">
        <v>1122</v>
      </c>
      <c r="E282" s="162">
        <v>1</v>
      </c>
      <c r="F282" s="134">
        <v>38</v>
      </c>
      <c r="G282" s="50">
        <f t="shared" si="26"/>
        <v>38</v>
      </c>
      <c r="H282" s="103"/>
      <c r="I282" s="144"/>
      <c r="J282" s="104"/>
      <c r="K282" s="103"/>
      <c r="L282" s="103"/>
      <c r="M282" s="141">
        <f t="shared" si="24"/>
        <v>1</v>
      </c>
      <c r="N282" s="103"/>
      <c r="O282" s="103" t="s">
        <v>946</v>
      </c>
      <c r="P282" s="137">
        <f t="shared" si="27"/>
        <v>38</v>
      </c>
    </row>
    <row r="283" spans="1:16" s="8" customFormat="1" ht="15.75" x14ac:dyDescent="0.25">
      <c r="A283" s="106" t="s">
        <v>885</v>
      </c>
      <c r="B283" s="102">
        <v>44193</v>
      </c>
      <c r="C283" s="25" t="s">
        <v>756</v>
      </c>
      <c r="D283" s="25" t="s">
        <v>1122</v>
      </c>
      <c r="E283" s="162">
        <v>1</v>
      </c>
      <c r="F283" s="134">
        <v>38</v>
      </c>
      <c r="G283" s="50">
        <f t="shared" si="26"/>
        <v>38</v>
      </c>
      <c r="H283" s="103"/>
      <c r="I283" s="144"/>
      <c r="J283" s="104"/>
      <c r="K283" s="103"/>
      <c r="L283" s="103"/>
      <c r="M283" s="141">
        <f t="shared" si="24"/>
        <v>1</v>
      </c>
      <c r="N283" s="103"/>
      <c r="O283" s="103" t="s">
        <v>946</v>
      </c>
      <c r="P283" s="137">
        <f t="shared" si="27"/>
        <v>38</v>
      </c>
    </row>
    <row r="284" spans="1:16" s="8" customFormat="1" ht="15.75" x14ac:dyDescent="0.25">
      <c r="A284" s="106" t="s">
        <v>886</v>
      </c>
      <c r="B284" s="102">
        <v>44193</v>
      </c>
      <c r="C284" s="25" t="s">
        <v>762</v>
      </c>
      <c r="D284" s="25" t="s">
        <v>1122</v>
      </c>
      <c r="E284" s="162">
        <v>7</v>
      </c>
      <c r="F284" s="134">
        <v>537</v>
      </c>
      <c r="G284" s="50">
        <f t="shared" si="26"/>
        <v>3759</v>
      </c>
      <c r="H284" s="103"/>
      <c r="I284" s="144"/>
      <c r="J284" s="104"/>
      <c r="K284" s="103"/>
      <c r="L284" s="103"/>
      <c r="M284" s="141">
        <f t="shared" si="24"/>
        <v>7</v>
      </c>
      <c r="N284" s="103"/>
      <c r="O284" s="103" t="s">
        <v>946</v>
      </c>
      <c r="P284" s="137">
        <f t="shared" si="27"/>
        <v>3759</v>
      </c>
    </row>
    <row r="285" spans="1:16" s="8" customFormat="1" ht="15.75" x14ac:dyDescent="0.25">
      <c r="A285" s="106" t="s">
        <v>887</v>
      </c>
      <c r="B285" s="102">
        <v>44193</v>
      </c>
      <c r="C285" s="25" t="s">
        <v>761</v>
      </c>
      <c r="D285" s="25" t="s">
        <v>1122</v>
      </c>
      <c r="E285" s="162">
        <v>3</v>
      </c>
      <c r="F285" s="134">
        <v>537</v>
      </c>
      <c r="G285" s="50">
        <f t="shared" si="26"/>
        <v>1611</v>
      </c>
      <c r="H285" s="103"/>
      <c r="I285" s="144"/>
      <c r="J285" s="104"/>
      <c r="K285" s="103"/>
      <c r="L285" s="103"/>
      <c r="M285" s="141">
        <f t="shared" si="24"/>
        <v>3</v>
      </c>
      <c r="N285" s="103"/>
      <c r="O285" s="103" t="s">
        <v>946</v>
      </c>
      <c r="P285" s="137">
        <f t="shared" si="27"/>
        <v>1611</v>
      </c>
    </row>
    <row r="286" spans="1:16" s="8" customFormat="1" ht="15.75" x14ac:dyDescent="0.25">
      <c r="A286" s="106" t="s">
        <v>888</v>
      </c>
      <c r="B286" s="102">
        <v>44193</v>
      </c>
      <c r="C286" s="9" t="s">
        <v>763</v>
      </c>
      <c r="D286" s="25" t="s">
        <v>1122</v>
      </c>
      <c r="E286" s="161">
        <v>13</v>
      </c>
      <c r="F286" s="134">
        <v>13.87</v>
      </c>
      <c r="G286" s="50">
        <f t="shared" si="26"/>
        <v>180.31</v>
      </c>
      <c r="H286" s="103"/>
      <c r="I286" s="144"/>
      <c r="J286" s="104"/>
      <c r="K286" s="103"/>
      <c r="L286" s="103"/>
      <c r="M286" s="157">
        <f>+E286+I286-L286-1</f>
        <v>12</v>
      </c>
      <c r="N286" s="103"/>
      <c r="O286" s="103" t="s">
        <v>947</v>
      </c>
      <c r="P286" s="137">
        <f t="shared" si="27"/>
        <v>166.44</v>
      </c>
    </row>
    <row r="287" spans="1:16" s="8" customFormat="1" ht="15.75" x14ac:dyDescent="0.25">
      <c r="A287" s="106" t="s">
        <v>889</v>
      </c>
      <c r="B287" s="102"/>
      <c r="C287" s="25" t="s">
        <v>814</v>
      </c>
      <c r="D287" s="25" t="s">
        <v>1122</v>
      </c>
      <c r="E287" s="162">
        <v>5</v>
      </c>
      <c r="F287" s="134"/>
      <c r="G287" s="50"/>
      <c r="H287" s="103"/>
      <c r="I287" s="144"/>
      <c r="J287" s="104"/>
      <c r="K287" s="103"/>
      <c r="L287" s="103"/>
      <c r="M287" s="141">
        <f t="shared" si="24"/>
        <v>5</v>
      </c>
      <c r="N287" s="103"/>
      <c r="O287" s="103" t="s">
        <v>946</v>
      </c>
      <c r="P287" s="137">
        <f t="shared" si="27"/>
        <v>0</v>
      </c>
    </row>
    <row r="288" spans="1:16" s="8" customFormat="1" ht="15.75" x14ac:dyDescent="0.25">
      <c r="A288" s="106" t="s">
        <v>890</v>
      </c>
      <c r="B288" s="102"/>
      <c r="C288" s="25" t="s">
        <v>805</v>
      </c>
      <c r="D288" s="25" t="s">
        <v>1122</v>
      </c>
      <c r="E288" s="162">
        <v>9</v>
      </c>
      <c r="F288" s="134"/>
      <c r="G288" s="50"/>
      <c r="H288" s="103"/>
      <c r="I288" s="144"/>
      <c r="J288" s="104"/>
      <c r="K288" s="103"/>
      <c r="L288" s="103"/>
      <c r="M288" s="141">
        <f t="shared" si="24"/>
        <v>9</v>
      </c>
      <c r="N288" s="103"/>
      <c r="O288" s="103" t="s">
        <v>946</v>
      </c>
      <c r="P288" s="137">
        <f t="shared" si="27"/>
        <v>0</v>
      </c>
    </row>
    <row r="289" spans="1:16" s="105" customFormat="1" ht="15.75" x14ac:dyDescent="0.25">
      <c r="A289" s="106" t="s">
        <v>891</v>
      </c>
      <c r="B289" s="129">
        <v>44852</v>
      </c>
      <c r="C289" s="25" t="s">
        <v>784</v>
      </c>
      <c r="D289" s="25" t="s">
        <v>1122</v>
      </c>
      <c r="E289" s="162">
        <f>17+14</f>
        <v>31</v>
      </c>
      <c r="F289" s="173">
        <v>25.52</v>
      </c>
      <c r="G289" s="108">
        <f>+E289*F289</f>
        <v>791.12</v>
      </c>
      <c r="H289" s="107">
        <v>44852</v>
      </c>
      <c r="I289" s="144">
        <v>15</v>
      </c>
      <c r="J289" s="104">
        <v>25.52</v>
      </c>
      <c r="K289" s="108">
        <f>+I289*J289</f>
        <v>382.8</v>
      </c>
      <c r="L289" s="103">
        <v>3</v>
      </c>
      <c r="M289" s="151">
        <f t="shared" si="24"/>
        <v>43</v>
      </c>
      <c r="N289" s="103" t="s">
        <v>1037</v>
      </c>
      <c r="O289" s="103" t="s">
        <v>947</v>
      </c>
      <c r="P289" s="137">
        <f t="shared" si="27"/>
        <v>1097.3599999999999</v>
      </c>
    </row>
    <row r="290" spans="1:16" s="105" customFormat="1" ht="15.75" x14ac:dyDescent="0.25">
      <c r="A290" s="106" t="s">
        <v>892</v>
      </c>
      <c r="B290" s="102">
        <v>44729</v>
      </c>
      <c r="C290" s="25" t="s">
        <v>860</v>
      </c>
      <c r="D290" s="25" t="s">
        <v>1122</v>
      </c>
      <c r="E290" s="162">
        <v>12</v>
      </c>
      <c r="F290" s="134">
        <v>1637.5</v>
      </c>
      <c r="G290" s="50">
        <f>+E290*F290</f>
        <v>19650</v>
      </c>
      <c r="H290" s="103"/>
      <c r="I290" s="144"/>
      <c r="J290" s="104"/>
      <c r="K290" s="103"/>
      <c r="L290" s="103"/>
      <c r="M290" s="141">
        <f t="shared" si="24"/>
        <v>12</v>
      </c>
      <c r="N290" s="103"/>
      <c r="O290" s="103" t="s">
        <v>946</v>
      </c>
      <c r="P290" s="137">
        <f t="shared" si="27"/>
        <v>19650</v>
      </c>
    </row>
    <row r="291" spans="1:16" s="92" customFormat="1" x14ac:dyDescent="0.3">
      <c r="A291" s="106" t="s">
        <v>893</v>
      </c>
      <c r="B291" s="102">
        <v>44652</v>
      </c>
      <c r="C291" s="25" t="s">
        <v>859</v>
      </c>
      <c r="D291" s="25" t="s">
        <v>1122</v>
      </c>
      <c r="E291" s="162">
        <f>11+6+12+11</f>
        <v>40</v>
      </c>
      <c r="F291" s="134">
        <v>159</v>
      </c>
      <c r="G291" s="50">
        <f>+E291*F291</f>
        <v>6360</v>
      </c>
      <c r="H291" s="103"/>
      <c r="I291" s="144"/>
      <c r="J291" s="104"/>
      <c r="K291" s="103"/>
      <c r="L291" s="103">
        <f>12+2</f>
        <v>14</v>
      </c>
      <c r="M291" s="151">
        <f t="shared" si="24"/>
        <v>26</v>
      </c>
      <c r="N291" s="103"/>
      <c r="O291" s="103" t="s">
        <v>945</v>
      </c>
      <c r="P291" s="137">
        <f t="shared" si="27"/>
        <v>4134</v>
      </c>
    </row>
    <row r="292" spans="1:16" s="92" customFormat="1" x14ac:dyDescent="0.3">
      <c r="A292" s="106" t="s">
        <v>894</v>
      </c>
      <c r="B292" s="102">
        <v>44652</v>
      </c>
      <c r="C292" s="25" t="s">
        <v>858</v>
      </c>
      <c r="D292" s="25" t="s">
        <v>1122</v>
      </c>
      <c r="E292" s="162">
        <v>11</v>
      </c>
      <c r="F292" s="134"/>
      <c r="G292" s="50">
        <f>+E292*F292</f>
        <v>0</v>
      </c>
      <c r="H292" s="103"/>
      <c r="I292" s="144"/>
      <c r="J292" s="104"/>
      <c r="K292" s="103"/>
      <c r="L292" s="103">
        <v>11</v>
      </c>
      <c r="M292" s="141">
        <f t="shared" si="24"/>
        <v>0</v>
      </c>
      <c r="N292" s="103"/>
      <c r="O292" s="103" t="s">
        <v>945</v>
      </c>
      <c r="P292" s="137">
        <f t="shared" si="27"/>
        <v>0</v>
      </c>
    </row>
    <row r="293" spans="1:16" s="92" customFormat="1" x14ac:dyDescent="0.3">
      <c r="A293" s="106" t="s">
        <v>895</v>
      </c>
      <c r="B293" s="102">
        <v>44652</v>
      </c>
      <c r="C293" s="25" t="s">
        <v>920</v>
      </c>
      <c r="D293" s="25" t="s">
        <v>1122</v>
      </c>
      <c r="E293" s="162">
        <f>9+11+7</f>
        <v>27</v>
      </c>
      <c r="F293" s="134">
        <v>145</v>
      </c>
      <c r="G293" s="50">
        <f>+E293*F293</f>
        <v>3915</v>
      </c>
      <c r="H293" s="103"/>
      <c r="I293" s="144"/>
      <c r="J293" s="104"/>
      <c r="K293" s="103"/>
      <c r="L293" s="103">
        <f>21+1</f>
        <v>22</v>
      </c>
      <c r="M293" s="151">
        <f t="shared" si="24"/>
        <v>5</v>
      </c>
      <c r="N293" s="103"/>
      <c r="O293" s="103" t="s">
        <v>945</v>
      </c>
      <c r="P293" s="137">
        <f t="shared" si="27"/>
        <v>725</v>
      </c>
    </row>
    <row r="294" spans="1:16" s="8" customFormat="1" ht="15.75" x14ac:dyDescent="0.25">
      <c r="A294" s="106" t="s">
        <v>896</v>
      </c>
      <c r="B294" s="102"/>
      <c r="C294" s="25" t="s">
        <v>795</v>
      </c>
      <c r="D294" s="25" t="s">
        <v>1122</v>
      </c>
      <c r="E294" s="162">
        <v>29</v>
      </c>
      <c r="F294" s="134">
        <v>29.35</v>
      </c>
      <c r="G294" s="50">
        <f t="shared" ref="G294:G310" si="28">+E294*F294</f>
        <v>851.15000000000009</v>
      </c>
      <c r="H294" s="103"/>
      <c r="I294" s="144"/>
      <c r="J294" s="104"/>
      <c r="K294" s="103"/>
      <c r="L294" s="103"/>
      <c r="M294" s="141">
        <f t="shared" si="24"/>
        <v>29</v>
      </c>
      <c r="N294" s="103"/>
      <c r="O294" s="103" t="s">
        <v>946</v>
      </c>
      <c r="P294" s="137">
        <f t="shared" si="27"/>
        <v>851.15000000000009</v>
      </c>
    </row>
    <row r="295" spans="1:16" s="8" customFormat="1" ht="15.75" x14ac:dyDescent="0.25">
      <c r="A295" s="106" t="s">
        <v>897</v>
      </c>
      <c r="B295" s="102"/>
      <c r="C295" s="25" t="s">
        <v>843</v>
      </c>
      <c r="D295" s="25" t="s">
        <v>1122</v>
      </c>
      <c r="E295" s="162">
        <v>8</v>
      </c>
      <c r="F295" s="134"/>
      <c r="G295" s="50">
        <f t="shared" si="28"/>
        <v>0</v>
      </c>
      <c r="H295" s="103"/>
      <c r="I295" s="144"/>
      <c r="J295" s="104"/>
      <c r="K295" s="103"/>
      <c r="L295" s="103"/>
      <c r="M295" s="141">
        <f t="shared" si="24"/>
        <v>8</v>
      </c>
      <c r="N295" s="103"/>
      <c r="O295" s="103" t="s">
        <v>946</v>
      </c>
      <c r="P295" s="137">
        <f t="shared" si="27"/>
        <v>0</v>
      </c>
    </row>
    <row r="296" spans="1:16" s="8" customFormat="1" ht="15.75" x14ac:dyDescent="0.25">
      <c r="A296" s="106" t="s">
        <v>898</v>
      </c>
      <c r="B296" s="102"/>
      <c r="C296" s="25" t="s">
        <v>793</v>
      </c>
      <c r="D296" s="25" t="s">
        <v>1122</v>
      </c>
      <c r="E296" s="162">
        <f>3+1</f>
        <v>4</v>
      </c>
      <c r="F296" s="134"/>
      <c r="G296" s="50">
        <f t="shared" si="28"/>
        <v>0</v>
      </c>
      <c r="H296" s="103"/>
      <c r="I296" s="144"/>
      <c r="J296" s="104"/>
      <c r="K296" s="103"/>
      <c r="L296" s="103">
        <v>1</v>
      </c>
      <c r="M296" s="141">
        <f t="shared" si="24"/>
        <v>3</v>
      </c>
      <c r="N296" s="103"/>
      <c r="O296" s="103" t="s">
        <v>946</v>
      </c>
      <c r="P296" s="137">
        <f t="shared" si="27"/>
        <v>0</v>
      </c>
    </row>
    <row r="297" spans="1:16" s="8" customFormat="1" ht="15.75" x14ac:dyDescent="0.25">
      <c r="A297" s="106" t="s">
        <v>899</v>
      </c>
      <c r="B297" s="102"/>
      <c r="C297" s="25" t="s">
        <v>842</v>
      </c>
      <c r="D297" s="25" t="s">
        <v>1122</v>
      </c>
      <c r="E297" s="162">
        <v>2</v>
      </c>
      <c r="F297" s="134"/>
      <c r="G297" s="50">
        <f t="shared" si="28"/>
        <v>0</v>
      </c>
      <c r="H297" s="103"/>
      <c r="I297" s="144"/>
      <c r="J297" s="104"/>
      <c r="K297" s="103"/>
      <c r="L297" s="103"/>
      <c r="M297" s="141">
        <f t="shared" si="24"/>
        <v>2</v>
      </c>
      <c r="N297" s="103"/>
      <c r="O297" s="103" t="s">
        <v>946</v>
      </c>
      <c r="P297" s="137">
        <f t="shared" si="27"/>
        <v>0</v>
      </c>
    </row>
    <row r="298" spans="1:16" s="8" customFormat="1" ht="15.75" x14ac:dyDescent="0.25">
      <c r="A298" s="106" t="s">
        <v>900</v>
      </c>
      <c r="B298" s="102">
        <v>44193</v>
      </c>
      <c r="C298" s="25" t="s">
        <v>841</v>
      </c>
      <c r="D298" s="25" t="s">
        <v>1122</v>
      </c>
      <c r="E298" s="162">
        <v>1</v>
      </c>
      <c r="F298" s="134">
        <v>18.86</v>
      </c>
      <c r="G298" s="50">
        <f t="shared" si="28"/>
        <v>18.86</v>
      </c>
      <c r="H298" s="103"/>
      <c r="I298" s="144"/>
      <c r="J298" s="104"/>
      <c r="K298" s="103"/>
      <c r="L298" s="103"/>
      <c r="M298" s="141">
        <f t="shared" si="24"/>
        <v>1</v>
      </c>
      <c r="N298" s="103"/>
      <c r="O298" s="103" t="s">
        <v>946</v>
      </c>
      <c r="P298" s="137">
        <f t="shared" si="27"/>
        <v>18.86</v>
      </c>
    </row>
    <row r="299" spans="1:16" s="8" customFormat="1" ht="15.75" x14ac:dyDescent="0.25">
      <c r="A299" s="106" t="s">
        <v>901</v>
      </c>
      <c r="B299" s="102">
        <v>44193</v>
      </c>
      <c r="C299" s="25" t="s">
        <v>848</v>
      </c>
      <c r="D299" s="25" t="s">
        <v>1122</v>
      </c>
      <c r="E299" s="162">
        <v>1</v>
      </c>
      <c r="F299" s="134"/>
      <c r="G299" s="50">
        <f t="shared" si="28"/>
        <v>0</v>
      </c>
      <c r="H299" s="103"/>
      <c r="I299" s="144"/>
      <c r="J299" s="104"/>
      <c r="K299" s="103"/>
      <c r="L299" s="103"/>
      <c r="M299" s="141">
        <f t="shared" si="24"/>
        <v>1</v>
      </c>
      <c r="N299" s="103"/>
      <c r="O299" s="103" t="s">
        <v>946</v>
      </c>
      <c r="P299" s="137">
        <f t="shared" si="27"/>
        <v>0</v>
      </c>
    </row>
    <row r="300" spans="1:16" s="8" customFormat="1" ht="15.75" x14ac:dyDescent="0.25">
      <c r="A300" s="106" t="s">
        <v>902</v>
      </c>
      <c r="B300" s="102">
        <v>44193</v>
      </c>
      <c r="C300" s="25" t="s">
        <v>839</v>
      </c>
      <c r="D300" s="25" t="s">
        <v>1122</v>
      </c>
      <c r="E300" s="162">
        <v>7</v>
      </c>
      <c r="F300" s="134"/>
      <c r="G300" s="50">
        <f t="shared" si="28"/>
        <v>0</v>
      </c>
      <c r="H300" s="103"/>
      <c r="I300" s="144"/>
      <c r="J300" s="104"/>
      <c r="K300" s="103"/>
      <c r="L300" s="103"/>
      <c r="M300" s="141">
        <f t="shared" si="24"/>
        <v>7</v>
      </c>
      <c r="N300" s="103"/>
      <c r="O300" s="103" t="s">
        <v>946</v>
      </c>
      <c r="P300" s="137">
        <f t="shared" si="27"/>
        <v>0</v>
      </c>
    </row>
    <row r="301" spans="1:16" s="8" customFormat="1" ht="15.75" x14ac:dyDescent="0.25">
      <c r="A301" s="106" t="s">
        <v>903</v>
      </c>
      <c r="B301" s="102">
        <v>44193</v>
      </c>
      <c r="C301" s="25" t="s">
        <v>867</v>
      </c>
      <c r="D301" s="25" t="s">
        <v>1122</v>
      </c>
      <c r="E301" s="162">
        <v>6</v>
      </c>
      <c r="F301" s="134">
        <v>176</v>
      </c>
      <c r="G301" s="50">
        <f t="shared" si="28"/>
        <v>1056</v>
      </c>
      <c r="H301" s="103"/>
      <c r="I301" s="144"/>
      <c r="J301" s="104"/>
      <c r="K301" s="103"/>
      <c r="L301" s="103">
        <v>2</v>
      </c>
      <c r="M301" s="141">
        <f t="shared" si="24"/>
        <v>4</v>
      </c>
      <c r="N301" s="103"/>
      <c r="O301" s="103" t="s">
        <v>947</v>
      </c>
      <c r="P301" s="137">
        <f t="shared" si="27"/>
        <v>704</v>
      </c>
    </row>
    <row r="302" spans="1:16" s="8" customFormat="1" ht="15.75" x14ac:dyDescent="0.25">
      <c r="A302" s="106" t="s">
        <v>904</v>
      </c>
      <c r="B302" s="102">
        <v>44193</v>
      </c>
      <c r="C302" s="25" t="s">
        <v>798</v>
      </c>
      <c r="D302" s="25" t="s">
        <v>1122</v>
      </c>
      <c r="E302" s="162">
        <v>3</v>
      </c>
      <c r="F302" s="134">
        <v>234</v>
      </c>
      <c r="G302" s="50">
        <f t="shared" si="28"/>
        <v>702</v>
      </c>
      <c r="H302" s="103"/>
      <c r="I302" s="144"/>
      <c r="J302" s="104"/>
      <c r="K302" s="103"/>
      <c r="L302" s="103"/>
      <c r="M302" s="141">
        <f t="shared" si="24"/>
        <v>3</v>
      </c>
      <c r="N302" s="103"/>
      <c r="O302" s="103" t="s">
        <v>946</v>
      </c>
      <c r="P302" s="137">
        <f t="shared" si="27"/>
        <v>702</v>
      </c>
    </row>
    <row r="303" spans="1:16" s="92" customFormat="1" x14ac:dyDescent="0.3">
      <c r="A303" s="106" t="s">
        <v>905</v>
      </c>
      <c r="B303" s="129">
        <v>44755</v>
      </c>
      <c r="C303" s="25" t="s">
        <v>764</v>
      </c>
      <c r="D303" s="25" t="s">
        <v>1122</v>
      </c>
      <c r="E303" s="162">
        <v>0</v>
      </c>
      <c r="F303" s="134">
        <v>50.84</v>
      </c>
      <c r="G303" s="50">
        <f t="shared" si="28"/>
        <v>0</v>
      </c>
      <c r="H303" s="107"/>
      <c r="I303" s="144">
        <v>56</v>
      </c>
      <c r="J303" s="104">
        <v>50.84</v>
      </c>
      <c r="K303" s="108">
        <f>+I303*J303</f>
        <v>2847.04</v>
      </c>
      <c r="L303" s="38">
        <f>3+2</f>
        <v>5</v>
      </c>
      <c r="M303" s="151">
        <f t="shared" si="24"/>
        <v>51</v>
      </c>
      <c r="N303" s="103"/>
      <c r="O303" s="103" t="s">
        <v>945</v>
      </c>
      <c r="P303" s="137">
        <f t="shared" si="27"/>
        <v>2592.84</v>
      </c>
    </row>
    <row r="304" spans="1:16" s="8" customFormat="1" ht="15.75" x14ac:dyDescent="0.25">
      <c r="A304" s="106" t="s">
        <v>906</v>
      </c>
      <c r="B304" s="102"/>
      <c r="C304" s="25" t="s">
        <v>799</v>
      </c>
      <c r="D304" s="25" t="s">
        <v>1122</v>
      </c>
      <c r="E304" s="162">
        <v>120</v>
      </c>
      <c r="F304" s="134"/>
      <c r="G304" s="50">
        <f t="shared" si="28"/>
        <v>0</v>
      </c>
      <c r="H304" s="103"/>
      <c r="I304" s="144"/>
      <c r="J304" s="104"/>
      <c r="K304" s="103"/>
      <c r="L304" s="103"/>
      <c r="M304" s="141">
        <f t="shared" ref="M304:M367" si="29">+E304+I304-L304</f>
        <v>120</v>
      </c>
      <c r="N304" s="103"/>
      <c r="O304" s="103" t="s">
        <v>946</v>
      </c>
      <c r="P304" s="137">
        <f t="shared" si="27"/>
        <v>0</v>
      </c>
    </row>
    <row r="305" spans="1:16" s="8" customFormat="1" ht="15.75" x14ac:dyDescent="0.25">
      <c r="A305" s="106" t="s">
        <v>907</v>
      </c>
      <c r="B305" s="102"/>
      <c r="C305" s="25" t="s">
        <v>824</v>
      </c>
      <c r="D305" s="25" t="s">
        <v>1122</v>
      </c>
      <c r="E305" s="162">
        <v>15</v>
      </c>
      <c r="F305" s="134"/>
      <c r="G305" s="50">
        <f t="shared" si="28"/>
        <v>0</v>
      </c>
      <c r="H305" s="107"/>
      <c r="I305" s="144"/>
      <c r="J305" s="104"/>
      <c r="K305" s="108"/>
      <c r="L305" s="108">
        <v>2</v>
      </c>
      <c r="M305" s="141">
        <f t="shared" si="29"/>
        <v>13</v>
      </c>
      <c r="N305" s="103"/>
      <c r="O305" s="103" t="s">
        <v>946</v>
      </c>
      <c r="P305" s="137">
        <f t="shared" si="27"/>
        <v>0</v>
      </c>
    </row>
    <row r="306" spans="1:16" s="8" customFormat="1" ht="15.75" x14ac:dyDescent="0.25">
      <c r="A306" s="106" t="s">
        <v>908</v>
      </c>
      <c r="B306" s="102"/>
      <c r="C306" s="25" t="s">
        <v>837</v>
      </c>
      <c r="D306" s="25" t="s">
        <v>1122</v>
      </c>
      <c r="E306" s="162">
        <v>9</v>
      </c>
      <c r="F306" s="134"/>
      <c r="G306" s="50">
        <f t="shared" si="28"/>
        <v>0</v>
      </c>
      <c r="H306" s="103"/>
      <c r="I306" s="144"/>
      <c r="J306" s="104"/>
      <c r="K306" s="103"/>
      <c r="L306" s="103"/>
      <c r="M306" s="141">
        <f t="shared" si="29"/>
        <v>9</v>
      </c>
      <c r="N306" s="103"/>
      <c r="O306" s="103" t="s">
        <v>946</v>
      </c>
      <c r="P306" s="137">
        <f t="shared" si="27"/>
        <v>0</v>
      </c>
    </row>
    <row r="307" spans="1:16" s="8" customFormat="1" ht="15.75" x14ac:dyDescent="0.25">
      <c r="A307" s="106" t="s">
        <v>909</v>
      </c>
      <c r="B307" s="102"/>
      <c r="C307" s="25" t="s">
        <v>792</v>
      </c>
      <c r="D307" s="25" t="s">
        <v>1122</v>
      </c>
      <c r="E307" s="162">
        <v>19</v>
      </c>
      <c r="F307" s="134"/>
      <c r="G307" s="50">
        <f t="shared" si="28"/>
        <v>0</v>
      </c>
      <c r="H307" s="103"/>
      <c r="I307" s="144"/>
      <c r="J307" s="104"/>
      <c r="K307" s="103"/>
      <c r="L307" s="103">
        <v>1</v>
      </c>
      <c r="M307" s="141">
        <f t="shared" si="29"/>
        <v>18</v>
      </c>
      <c r="N307" s="103"/>
      <c r="O307" s="103" t="s">
        <v>946</v>
      </c>
      <c r="P307" s="137">
        <f t="shared" si="27"/>
        <v>0</v>
      </c>
    </row>
    <row r="308" spans="1:16" s="8" customFormat="1" ht="15.75" x14ac:dyDescent="0.25">
      <c r="A308" s="106" t="s">
        <v>910</v>
      </c>
      <c r="B308" s="102"/>
      <c r="C308" s="25" t="s">
        <v>329</v>
      </c>
      <c r="D308" s="25" t="s">
        <v>1122</v>
      </c>
      <c r="E308" s="162">
        <v>21</v>
      </c>
      <c r="F308" s="134"/>
      <c r="G308" s="50">
        <f t="shared" si="28"/>
        <v>0</v>
      </c>
      <c r="H308" s="103"/>
      <c r="I308" s="144"/>
      <c r="J308" s="104"/>
      <c r="K308" s="103"/>
      <c r="L308" s="103"/>
      <c r="M308" s="141">
        <f t="shared" si="29"/>
        <v>21</v>
      </c>
      <c r="N308" s="103"/>
      <c r="O308" s="103" t="s">
        <v>946</v>
      </c>
      <c r="P308" s="137">
        <f t="shared" si="27"/>
        <v>0</v>
      </c>
    </row>
    <row r="309" spans="1:16" s="8" customFormat="1" ht="15.75" x14ac:dyDescent="0.25">
      <c r="A309" s="106" t="s">
        <v>911</v>
      </c>
      <c r="B309" s="102"/>
      <c r="C309" s="25" t="s">
        <v>330</v>
      </c>
      <c r="D309" s="25" t="s">
        <v>1122</v>
      </c>
      <c r="E309" s="162">
        <f>2+18</f>
        <v>20</v>
      </c>
      <c r="F309" s="134"/>
      <c r="G309" s="50">
        <f t="shared" si="28"/>
        <v>0</v>
      </c>
      <c r="H309" s="103"/>
      <c r="I309" s="144"/>
      <c r="J309" s="104"/>
      <c r="K309" s="103"/>
      <c r="L309" s="103"/>
      <c r="M309" s="141">
        <f t="shared" si="29"/>
        <v>20</v>
      </c>
      <c r="N309" s="103"/>
      <c r="O309" s="103" t="s">
        <v>946</v>
      </c>
      <c r="P309" s="137">
        <f t="shared" si="27"/>
        <v>0</v>
      </c>
    </row>
    <row r="310" spans="1:16" s="8" customFormat="1" ht="15.75" x14ac:dyDescent="0.25">
      <c r="A310" s="106" t="s">
        <v>912</v>
      </c>
      <c r="B310" s="102">
        <v>44193</v>
      </c>
      <c r="C310" s="25" t="s">
        <v>836</v>
      </c>
      <c r="D310" s="25" t="s">
        <v>1122</v>
      </c>
      <c r="E310" s="162">
        <v>19</v>
      </c>
      <c r="F310" s="134">
        <v>30</v>
      </c>
      <c r="G310" s="50">
        <f t="shared" si="28"/>
        <v>570</v>
      </c>
      <c r="H310" s="103"/>
      <c r="I310" s="144"/>
      <c r="J310" s="104"/>
      <c r="K310" s="103"/>
      <c r="L310" s="103"/>
      <c r="M310" s="141">
        <f t="shared" si="29"/>
        <v>19</v>
      </c>
      <c r="N310" s="103"/>
      <c r="O310" s="103" t="s">
        <v>946</v>
      </c>
      <c r="P310" s="137">
        <f t="shared" si="27"/>
        <v>570</v>
      </c>
    </row>
    <row r="311" spans="1:16" s="8" customFormat="1" ht="15.75" x14ac:dyDescent="0.25">
      <c r="A311" s="106" t="s">
        <v>530</v>
      </c>
      <c r="B311" s="102">
        <v>45020</v>
      </c>
      <c r="C311" s="25" t="s">
        <v>810</v>
      </c>
      <c r="D311" s="25" t="s">
        <v>1122</v>
      </c>
      <c r="E311" s="162">
        <v>20</v>
      </c>
      <c r="F311" s="134">
        <v>413</v>
      </c>
      <c r="G311" s="50">
        <f>+E311*F311</f>
        <v>8260</v>
      </c>
      <c r="H311" s="103"/>
      <c r="I311" s="144"/>
      <c r="J311" s="104"/>
      <c r="K311" s="103"/>
      <c r="L311" s="103">
        <v>1</v>
      </c>
      <c r="M311" s="141">
        <f t="shared" si="29"/>
        <v>19</v>
      </c>
      <c r="N311" s="103"/>
      <c r="O311" s="103" t="s">
        <v>946</v>
      </c>
      <c r="P311" s="137">
        <f t="shared" si="27"/>
        <v>7847</v>
      </c>
    </row>
    <row r="312" spans="1:16" s="8" customFormat="1" ht="15.75" x14ac:dyDescent="0.25">
      <c r="A312" s="106" t="s">
        <v>916</v>
      </c>
      <c r="B312" s="102"/>
      <c r="C312" s="25" t="s">
        <v>836</v>
      </c>
      <c r="D312" s="25" t="s">
        <v>1122</v>
      </c>
      <c r="E312" s="162">
        <v>19</v>
      </c>
      <c r="F312" s="134"/>
      <c r="G312" s="50"/>
      <c r="H312" s="103"/>
      <c r="I312" s="144"/>
      <c r="J312" s="104"/>
      <c r="K312" s="103"/>
      <c r="L312" s="103"/>
      <c r="M312" s="141">
        <f t="shared" si="29"/>
        <v>19</v>
      </c>
      <c r="N312" s="103"/>
      <c r="O312" s="103" t="s">
        <v>946</v>
      </c>
      <c r="P312" s="137">
        <f t="shared" si="27"/>
        <v>0</v>
      </c>
    </row>
    <row r="313" spans="1:16" s="92" customFormat="1" x14ac:dyDescent="0.3">
      <c r="A313" s="106" t="s">
        <v>917</v>
      </c>
      <c r="B313" s="102"/>
      <c r="C313" s="25" t="s">
        <v>918</v>
      </c>
      <c r="D313" s="25" t="s">
        <v>1122</v>
      </c>
      <c r="E313" s="162">
        <v>5</v>
      </c>
      <c r="F313" s="134"/>
      <c r="G313" s="50"/>
      <c r="H313" s="103"/>
      <c r="I313" s="144"/>
      <c r="J313" s="104"/>
      <c r="K313" s="103"/>
      <c r="L313" s="103"/>
      <c r="M313" s="141">
        <f t="shared" si="29"/>
        <v>5</v>
      </c>
      <c r="N313" s="103"/>
      <c r="O313" s="103" t="s">
        <v>945</v>
      </c>
      <c r="P313" s="137">
        <f t="shared" si="27"/>
        <v>0</v>
      </c>
    </row>
    <row r="314" spans="1:16" s="92" customFormat="1" x14ac:dyDescent="0.3">
      <c r="A314" s="106" t="s">
        <v>921</v>
      </c>
      <c r="B314" s="102"/>
      <c r="C314" s="25" t="s">
        <v>919</v>
      </c>
      <c r="D314" s="25" t="s">
        <v>1122</v>
      </c>
      <c r="E314" s="162">
        <f>12+10+11</f>
        <v>33</v>
      </c>
      <c r="F314" s="134">
        <v>150</v>
      </c>
      <c r="G314" s="50"/>
      <c r="H314" s="103"/>
      <c r="I314" s="144"/>
      <c r="J314" s="104"/>
      <c r="K314" s="103"/>
      <c r="L314" s="103">
        <v>1</v>
      </c>
      <c r="M314" s="151">
        <f t="shared" si="29"/>
        <v>32</v>
      </c>
      <c r="N314" s="103"/>
      <c r="O314" s="103" t="s">
        <v>945</v>
      </c>
      <c r="P314" s="137">
        <f t="shared" si="27"/>
        <v>4800</v>
      </c>
    </row>
    <row r="315" spans="1:16" s="92" customFormat="1" x14ac:dyDescent="0.3">
      <c r="A315" s="106" t="s">
        <v>922</v>
      </c>
      <c r="B315" s="102"/>
      <c r="C315" s="25" t="s">
        <v>926</v>
      </c>
      <c r="D315" s="25" t="s">
        <v>1122</v>
      </c>
      <c r="E315" s="162">
        <v>1</v>
      </c>
      <c r="F315" s="134"/>
      <c r="G315" s="50"/>
      <c r="H315" s="103"/>
      <c r="I315" s="144"/>
      <c r="J315" s="104"/>
      <c r="K315" s="103"/>
      <c r="L315" s="103"/>
      <c r="M315" s="141">
        <f t="shared" si="29"/>
        <v>1</v>
      </c>
      <c r="N315" s="103"/>
      <c r="O315" s="103" t="s">
        <v>945</v>
      </c>
      <c r="P315" s="137">
        <f t="shared" si="27"/>
        <v>0</v>
      </c>
    </row>
    <row r="316" spans="1:16" s="92" customFormat="1" x14ac:dyDescent="0.3">
      <c r="A316" s="106" t="s">
        <v>923</v>
      </c>
      <c r="B316" s="129">
        <v>45019</v>
      </c>
      <c r="C316" s="25" t="s">
        <v>930</v>
      </c>
      <c r="D316" s="25" t="s">
        <v>1122</v>
      </c>
      <c r="E316" s="162"/>
      <c r="F316" s="134">
        <v>128.91999999999999</v>
      </c>
      <c r="G316" s="50"/>
      <c r="H316" s="107">
        <v>45019</v>
      </c>
      <c r="I316" s="144">
        <v>50</v>
      </c>
      <c r="J316" s="104">
        <v>128.91999999999999</v>
      </c>
      <c r="K316" s="103">
        <f>+J316*I316</f>
        <v>6445.9999999999991</v>
      </c>
      <c r="L316" s="103">
        <f>10+2+1+2</f>
        <v>15</v>
      </c>
      <c r="M316" s="151">
        <f t="shared" si="29"/>
        <v>35</v>
      </c>
      <c r="N316" s="103"/>
      <c r="O316" s="103" t="s">
        <v>945</v>
      </c>
      <c r="P316" s="137">
        <f t="shared" si="27"/>
        <v>4512.2</v>
      </c>
    </row>
    <row r="317" spans="1:16" s="8" customFormat="1" ht="15.75" x14ac:dyDescent="0.25">
      <c r="A317" s="106" t="s">
        <v>932</v>
      </c>
      <c r="B317" s="102"/>
      <c r="C317" s="25" t="s">
        <v>931</v>
      </c>
      <c r="D317" s="25" t="s">
        <v>1122</v>
      </c>
      <c r="E317" s="162"/>
      <c r="F317" s="134"/>
      <c r="G317" s="50"/>
      <c r="H317" s="103"/>
      <c r="I317" s="144"/>
      <c r="J317" s="104"/>
      <c r="K317" s="103"/>
      <c r="L317" s="103">
        <f>1+1</f>
        <v>2</v>
      </c>
      <c r="M317" s="141">
        <f t="shared" si="29"/>
        <v>-2</v>
      </c>
      <c r="N317" s="103"/>
      <c r="O317" s="103" t="s">
        <v>947</v>
      </c>
      <c r="P317" s="137">
        <f t="shared" si="27"/>
        <v>0</v>
      </c>
    </row>
    <row r="318" spans="1:16" s="8" customFormat="1" ht="15.75" x14ac:dyDescent="0.25">
      <c r="A318" s="106" t="s">
        <v>933</v>
      </c>
      <c r="B318" s="102"/>
      <c r="C318" s="68" t="s">
        <v>934</v>
      </c>
      <c r="D318" s="25" t="s">
        <v>1122</v>
      </c>
      <c r="E318" s="162"/>
      <c r="F318" s="134"/>
      <c r="G318" s="50"/>
      <c r="H318" s="103"/>
      <c r="I318" s="144"/>
      <c r="J318" s="104"/>
      <c r="K318" s="103"/>
      <c r="L318" s="103">
        <f>1+1+15+1</f>
        <v>18</v>
      </c>
      <c r="M318" s="141">
        <f t="shared" si="29"/>
        <v>-18</v>
      </c>
      <c r="N318" s="103"/>
      <c r="O318" s="103" t="s">
        <v>946</v>
      </c>
      <c r="P318" s="137">
        <f t="shared" si="27"/>
        <v>0</v>
      </c>
    </row>
    <row r="319" spans="1:16" s="8" customFormat="1" ht="15.75" x14ac:dyDescent="0.25">
      <c r="A319" s="106" t="s">
        <v>936</v>
      </c>
      <c r="B319" s="102">
        <v>44193</v>
      </c>
      <c r="C319" s="25" t="s">
        <v>613</v>
      </c>
      <c r="D319" s="25" t="s">
        <v>1122</v>
      </c>
      <c r="E319" s="162">
        <v>25</v>
      </c>
      <c r="F319" s="134">
        <v>5.78</v>
      </c>
      <c r="G319" s="50">
        <f>+E319*F319</f>
        <v>144.5</v>
      </c>
      <c r="H319" s="103"/>
      <c r="I319" s="144"/>
      <c r="J319" s="104"/>
      <c r="K319" s="103"/>
      <c r="L319" s="103">
        <v>1</v>
      </c>
      <c r="M319" s="141">
        <f t="shared" si="29"/>
        <v>24</v>
      </c>
      <c r="N319" s="103"/>
      <c r="O319" s="103" t="s">
        <v>946</v>
      </c>
      <c r="P319" s="137">
        <f t="shared" si="27"/>
        <v>138.72</v>
      </c>
    </row>
    <row r="320" spans="1:16" s="8" customFormat="1" ht="15.75" x14ac:dyDescent="0.25">
      <c r="A320" s="106" t="s">
        <v>937</v>
      </c>
      <c r="B320" s="102"/>
      <c r="C320" s="25" t="s">
        <v>935</v>
      </c>
      <c r="D320" s="25" t="s">
        <v>1122</v>
      </c>
      <c r="E320" s="162"/>
      <c r="F320" s="134"/>
      <c r="G320" s="50"/>
      <c r="H320" s="103"/>
      <c r="I320" s="144"/>
      <c r="J320" s="104"/>
      <c r="K320" s="103"/>
      <c r="L320" s="103">
        <v>2</v>
      </c>
      <c r="M320" s="141">
        <f t="shared" si="29"/>
        <v>-2</v>
      </c>
      <c r="N320" s="103"/>
      <c r="O320" s="103" t="s">
        <v>946</v>
      </c>
      <c r="P320" s="137">
        <f t="shared" si="27"/>
        <v>0</v>
      </c>
    </row>
    <row r="321" spans="1:16" s="8" customFormat="1" ht="15.75" x14ac:dyDescent="0.25">
      <c r="A321" s="106" t="s">
        <v>938</v>
      </c>
      <c r="B321" s="102"/>
      <c r="C321" s="25" t="s">
        <v>939</v>
      </c>
      <c r="D321" s="25" t="s">
        <v>1122</v>
      </c>
      <c r="E321" s="162"/>
      <c r="F321" s="134"/>
      <c r="G321" s="50"/>
      <c r="H321" s="103"/>
      <c r="I321" s="144"/>
      <c r="J321" s="104"/>
      <c r="K321" s="103"/>
      <c r="L321" s="103">
        <v>1</v>
      </c>
      <c r="M321" s="141">
        <f t="shared" si="29"/>
        <v>-1</v>
      </c>
      <c r="N321" s="103"/>
      <c r="O321" s="103" t="s">
        <v>946</v>
      </c>
      <c r="P321" s="137">
        <f t="shared" si="27"/>
        <v>0</v>
      </c>
    </row>
    <row r="322" spans="1:16" s="8" customFormat="1" ht="15.75" x14ac:dyDescent="0.25">
      <c r="A322" s="106" t="s">
        <v>941</v>
      </c>
      <c r="B322" s="102"/>
      <c r="C322" s="25" t="s">
        <v>940</v>
      </c>
      <c r="D322" s="25" t="s">
        <v>1122</v>
      </c>
      <c r="E322" s="162"/>
      <c r="F322" s="134"/>
      <c r="G322" s="50"/>
      <c r="H322" s="103"/>
      <c r="I322" s="144"/>
      <c r="J322" s="104"/>
      <c r="K322" s="103"/>
      <c r="L322" s="103">
        <v>1</v>
      </c>
      <c r="M322" s="141">
        <f t="shared" si="29"/>
        <v>-1</v>
      </c>
      <c r="N322" s="103"/>
      <c r="O322" s="103" t="s">
        <v>946</v>
      </c>
      <c r="P322" s="137">
        <f t="shared" si="27"/>
        <v>0</v>
      </c>
    </row>
    <row r="323" spans="1:16" s="8" customFormat="1" ht="15.75" x14ac:dyDescent="0.25">
      <c r="A323" s="106" t="s">
        <v>948</v>
      </c>
      <c r="B323" s="107">
        <v>45127</v>
      </c>
      <c r="C323" s="25" t="s">
        <v>1240</v>
      </c>
      <c r="D323" s="25" t="s">
        <v>1122</v>
      </c>
      <c r="E323" s="162">
        <v>226</v>
      </c>
      <c r="F323" s="134">
        <v>58.51</v>
      </c>
      <c r="G323" s="50"/>
      <c r="H323" s="107">
        <v>45127</v>
      </c>
      <c r="I323" s="144">
        <v>600</v>
      </c>
      <c r="J323" s="104">
        <v>74.290000000000006</v>
      </c>
      <c r="K323" s="104">
        <f>+J323*I323</f>
        <v>44574.000000000007</v>
      </c>
      <c r="L323" s="103">
        <v>84</v>
      </c>
      <c r="M323" s="151">
        <f t="shared" si="29"/>
        <v>742</v>
      </c>
      <c r="N323" s="103"/>
      <c r="O323" s="103" t="s">
        <v>946</v>
      </c>
      <c r="P323" s="137">
        <f t="shared" si="27"/>
        <v>43414.42</v>
      </c>
    </row>
    <row r="324" spans="1:16" s="8" customFormat="1" ht="15.75" x14ac:dyDescent="0.25">
      <c r="A324" s="106" t="s">
        <v>953</v>
      </c>
      <c r="B324" s="102"/>
      <c r="C324" s="25" t="s">
        <v>949</v>
      </c>
      <c r="D324" s="25" t="s">
        <v>1122</v>
      </c>
      <c r="E324" s="162"/>
      <c r="F324" s="134"/>
      <c r="G324" s="50"/>
      <c r="H324" s="103"/>
      <c r="I324" s="144"/>
      <c r="J324" s="104"/>
      <c r="K324" s="104">
        <f t="shared" ref="K324:K325" si="30">+J324*I324</f>
        <v>0</v>
      </c>
      <c r="L324" s="103">
        <v>1</v>
      </c>
      <c r="M324" s="141">
        <f t="shared" si="29"/>
        <v>-1</v>
      </c>
      <c r="N324" s="103"/>
      <c r="O324" s="103" t="s">
        <v>946</v>
      </c>
      <c r="P324" s="137">
        <f t="shared" si="27"/>
        <v>0</v>
      </c>
    </row>
    <row r="325" spans="1:16" s="92" customFormat="1" x14ac:dyDescent="0.3">
      <c r="A325" s="106" t="s">
        <v>954</v>
      </c>
      <c r="B325" s="102"/>
      <c r="C325" s="25" t="s">
        <v>952</v>
      </c>
      <c r="D325" s="25" t="s">
        <v>1122</v>
      </c>
      <c r="E325" s="162"/>
      <c r="F325" s="134"/>
      <c r="G325" s="50"/>
      <c r="H325" s="103"/>
      <c r="I325" s="144">
        <v>130</v>
      </c>
      <c r="J325" s="104"/>
      <c r="K325" s="104">
        <f t="shared" si="30"/>
        <v>0</v>
      </c>
      <c r="L325" s="103">
        <f>9+1</f>
        <v>10</v>
      </c>
      <c r="M325" s="151">
        <f t="shared" si="29"/>
        <v>120</v>
      </c>
      <c r="N325" s="103"/>
      <c r="O325" s="103" t="s">
        <v>945</v>
      </c>
      <c r="P325" s="137">
        <f t="shared" si="27"/>
        <v>0</v>
      </c>
    </row>
    <row r="326" spans="1:16" s="92" customFormat="1" x14ac:dyDescent="0.3">
      <c r="A326" s="106" t="s">
        <v>957</v>
      </c>
      <c r="B326" s="102">
        <v>45019</v>
      </c>
      <c r="C326" s="25" t="s">
        <v>958</v>
      </c>
      <c r="D326" s="25" t="s">
        <v>1122</v>
      </c>
      <c r="E326" s="162"/>
      <c r="F326" s="134">
        <v>41.3</v>
      </c>
      <c r="G326" s="50"/>
      <c r="H326" s="107">
        <v>45019</v>
      </c>
      <c r="I326" s="144">
        <f>120+102</f>
        <v>222</v>
      </c>
      <c r="J326" s="104">
        <v>41.3</v>
      </c>
      <c r="K326" s="104">
        <f>+J326*I326</f>
        <v>9168.5999999999985</v>
      </c>
      <c r="L326" s="103">
        <f>1+1+2+2+1+1+4</f>
        <v>12</v>
      </c>
      <c r="M326" s="151">
        <f t="shared" si="29"/>
        <v>210</v>
      </c>
      <c r="N326" s="103"/>
      <c r="O326" s="103" t="s">
        <v>945</v>
      </c>
      <c r="P326" s="137">
        <f t="shared" si="27"/>
        <v>8673</v>
      </c>
    </row>
    <row r="327" spans="1:16" s="105" customFormat="1" ht="15.75" x14ac:dyDescent="0.25">
      <c r="A327" s="106" t="s">
        <v>972</v>
      </c>
      <c r="B327" s="129">
        <v>44852</v>
      </c>
      <c r="C327" s="25" t="s">
        <v>1223</v>
      </c>
      <c r="D327" s="25" t="s">
        <v>1122</v>
      </c>
      <c r="E327" s="162"/>
      <c r="F327" s="134">
        <v>36</v>
      </c>
      <c r="G327" s="50"/>
      <c r="H327" s="107">
        <v>44852</v>
      </c>
      <c r="I327" s="144">
        <v>20</v>
      </c>
      <c r="J327" s="104">
        <v>19.329999999999998</v>
      </c>
      <c r="K327" s="108">
        <f>+I327*J327</f>
        <v>386.59999999999997</v>
      </c>
      <c r="L327" s="103">
        <f>1+1+2+2+5</f>
        <v>11</v>
      </c>
      <c r="M327" s="151">
        <f t="shared" si="29"/>
        <v>9</v>
      </c>
      <c r="N327" s="103" t="s">
        <v>1037</v>
      </c>
      <c r="O327" s="103" t="s">
        <v>947</v>
      </c>
      <c r="P327" s="137">
        <f t="shared" si="27"/>
        <v>324</v>
      </c>
    </row>
    <row r="328" spans="1:16" s="105" customFormat="1" ht="15.75" x14ac:dyDescent="0.25">
      <c r="A328" s="106" t="s">
        <v>973</v>
      </c>
      <c r="B328" s="129">
        <v>44852</v>
      </c>
      <c r="C328" s="25" t="s">
        <v>1036</v>
      </c>
      <c r="D328" s="25" t="s">
        <v>1122</v>
      </c>
      <c r="E328" s="162">
        <v>6</v>
      </c>
      <c r="F328" s="134">
        <v>145.80000000000001</v>
      </c>
      <c r="G328" s="50"/>
      <c r="H328" s="107">
        <v>44852</v>
      </c>
      <c r="I328" s="144">
        <v>10</v>
      </c>
      <c r="J328" s="104">
        <v>145.80000000000001</v>
      </c>
      <c r="K328" s="108">
        <f>+I328*J328</f>
        <v>1458</v>
      </c>
      <c r="L328" s="103">
        <v>7</v>
      </c>
      <c r="M328" s="151">
        <f t="shared" si="29"/>
        <v>9</v>
      </c>
      <c r="N328" s="103" t="s">
        <v>1037</v>
      </c>
      <c r="O328" s="103" t="s">
        <v>947</v>
      </c>
      <c r="P328" s="137">
        <f t="shared" si="27"/>
        <v>1312.2</v>
      </c>
    </row>
    <row r="329" spans="1:16" s="105" customFormat="1" ht="15.75" x14ac:dyDescent="0.25">
      <c r="A329" s="106" t="s">
        <v>974</v>
      </c>
      <c r="B329" s="129">
        <v>45042</v>
      </c>
      <c r="C329" s="25" t="s">
        <v>1040</v>
      </c>
      <c r="D329" s="25" t="s">
        <v>1122</v>
      </c>
      <c r="E329" s="162"/>
      <c r="F329" s="134">
        <v>97.59</v>
      </c>
      <c r="G329" s="50"/>
      <c r="H329" s="107">
        <v>45042</v>
      </c>
      <c r="I329" s="144">
        <v>10</v>
      </c>
      <c r="J329" s="104">
        <v>116.29</v>
      </c>
      <c r="K329" s="108">
        <f>+I329*J329</f>
        <v>1162.9000000000001</v>
      </c>
      <c r="L329" s="103">
        <f>3+2+1</f>
        <v>6</v>
      </c>
      <c r="M329" s="151">
        <f t="shared" si="29"/>
        <v>4</v>
      </c>
      <c r="N329" s="103" t="s">
        <v>1037</v>
      </c>
      <c r="O329" s="103" t="s">
        <v>947</v>
      </c>
      <c r="P329" s="137">
        <f t="shared" si="27"/>
        <v>390.36</v>
      </c>
    </row>
    <row r="330" spans="1:16" s="92" customFormat="1" x14ac:dyDescent="0.3">
      <c r="A330" s="106" t="s">
        <v>975</v>
      </c>
      <c r="B330" s="102"/>
      <c r="C330" s="25" t="s">
        <v>960</v>
      </c>
      <c r="D330" s="25" t="s">
        <v>1122</v>
      </c>
      <c r="E330" s="162"/>
      <c r="F330" s="134"/>
      <c r="G330" s="50"/>
      <c r="H330" s="103"/>
      <c r="I330" s="144"/>
      <c r="J330" s="104"/>
      <c r="K330" s="103"/>
      <c r="L330" s="103">
        <v>2</v>
      </c>
      <c r="M330" s="141">
        <f t="shared" si="29"/>
        <v>-2</v>
      </c>
      <c r="N330" s="103"/>
      <c r="O330" s="103" t="s">
        <v>946</v>
      </c>
      <c r="P330" s="137">
        <f t="shared" si="27"/>
        <v>0</v>
      </c>
    </row>
    <row r="331" spans="1:16" s="92" customFormat="1" ht="32.25" x14ac:dyDescent="0.3">
      <c r="A331" s="106" t="s">
        <v>976</v>
      </c>
      <c r="B331" s="129">
        <v>44851</v>
      </c>
      <c r="C331" s="25" t="s">
        <v>961</v>
      </c>
      <c r="D331" s="25" t="s">
        <v>1122</v>
      </c>
      <c r="E331" s="162"/>
      <c r="F331" s="134">
        <v>672.78</v>
      </c>
      <c r="G331" s="50"/>
      <c r="H331" s="107">
        <v>44851</v>
      </c>
      <c r="I331" s="144">
        <v>25</v>
      </c>
      <c r="J331" s="104">
        <v>672.78</v>
      </c>
      <c r="K331" s="108">
        <f>+I331*J331</f>
        <v>16819.5</v>
      </c>
      <c r="L331" s="103">
        <v>3</v>
      </c>
      <c r="M331" s="151">
        <f t="shared" si="29"/>
        <v>22</v>
      </c>
      <c r="N331" s="121" t="s">
        <v>1006</v>
      </c>
      <c r="O331" s="103" t="s">
        <v>946</v>
      </c>
      <c r="P331" s="137">
        <f>+F331*M331</f>
        <v>14801.16</v>
      </c>
    </row>
    <row r="332" spans="1:16" s="92" customFormat="1" x14ac:dyDescent="0.3">
      <c r="A332" s="106" t="s">
        <v>977</v>
      </c>
      <c r="B332" s="129">
        <v>45111</v>
      </c>
      <c r="C332" s="25" t="s">
        <v>962</v>
      </c>
      <c r="D332" s="25" t="s">
        <v>1122</v>
      </c>
      <c r="E332" s="162">
        <v>11</v>
      </c>
      <c r="F332" s="134">
        <f>+J332</f>
        <v>2360</v>
      </c>
      <c r="G332" s="50"/>
      <c r="H332" s="107">
        <v>45111</v>
      </c>
      <c r="I332" s="144">
        <v>12</v>
      </c>
      <c r="J332" s="104">
        <v>2360</v>
      </c>
      <c r="K332" s="108">
        <f>+I332*J332</f>
        <v>28320</v>
      </c>
      <c r="L332" s="103">
        <v>0</v>
      </c>
      <c r="M332" s="141">
        <f t="shared" si="29"/>
        <v>23</v>
      </c>
      <c r="N332" s="103"/>
      <c r="O332" s="103" t="s">
        <v>946</v>
      </c>
      <c r="P332" s="137">
        <f t="shared" si="27"/>
        <v>54280</v>
      </c>
    </row>
    <row r="333" spans="1:16" s="92" customFormat="1" x14ac:dyDescent="0.3">
      <c r="A333" s="106" t="s">
        <v>978</v>
      </c>
      <c r="B333" s="129">
        <v>44852</v>
      </c>
      <c r="C333" s="25" t="s">
        <v>963</v>
      </c>
      <c r="D333" s="25" t="s">
        <v>1122</v>
      </c>
      <c r="E333" s="162"/>
      <c r="F333" s="134">
        <f t="shared" ref="F333:F341" si="31">+J333</f>
        <v>4967.8</v>
      </c>
      <c r="G333" s="50"/>
      <c r="H333" s="107">
        <v>44852</v>
      </c>
      <c r="I333" s="144">
        <v>15</v>
      </c>
      <c r="J333" s="104">
        <f>4210+757.8</f>
        <v>4967.8</v>
      </c>
      <c r="K333" s="108">
        <f>+I333*J333</f>
        <v>74517</v>
      </c>
      <c r="L333" s="103">
        <v>1</v>
      </c>
      <c r="M333" s="141">
        <f t="shared" si="29"/>
        <v>14</v>
      </c>
      <c r="N333" s="103"/>
      <c r="O333" s="103" t="s">
        <v>946</v>
      </c>
      <c r="P333" s="137">
        <f t="shared" si="27"/>
        <v>69549.2</v>
      </c>
    </row>
    <row r="334" spans="1:16" s="92" customFormat="1" x14ac:dyDescent="0.3">
      <c r="A334" s="106" t="s">
        <v>979</v>
      </c>
      <c r="B334" s="129">
        <v>44852</v>
      </c>
      <c r="C334" s="25" t="s">
        <v>964</v>
      </c>
      <c r="D334" s="25" t="s">
        <v>1122</v>
      </c>
      <c r="E334" s="162"/>
      <c r="F334" s="134">
        <f t="shared" si="31"/>
        <v>3776</v>
      </c>
      <c r="G334" s="50"/>
      <c r="H334" s="107">
        <v>44852</v>
      </c>
      <c r="I334" s="144">
        <v>16</v>
      </c>
      <c r="J334" s="104">
        <f>3200+576</f>
        <v>3776</v>
      </c>
      <c r="K334" s="108">
        <f>+I334*J334</f>
        <v>60416</v>
      </c>
      <c r="L334" s="103"/>
      <c r="M334" s="141">
        <f t="shared" si="29"/>
        <v>16</v>
      </c>
      <c r="N334" s="103"/>
      <c r="O334" s="103" t="s">
        <v>946</v>
      </c>
      <c r="P334" s="137">
        <f t="shared" si="27"/>
        <v>60416</v>
      </c>
    </row>
    <row r="335" spans="1:16" s="92" customFormat="1" x14ac:dyDescent="0.3">
      <c r="A335" s="106" t="s">
        <v>980</v>
      </c>
      <c r="B335" s="129">
        <v>44852</v>
      </c>
      <c r="C335" s="25" t="s">
        <v>965</v>
      </c>
      <c r="D335" s="25" t="s">
        <v>1122</v>
      </c>
      <c r="E335" s="162"/>
      <c r="F335" s="134">
        <f t="shared" si="31"/>
        <v>2254.98</v>
      </c>
      <c r="G335" s="50"/>
      <c r="H335" s="107">
        <v>44852</v>
      </c>
      <c r="I335" s="144">
        <v>5</v>
      </c>
      <c r="J335" s="104">
        <f>1911+343.98</f>
        <v>2254.98</v>
      </c>
      <c r="K335" s="108">
        <f t="shared" ref="K335:K345" si="32">+I335*J335</f>
        <v>11274.9</v>
      </c>
      <c r="L335" s="103"/>
      <c r="M335" s="141">
        <f t="shared" si="29"/>
        <v>5</v>
      </c>
      <c r="N335" s="103"/>
      <c r="O335" s="103" t="s">
        <v>946</v>
      </c>
      <c r="P335" s="137">
        <f t="shared" si="27"/>
        <v>11274.9</v>
      </c>
    </row>
    <row r="336" spans="1:16" s="92" customFormat="1" x14ac:dyDescent="0.3">
      <c r="A336" s="106" t="s">
        <v>981</v>
      </c>
      <c r="B336" s="129">
        <v>44852</v>
      </c>
      <c r="C336" s="25" t="s">
        <v>966</v>
      </c>
      <c r="D336" s="25" t="s">
        <v>1122</v>
      </c>
      <c r="E336" s="162"/>
      <c r="F336" s="134">
        <f t="shared" si="31"/>
        <v>3776</v>
      </c>
      <c r="G336" s="50"/>
      <c r="H336" s="107">
        <v>44852</v>
      </c>
      <c r="I336" s="144">
        <v>20</v>
      </c>
      <c r="J336" s="104">
        <f>3200+576</f>
        <v>3776</v>
      </c>
      <c r="K336" s="108">
        <f t="shared" si="32"/>
        <v>75520</v>
      </c>
      <c r="L336" s="103">
        <f>1+1</f>
        <v>2</v>
      </c>
      <c r="M336" s="141">
        <f t="shared" si="29"/>
        <v>18</v>
      </c>
      <c r="N336" s="103"/>
      <c r="O336" s="103" t="s">
        <v>946</v>
      </c>
      <c r="P336" s="137">
        <f t="shared" si="27"/>
        <v>67968</v>
      </c>
    </row>
    <row r="337" spans="1:16" s="92" customFormat="1" x14ac:dyDescent="0.3">
      <c r="A337" s="106" t="s">
        <v>982</v>
      </c>
      <c r="B337" s="129">
        <v>44852</v>
      </c>
      <c r="C337" s="25" t="s">
        <v>967</v>
      </c>
      <c r="D337" s="25" t="s">
        <v>1122</v>
      </c>
      <c r="E337" s="162"/>
      <c r="F337" s="134">
        <f t="shared" si="31"/>
        <v>5664</v>
      </c>
      <c r="G337" s="50"/>
      <c r="H337" s="107">
        <v>44852</v>
      </c>
      <c r="I337" s="144">
        <v>10</v>
      </c>
      <c r="J337" s="104">
        <f>4800+864</f>
        <v>5664</v>
      </c>
      <c r="K337" s="108">
        <f t="shared" si="32"/>
        <v>56640</v>
      </c>
      <c r="L337" s="103"/>
      <c r="M337" s="141">
        <f t="shared" si="29"/>
        <v>10</v>
      </c>
      <c r="N337" s="103"/>
      <c r="O337" s="103" t="s">
        <v>946</v>
      </c>
      <c r="P337" s="137">
        <f t="shared" si="27"/>
        <v>56640</v>
      </c>
    </row>
    <row r="338" spans="1:16" s="92" customFormat="1" x14ac:dyDescent="0.3">
      <c r="A338" s="106" t="s">
        <v>983</v>
      </c>
      <c r="B338" s="129">
        <v>44852</v>
      </c>
      <c r="C338" s="25" t="s">
        <v>968</v>
      </c>
      <c r="D338" s="25" t="s">
        <v>1122</v>
      </c>
      <c r="E338" s="162"/>
      <c r="F338" s="134">
        <f t="shared" si="31"/>
        <v>2419</v>
      </c>
      <c r="G338" s="50"/>
      <c r="H338" s="107">
        <v>44852</v>
      </c>
      <c r="I338" s="144">
        <v>35</v>
      </c>
      <c r="J338" s="104">
        <f>2050+369</f>
        <v>2419</v>
      </c>
      <c r="K338" s="108">
        <f t="shared" si="32"/>
        <v>84665</v>
      </c>
      <c r="L338" s="103">
        <v>3</v>
      </c>
      <c r="M338" s="141">
        <f t="shared" si="29"/>
        <v>32</v>
      </c>
      <c r="N338" s="103"/>
      <c r="O338" s="103" t="s">
        <v>946</v>
      </c>
      <c r="P338" s="137">
        <f t="shared" si="27"/>
        <v>77408</v>
      </c>
    </row>
    <row r="339" spans="1:16" s="92" customFormat="1" x14ac:dyDescent="0.3">
      <c r="A339" s="106" t="s">
        <v>984</v>
      </c>
      <c r="B339" s="129">
        <v>45111</v>
      </c>
      <c r="C339" s="25" t="s">
        <v>969</v>
      </c>
      <c r="D339" s="25" t="s">
        <v>1122</v>
      </c>
      <c r="E339" s="162">
        <v>5</v>
      </c>
      <c r="F339" s="134">
        <f>+J339</f>
        <v>5103.5</v>
      </c>
      <c r="G339" s="50"/>
      <c r="H339" s="107">
        <v>44852</v>
      </c>
      <c r="I339" s="144">
        <v>8</v>
      </c>
      <c r="J339" s="104">
        <v>5103.5</v>
      </c>
      <c r="K339" s="108">
        <f t="shared" si="32"/>
        <v>40828</v>
      </c>
      <c r="L339" s="103"/>
      <c r="M339" s="141">
        <f t="shared" si="29"/>
        <v>13</v>
      </c>
      <c r="N339" s="103"/>
      <c r="O339" s="103" t="s">
        <v>946</v>
      </c>
      <c r="P339" s="137">
        <f t="shared" si="27"/>
        <v>66345.5</v>
      </c>
    </row>
    <row r="340" spans="1:16" s="92" customFormat="1" x14ac:dyDescent="0.3">
      <c r="A340" s="106" t="s">
        <v>985</v>
      </c>
      <c r="B340" s="129">
        <v>44862</v>
      </c>
      <c r="C340" s="25" t="s">
        <v>994</v>
      </c>
      <c r="D340" s="25" t="s">
        <v>1122</v>
      </c>
      <c r="E340" s="162"/>
      <c r="F340" s="134">
        <f t="shared" si="31"/>
        <v>10325</v>
      </c>
      <c r="G340" s="50"/>
      <c r="H340" s="107">
        <v>44862</v>
      </c>
      <c r="I340" s="144">
        <v>40</v>
      </c>
      <c r="J340" s="104">
        <f>8750+1575</f>
        <v>10325</v>
      </c>
      <c r="K340" s="108">
        <f t="shared" si="32"/>
        <v>413000</v>
      </c>
      <c r="L340" s="103">
        <v>18</v>
      </c>
      <c r="M340" s="141">
        <f t="shared" si="29"/>
        <v>22</v>
      </c>
      <c r="N340" s="103"/>
      <c r="O340" s="103" t="s">
        <v>946</v>
      </c>
      <c r="P340" s="137">
        <f t="shared" si="27"/>
        <v>227150</v>
      </c>
    </row>
    <row r="341" spans="1:16" s="92" customFormat="1" x14ac:dyDescent="0.3">
      <c r="A341" s="106" t="s">
        <v>986</v>
      </c>
      <c r="B341" s="129">
        <v>44862</v>
      </c>
      <c r="C341" s="25" t="s">
        <v>995</v>
      </c>
      <c r="D341" s="25" t="s">
        <v>1122</v>
      </c>
      <c r="E341" s="162"/>
      <c r="F341" s="134">
        <f t="shared" si="31"/>
        <v>1546.98</v>
      </c>
      <c r="G341" s="50"/>
      <c r="H341" s="107">
        <v>44862</v>
      </c>
      <c r="I341" s="144">
        <v>4</v>
      </c>
      <c r="J341" s="104">
        <f>1311+235.98</f>
        <v>1546.98</v>
      </c>
      <c r="K341" s="108">
        <f t="shared" si="32"/>
        <v>6187.92</v>
      </c>
      <c r="L341" s="103"/>
      <c r="M341" s="141">
        <f t="shared" si="29"/>
        <v>4</v>
      </c>
      <c r="N341" s="103"/>
      <c r="O341" s="103" t="s">
        <v>946</v>
      </c>
      <c r="P341" s="137">
        <f t="shared" si="27"/>
        <v>6187.92</v>
      </c>
    </row>
    <row r="342" spans="1:16" s="92" customFormat="1" x14ac:dyDescent="0.3">
      <c r="A342" s="106" t="s">
        <v>987</v>
      </c>
      <c r="B342" s="164"/>
      <c r="C342" s="25" t="s">
        <v>295</v>
      </c>
      <c r="D342" s="25" t="s">
        <v>1122</v>
      </c>
      <c r="E342" s="162"/>
      <c r="F342" s="134"/>
      <c r="G342" s="50"/>
      <c r="H342" s="103"/>
      <c r="I342" s="144"/>
      <c r="J342" s="104"/>
      <c r="K342" s="108">
        <f t="shared" si="32"/>
        <v>0</v>
      </c>
      <c r="L342" s="103">
        <v>1</v>
      </c>
      <c r="M342" s="141">
        <f t="shared" si="29"/>
        <v>-1</v>
      </c>
      <c r="N342" s="103"/>
      <c r="O342" s="103" t="s">
        <v>946</v>
      </c>
      <c r="P342" s="137">
        <f t="shared" si="27"/>
        <v>0</v>
      </c>
    </row>
    <row r="343" spans="1:16" s="92" customFormat="1" x14ac:dyDescent="0.3">
      <c r="A343" s="106" t="s">
        <v>988</v>
      </c>
      <c r="B343" s="129">
        <v>45020</v>
      </c>
      <c r="C343" s="25" t="s">
        <v>970</v>
      </c>
      <c r="D343" s="25" t="s">
        <v>1122</v>
      </c>
      <c r="E343" s="162"/>
      <c r="F343" s="134">
        <v>4012</v>
      </c>
      <c r="G343" s="50"/>
      <c r="H343" s="107">
        <v>45020</v>
      </c>
      <c r="I343" s="144">
        <v>2</v>
      </c>
      <c r="J343" s="104">
        <v>4012</v>
      </c>
      <c r="K343" s="108">
        <f t="shared" si="32"/>
        <v>8024</v>
      </c>
      <c r="L343" s="103">
        <v>5</v>
      </c>
      <c r="M343" s="141">
        <f t="shared" si="29"/>
        <v>-3</v>
      </c>
      <c r="N343" s="103"/>
      <c r="O343" s="103" t="s">
        <v>946</v>
      </c>
      <c r="P343" s="137">
        <f t="shared" si="27"/>
        <v>-12036</v>
      </c>
    </row>
    <row r="344" spans="1:16" s="92" customFormat="1" x14ac:dyDescent="0.3">
      <c r="A344" s="106" t="s">
        <v>989</v>
      </c>
      <c r="B344" s="129">
        <v>44903</v>
      </c>
      <c r="C344" s="25" t="s">
        <v>971</v>
      </c>
      <c r="D344" s="25" t="s">
        <v>1122</v>
      </c>
      <c r="E344" s="162"/>
      <c r="F344" s="134">
        <v>118.15</v>
      </c>
      <c r="G344" s="50"/>
      <c r="H344" s="107">
        <v>44903</v>
      </c>
      <c r="I344" s="144">
        <f>2*12</f>
        <v>24</v>
      </c>
      <c r="J344" s="104">
        <v>118.15</v>
      </c>
      <c r="K344" s="108">
        <f t="shared" si="32"/>
        <v>2835.6000000000004</v>
      </c>
      <c r="L344" s="103">
        <f>3+3</f>
        <v>6</v>
      </c>
      <c r="M344" s="141">
        <f t="shared" si="29"/>
        <v>18</v>
      </c>
      <c r="N344" s="103"/>
      <c r="O344" s="103" t="s">
        <v>946</v>
      </c>
      <c r="P344" s="137">
        <f t="shared" si="27"/>
        <v>2126.7000000000003</v>
      </c>
    </row>
    <row r="345" spans="1:16" s="92" customFormat="1" x14ac:dyDescent="0.3">
      <c r="A345" s="106" t="s">
        <v>990</v>
      </c>
      <c r="B345" s="129">
        <v>44851</v>
      </c>
      <c r="C345" s="25" t="s">
        <v>996</v>
      </c>
      <c r="D345" s="25" t="s">
        <v>1122</v>
      </c>
      <c r="E345" s="162"/>
      <c r="F345" s="134">
        <v>240.72</v>
      </c>
      <c r="G345" s="50"/>
      <c r="H345" s="107">
        <v>44851</v>
      </c>
      <c r="I345" s="144">
        <v>30</v>
      </c>
      <c r="J345" s="104">
        <v>240.72</v>
      </c>
      <c r="K345" s="108">
        <f t="shared" si="32"/>
        <v>7221.6</v>
      </c>
      <c r="L345" s="103">
        <v>1</v>
      </c>
      <c r="M345" s="141">
        <f t="shared" si="29"/>
        <v>29</v>
      </c>
      <c r="N345" s="121"/>
      <c r="O345" s="103"/>
      <c r="P345" s="137">
        <f t="shared" ref="P345:P408" si="33">+F345*M345</f>
        <v>6980.88</v>
      </c>
    </row>
    <row r="346" spans="1:16" s="92" customFormat="1" x14ac:dyDescent="0.3">
      <c r="A346" s="106" t="s">
        <v>991</v>
      </c>
      <c r="B346" s="129">
        <v>44851</v>
      </c>
      <c r="C346" s="25" t="s">
        <v>997</v>
      </c>
      <c r="D346" s="25" t="s">
        <v>1122</v>
      </c>
      <c r="E346" s="162"/>
      <c r="F346" s="134">
        <v>40.119999999999997</v>
      </c>
      <c r="G346" s="50"/>
      <c r="H346" s="107">
        <v>44851</v>
      </c>
      <c r="I346" s="144">
        <v>10</v>
      </c>
      <c r="J346" s="104">
        <v>40.119999999999997</v>
      </c>
      <c r="K346" s="108">
        <f>+I346*J346</f>
        <v>401.2</v>
      </c>
      <c r="L346" s="103"/>
      <c r="M346" s="141">
        <f t="shared" si="29"/>
        <v>10</v>
      </c>
      <c r="N346" s="121"/>
      <c r="O346" s="103"/>
      <c r="P346" s="137">
        <f t="shared" si="33"/>
        <v>401.2</v>
      </c>
    </row>
    <row r="347" spans="1:16" s="92" customFormat="1" x14ac:dyDescent="0.3">
      <c r="A347" s="106" t="s">
        <v>992</v>
      </c>
      <c r="B347" s="129">
        <v>45111</v>
      </c>
      <c r="C347" s="25" t="s">
        <v>998</v>
      </c>
      <c r="D347" s="25" t="s">
        <v>1122</v>
      </c>
      <c r="E347" s="162">
        <v>25</v>
      </c>
      <c r="F347" s="134">
        <v>141.6</v>
      </c>
      <c r="G347" s="50"/>
      <c r="H347" s="107">
        <v>45111</v>
      </c>
      <c r="I347" s="144">
        <v>10</v>
      </c>
      <c r="J347" s="104">
        <v>165.2</v>
      </c>
      <c r="K347" s="108">
        <f t="shared" ref="K347:K365" si="34">+I347*J347</f>
        <v>1652</v>
      </c>
      <c r="L347" s="103"/>
      <c r="M347" s="141">
        <f t="shared" si="29"/>
        <v>35</v>
      </c>
      <c r="N347" s="121"/>
      <c r="O347" s="103"/>
      <c r="P347" s="137">
        <f t="shared" si="33"/>
        <v>4956</v>
      </c>
    </row>
    <row r="348" spans="1:16" s="92" customFormat="1" x14ac:dyDescent="0.3">
      <c r="A348" s="106" t="s">
        <v>993</v>
      </c>
      <c r="B348" s="129">
        <v>44851</v>
      </c>
      <c r="C348" s="25" t="s">
        <v>999</v>
      </c>
      <c r="D348" s="25" t="s">
        <v>1122</v>
      </c>
      <c r="E348" s="162"/>
      <c r="F348" s="134">
        <v>1443.73</v>
      </c>
      <c r="G348" s="50"/>
      <c r="H348" s="107">
        <v>44851</v>
      </c>
      <c r="I348" s="144">
        <v>4</v>
      </c>
      <c r="J348" s="104">
        <v>1443.73</v>
      </c>
      <c r="K348" s="104">
        <f t="shared" si="34"/>
        <v>5774.92</v>
      </c>
      <c r="L348" s="103"/>
      <c r="M348" s="141">
        <f t="shared" si="29"/>
        <v>4</v>
      </c>
      <c r="N348" s="121"/>
      <c r="O348" s="103"/>
      <c r="P348" s="137">
        <f t="shared" si="33"/>
        <v>5774.92</v>
      </c>
    </row>
    <row r="349" spans="1:16" s="92" customFormat="1" x14ac:dyDescent="0.3">
      <c r="A349" s="106" t="s">
        <v>1015</v>
      </c>
      <c r="B349" s="129">
        <v>44851</v>
      </c>
      <c r="C349" s="25" t="s">
        <v>1000</v>
      </c>
      <c r="D349" s="25" t="s">
        <v>1122</v>
      </c>
      <c r="E349" s="162"/>
      <c r="F349" s="134">
        <v>1177.05</v>
      </c>
      <c r="G349" s="50"/>
      <c r="H349" s="107">
        <v>44851</v>
      </c>
      <c r="I349" s="144">
        <v>10</v>
      </c>
      <c r="J349" s="104">
        <v>1177.05</v>
      </c>
      <c r="K349" s="104">
        <f t="shared" si="34"/>
        <v>11770.5</v>
      </c>
      <c r="L349" s="103">
        <v>1</v>
      </c>
      <c r="M349" s="151">
        <f t="shared" si="29"/>
        <v>9</v>
      </c>
      <c r="N349" s="121"/>
      <c r="O349" s="103"/>
      <c r="P349" s="137">
        <f t="shared" si="33"/>
        <v>10593.449999999999</v>
      </c>
    </row>
    <row r="350" spans="1:16" s="92" customFormat="1" x14ac:dyDescent="0.3">
      <c r="A350" s="106" t="s">
        <v>1016</v>
      </c>
      <c r="B350" s="129">
        <v>44851</v>
      </c>
      <c r="C350" s="25" t="s">
        <v>1001</v>
      </c>
      <c r="D350" s="25" t="s">
        <v>1122</v>
      </c>
      <c r="E350" s="162"/>
      <c r="F350" s="134">
        <v>1330.45</v>
      </c>
      <c r="G350" s="50"/>
      <c r="H350" s="107">
        <v>44851</v>
      </c>
      <c r="I350" s="144">
        <v>4</v>
      </c>
      <c r="J350" s="104">
        <v>1330.45</v>
      </c>
      <c r="K350" s="104">
        <f t="shared" si="34"/>
        <v>5321.8</v>
      </c>
      <c r="L350" s="103"/>
      <c r="M350" s="141">
        <f t="shared" si="29"/>
        <v>4</v>
      </c>
      <c r="N350" s="121"/>
      <c r="O350" s="103"/>
      <c r="P350" s="137">
        <f t="shared" si="33"/>
        <v>5321.8</v>
      </c>
    </row>
    <row r="351" spans="1:16" s="92" customFormat="1" x14ac:dyDescent="0.3">
      <c r="A351" s="106" t="s">
        <v>1017</v>
      </c>
      <c r="B351" s="129">
        <v>44851</v>
      </c>
      <c r="C351" s="25" t="s">
        <v>1002</v>
      </c>
      <c r="D351" s="25" t="s">
        <v>1122</v>
      </c>
      <c r="E351" s="162"/>
      <c r="F351" s="134">
        <v>676.14</v>
      </c>
      <c r="G351" s="50"/>
      <c r="H351" s="107">
        <v>44851</v>
      </c>
      <c r="I351" s="144">
        <v>4</v>
      </c>
      <c r="J351" s="104">
        <v>676.14</v>
      </c>
      <c r="K351" s="104">
        <f t="shared" si="34"/>
        <v>2704.56</v>
      </c>
      <c r="L351" s="103"/>
      <c r="M351" s="141">
        <f t="shared" si="29"/>
        <v>4</v>
      </c>
      <c r="N351" s="121"/>
      <c r="O351" s="103"/>
      <c r="P351" s="137">
        <f t="shared" si="33"/>
        <v>2704.56</v>
      </c>
    </row>
    <row r="352" spans="1:16" s="92" customFormat="1" ht="32.25" x14ac:dyDescent="0.3">
      <c r="A352" s="106" t="s">
        <v>1018</v>
      </c>
      <c r="B352" s="129">
        <v>44851</v>
      </c>
      <c r="C352" s="25" t="s">
        <v>1003</v>
      </c>
      <c r="D352" s="25" t="s">
        <v>1122</v>
      </c>
      <c r="E352" s="162"/>
      <c r="F352" s="134">
        <v>693.84</v>
      </c>
      <c r="G352" s="50"/>
      <c r="H352" s="107">
        <v>44851</v>
      </c>
      <c r="I352" s="144">
        <v>4</v>
      </c>
      <c r="J352" s="104">
        <v>693.84</v>
      </c>
      <c r="K352" s="104">
        <f t="shared" si="34"/>
        <v>2775.36</v>
      </c>
      <c r="L352" s="103"/>
      <c r="M352" s="141">
        <f t="shared" si="29"/>
        <v>4</v>
      </c>
      <c r="N352" s="121" t="s">
        <v>1006</v>
      </c>
      <c r="O352" s="103" t="s">
        <v>946</v>
      </c>
      <c r="P352" s="137">
        <f t="shared" si="33"/>
        <v>2775.36</v>
      </c>
    </row>
    <row r="353" spans="1:16" customFormat="1" ht="31.5" x14ac:dyDescent="0.25">
      <c r="A353" s="106" t="s">
        <v>1019</v>
      </c>
      <c r="B353" s="129">
        <v>44851</v>
      </c>
      <c r="C353" s="25" t="s">
        <v>1004</v>
      </c>
      <c r="D353" s="25" t="s">
        <v>1122</v>
      </c>
      <c r="E353" s="162"/>
      <c r="F353" s="134">
        <v>1632.53</v>
      </c>
      <c r="G353" s="50"/>
      <c r="H353" s="107">
        <v>44851</v>
      </c>
      <c r="I353" s="144">
        <v>4</v>
      </c>
      <c r="J353" s="104">
        <v>1632.53</v>
      </c>
      <c r="K353" s="104">
        <f t="shared" si="34"/>
        <v>6530.12</v>
      </c>
      <c r="L353" s="117"/>
      <c r="M353" s="141">
        <f t="shared" si="29"/>
        <v>4</v>
      </c>
      <c r="N353" s="121" t="s">
        <v>1006</v>
      </c>
      <c r="O353" s="117" t="s">
        <v>946</v>
      </c>
      <c r="P353" s="137">
        <f t="shared" si="33"/>
        <v>6530.12</v>
      </c>
    </row>
    <row r="354" spans="1:16" s="2" customFormat="1" ht="31.5" x14ac:dyDescent="0.25">
      <c r="A354" s="106" t="s">
        <v>1020</v>
      </c>
      <c r="B354" s="129">
        <v>44851</v>
      </c>
      <c r="C354" s="25" t="s">
        <v>1005</v>
      </c>
      <c r="D354" s="25" t="s">
        <v>1122</v>
      </c>
      <c r="E354" s="162"/>
      <c r="F354" s="134">
        <v>3268.6</v>
      </c>
      <c r="G354" s="50"/>
      <c r="H354" s="107">
        <v>44851</v>
      </c>
      <c r="I354" s="144">
        <v>1</v>
      </c>
      <c r="J354" s="104">
        <v>3268.6</v>
      </c>
      <c r="K354" s="104">
        <f t="shared" si="34"/>
        <v>3268.6</v>
      </c>
      <c r="L354" s="117"/>
      <c r="M354" s="141">
        <f t="shared" si="29"/>
        <v>1</v>
      </c>
      <c r="N354" s="121" t="s">
        <v>1006</v>
      </c>
      <c r="O354" s="117" t="s">
        <v>946</v>
      </c>
      <c r="P354" s="137">
        <f t="shared" si="33"/>
        <v>3268.6</v>
      </c>
    </row>
    <row r="355" spans="1:16" ht="32.25" x14ac:dyDescent="0.3">
      <c r="A355" s="106" t="s">
        <v>1021</v>
      </c>
      <c r="B355" s="129">
        <v>44851</v>
      </c>
      <c r="C355" s="25" t="s">
        <v>1007</v>
      </c>
      <c r="D355" s="25" t="s">
        <v>1122</v>
      </c>
      <c r="E355" s="162"/>
      <c r="F355" s="134">
        <v>3908.16</v>
      </c>
      <c r="G355" s="50"/>
      <c r="H355" s="107">
        <v>44851</v>
      </c>
      <c r="I355" s="144">
        <v>15</v>
      </c>
      <c r="J355" s="104">
        <v>3908.16</v>
      </c>
      <c r="K355" s="104">
        <f t="shared" si="34"/>
        <v>58622.399999999994</v>
      </c>
      <c r="L355" s="117"/>
      <c r="M355" s="141">
        <f t="shared" si="29"/>
        <v>15</v>
      </c>
      <c r="N355" s="121" t="s">
        <v>1006</v>
      </c>
      <c r="O355" s="117" t="s">
        <v>946</v>
      </c>
      <c r="P355" s="137">
        <f t="shared" si="33"/>
        <v>58622.399999999994</v>
      </c>
    </row>
    <row r="356" spans="1:16" ht="23.25" customHeight="1" x14ac:dyDescent="0.3">
      <c r="A356" s="106" t="s">
        <v>1022</v>
      </c>
      <c r="B356" s="129">
        <v>45111</v>
      </c>
      <c r="C356" s="25" t="s">
        <v>1008</v>
      </c>
      <c r="D356" s="25" t="s">
        <v>1122</v>
      </c>
      <c r="E356" s="162">
        <v>0</v>
      </c>
      <c r="F356" s="134">
        <v>1711</v>
      </c>
      <c r="G356" s="50"/>
      <c r="H356" s="107">
        <v>45111</v>
      </c>
      <c r="I356" s="144">
        <v>20</v>
      </c>
      <c r="J356" s="104">
        <v>4973.7</v>
      </c>
      <c r="K356" s="104">
        <f t="shared" si="34"/>
        <v>99474</v>
      </c>
      <c r="L356" s="117">
        <v>0</v>
      </c>
      <c r="M356" s="141">
        <f t="shared" si="29"/>
        <v>20</v>
      </c>
      <c r="N356" s="121"/>
      <c r="O356" s="117"/>
      <c r="P356" s="137">
        <f t="shared" si="33"/>
        <v>34220</v>
      </c>
    </row>
    <row r="357" spans="1:16" ht="32.25" x14ac:dyDescent="0.3">
      <c r="A357" s="106" t="s">
        <v>1023</v>
      </c>
      <c r="B357" s="129">
        <v>45111</v>
      </c>
      <c r="C357" s="25" t="s">
        <v>1009</v>
      </c>
      <c r="D357" s="25" t="s">
        <v>1122</v>
      </c>
      <c r="E357" s="162">
        <v>5</v>
      </c>
      <c r="F357" s="134">
        <v>1165.8399999999999</v>
      </c>
      <c r="G357" s="50"/>
      <c r="H357" s="107">
        <v>45111</v>
      </c>
      <c r="I357" s="144">
        <v>20</v>
      </c>
      <c r="J357" s="104">
        <v>2242</v>
      </c>
      <c r="K357" s="104">
        <f t="shared" si="34"/>
        <v>44840</v>
      </c>
      <c r="L357" s="117"/>
      <c r="M357" s="141">
        <f t="shared" si="29"/>
        <v>25</v>
      </c>
      <c r="N357" s="121" t="s">
        <v>1006</v>
      </c>
      <c r="O357" s="117" t="s">
        <v>946</v>
      </c>
      <c r="P357" s="137">
        <f t="shared" si="33"/>
        <v>29145.999999999996</v>
      </c>
    </row>
    <row r="358" spans="1:16" ht="23.25" customHeight="1" x14ac:dyDescent="0.3">
      <c r="A358" s="106" t="s">
        <v>1024</v>
      </c>
      <c r="B358" s="129">
        <v>44851</v>
      </c>
      <c r="C358" s="25" t="s">
        <v>1010</v>
      </c>
      <c r="D358" s="25" t="s">
        <v>1122</v>
      </c>
      <c r="E358" s="162"/>
      <c r="F358" s="134">
        <v>4399.04</v>
      </c>
      <c r="G358" s="50"/>
      <c r="H358" s="107">
        <v>44851</v>
      </c>
      <c r="I358" s="144">
        <v>5</v>
      </c>
      <c r="J358" s="104">
        <v>4399.04</v>
      </c>
      <c r="K358" s="104">
        <f t="shared" si="34"/>
        <v>21995.200000000001</v>
      </c>
      <c r="L358" s="117"/>
      <c r="M358" s="141">
        <f t="shared" si="29"/>
        <v>5</v>
      </c>
      <c r="N358" s="121" t="s">
        <v>1006</v>
      </c>
      <c r="O358" s="117" t="s">
        <v>946</v>
      </c>
      <c r="P358" s="137">
        <f t="shared" si="33"/>
        <v>21995.200000000001</v>
      </c>
    </row>
    <row r="359" spans="1:16" ht="32.25" x14ac:dyDescent="0.3">
      <c r="A359" s="106" t="s">
        <v>1025</v>
      </c>
      <c r="B359" s="129">
        <v>44851</v>
      </c>
      <c r="C359" s="25" t="s">
        <v>1011</v>
      </c>
      <c r="D359" s="25" t="s">
        <v>1122</v>
      </c>
      <c r="E359" s="162"/>
      <c r="F359" s="134">
        <v>4399.04</v>
      </c>
      <c r="G359" s="50"/>
      <c r="H359" s="107">
        <v>44851</v>
      </c>
      <c r="I359" s="144">
        <v>5</v>
      </c>
      <c r="J359" s="118">
        <v>4399.04</v>
      </c>
      <c r="K359" s="118">
        <f t="shared" si="34"/>
        <v>21995.200000000001</v>
      </c>
      <c r="L359" s="117"/>
      <c r="M359" s="141">
        <f t="shared" si="29"/>
        <v>5</v>
      </c>
      <c r="N359" s="121" t="s">
        <v>1006</v>
      </c>
      <c r="O359" s="117" t="s">
        <v>946</v>
      </c>
      <c r="P359" s="137">
        <f t="shared" si="33"/>
        <v>21995.200000000001</v>
      </c>
    </row>
    <row r="360" spans="1:16" ht="32.25" x14ac:dyDescent="0.3">
      <c r="A360" s="106" t="s">
        <v>1026</v>
      </c>
      <c r="B360" s="129">
        <v>44851</v>
      </c>
      <c r="C360" s="25" t="s">
        <v>1012</v>
      </c>
      <c r="D360" s="25" t="s">
        <v>1122</v>
      </c>
      <c r="E360" s="162"/>
      <c r="F360" s="134">
        <v>4399.04</v>
      </c>
      <c r="G360" s="50"/>
      <c r="H360" s="107">
        <v>44851</v>
      </c>
      <c r="I360" s="144">
        <v>5</v>
      </c>
      <c r="J360" s="118">
        <v>4399.04</v>
      </c>
      <c r="K360" s="118">
        <f t="shared" si="34"/>
        <v>21995.200000000001</v>
      </c>
      <c r="L360" s="117"/>
      <c r="M360" s="141">
        <f t="shared" si="29"/>
        <v>5</v>
      </c>
      <c r="N360" s="121" t="s">
        <v>1006</v>
      </c>
      <c r="O360" s="117" t="s">
        <v>946</v>
      </c>
      <c r="P360" s="137">
        <f t="shared" si="33"/>
        <v>21995.200000000001</v>
      </c>
    </row>
    <row r="361" spans="1:16" ht="32.25" x14ac:dyDescent="0.3">
      <c r="A361" s="106" t="s">
        <v>1027</v>
      </c>
      <c r="B361" s="129">
        <v>44851</v>
      </c>
      <c r="C361" s="25" t="s">
        <v>1013</v>
      </c>
      <c r="D361" s="25" t="s">
        <v>1122</v>
      </c>
      <c r="E361" s="162"/>
      <c r="F361" s="134">
        <v>1869.12</v>
      </c>
      <c r="G361" s="50"/>
      <c r="H361" s="107">
        <v>44851</v>
      </c>
      <c r="I361" s="144">
        <v>12</v>
      </c>
      <c r="J361" s="118">
        <v>1869.12</v>
      </c>
      <c r="K361" s="118">
        <f t="shared" si="34"/>
        <v>22429.439999999999</v>
      </c>
      <c r="L361" s="117"/>
      <c r="M361" s="141">
        <f t="shared" si="29"/>
        <v>12</v>
      </c>
      <c r="N361" s="121" t="s">
        <v>1006</v>
      </c>
      <c r="O361" s="117" t="s">
        <v>946</v>
      </c>
      <c r="P361" s="137">
        <f t="shared" si="33"/>
        <v>22429.439999999999</v>
      </c>
    </row>
    <row r="362" spans="1:16" ht="32.25" x14ac:dyDescent="0.3">
      <c r="A362" s="106" t="s">
        <v>1028</v>
      </c>
      <c r="B362" s="129">
        <v>44851</v>
      </c>
      <c r="C362" s="25" t="s">
        <v>1014</v>
      </c>
      <c r="D362" s="25" t="s">
        <v>1122</v>
      </c>
      <c r="E362" s="162"/>
      <c r="F362" s="134">
        <v>41.3</v>
      </c>
      <c r="G362" s="50"/>
      <c r="H362" s="107">
        <v>44851</v>
      </c>
      <c r="I362" s="144">
        <v>30</v>
      </c>
      <c r="J362" s="118">
        <v>41.3</v>
      </c>
      <c r="K362" s="118">
        <f t="shared" si="34"/>
        <v>1239</v>
      </c>
      <c r="L362" s="117"/>
      <c r="M362" s="141">
        <f t="shared" si="29"/>
        <v>30</v>
      </c>
      <c r="N362" s="121" t="s">
        <v>1006</v>
      </c>
      <c r="O362" s="117" t="s">
        <v>946</v>
      </c>
      <c r="P362" s="137">
        <f t="shared" si="33"/>
        <v>1239</v>
      </c>
    </row>
    <row r="363" spans="1:16" s="105" customFormat="1" ht="15.75" x14ac:dyDescent="0.25">
      <c r="A363" s="106" t="s">
        <v>1029</v>
      </c>
      <c r="B363" s="129">
        <v>44852</v>
      </c>
      <c r="C363" s="25" t="s">
        <v>1038</v>
      </c>
      <c r="D363" s="25" t="s">
        <v>1122</v>
      </c>
      <c r="E363" s="162"/>
      <c r="F363" s="134">
        <v>18.77</v>
      </c>
      <c r="G363" s="50"/>
      <c r="H363" s="107">
        <v>44852</v>
      </c>
      <c r="I363" s="144">
        <v>10</v>
      </c>
      <c r="J363" s="104">
        <v>18.77</v>
      </c>
      <c r="K363" s="104">
        <f t="shared" si="34"/>
        <v>187.7</v>
      </c>
      <c r="L363" s="103"/>
      <c r="M363" s="141">
        <f t="shared" si="29"/>
        <v>10</v>
      </c>
      <c r="N363" s="121" t="s">
        <v>1037</v>
      </c>
      <c r="O363" s="103" t="s">
        <v>947</v>
      </c>
      <c r="P363" s="137">
        <f t="shared" si="33"/>
        <v>187.7</v>
      </c>
    </row>
    <row r="364" spans="1:16" s="105" customFormat="1" ht="15.75" x14ac:dyDescent="0.25">
      <c r="A364" s="106" t="s">
        <v>1030</v>
      </c>
      <c r="B364" s="129">
        <v>44852</v>
      </c>
      <c r="C364" s="25" t="s">
        <v>1041</v>
      </c>
      <c r="D364" s="25" t="s">
        <v>1122</v>
      </c>
      <c r="E364" s="162">
        <v>56</v>
      </c>
      <c r="F364" s="134">
        <v>44.55</v>
      </c>
      <c r="G364" s="50"/>
      <c r="H364" s="107">
        <v>44852</v>
      </c>
      <c r="I364" s="144">
        <v>40</v>
      </c>
      <c r="J364" s="104">
        <v>44.55</v>
      </c>
      <c r="K364" s="104">
        <f t="shared" si="34"/>
        <v>1782</v>
      </c>
      <c r="L364" s="103">
        <v>4</v>
      </c>
      <c r="M364" s="151">
        <f>+E364+I364-L364</f>
        <v>92</v>
      </c>
      <c r="N364" s="121" t="s">
        <v>1037</v>
      </c>
      <c r="O364" s="103" t="s">
        <v>947</v>
      </c>
      <c r="P364" s="137">
        <f t="shared" si="33"/>
        <v>4098.5999999999995</v>
      </c>
    </row>
    <row r="365" spans="1:16" s="105" customFormat="1" ht="15.75" x14ac:dyDescent="0.25">
      <c r="A365" s="106" t="s">
        <v>1031</v>
      </c>
      <c r="B365" s="129">
        <v>44851</v>
      </c>
      <c r="C365" s="25" t="s">
        <v>1042</v>
      </c>
      <c r="D365" s="25" t="s">
        <v>1122</v>
      </c>
      <c r="E365" s="162">
        <v>1</v>
      </c>
      <c r="F365" s="134">
        <v>650</v>
      </c>
      <c r="G365" s="50"/>
      <c r="H365" s="107">
        <v>44851</v>
      </c>
      <c r="I365" s="144">
        <v>2</v>
      </c>
      <c r="J365" s="104">
        <v>650</v>
      </c>
      <c r="K365" s="104">
        <f t="shared" si="34"/>
        <v>1300</v>
      </c>
      <c r="L365" s="103"/>
      <c r="M365" s="151">
        <f t="shared" si="29"/>
        <v>3</v>
      </c>
      <c r="N365" s="121" t="s">
        <v>1037</v>
      </c>
      <c r="O365" s="103" t="s">
        <v>947</v>
      </c>
      <c r="P365" s="137">
        <f t="shared" si="33"/>
        <v>1950</v>
      </c>
    </row>
    <row r="366" spans="1:16" s="105" customFormat="1" ht="15.75" x14ac:dyDescent="0.25">
      <c r="A366" s="106" t="s">
        <v>1032</v>
      </c>
      <c r="B366" s="129">
        <v>44852</v>
      </c>
      <c r="C366" s="25" t="s">
        <v>1043</v>
      </c>
      <c r="D366" s="25" t="s">
        <v>1122</v>
      </c>
      <c r="E366" s="162"/>
      <c r="F366" s="134">
        <v>27</v>
      </c>
      <c r="G366" s="50"/>
      <c r="H366" s="107">
        <v>44852</v>
      </c>
      <c r="I366" s="144">
        <f>10*12</f>
        <v>120</v>
      </c>
      <c r="J366" s="104">
        <v>27</v>
      </c>
      <c r="K366" s="104">
        <f>+J366*I366</f>
        <v>3240</v>
      </c>
      <c r="L366" s="103">
        <f>72-12</f>
        <v>60</v>
      </c>
      <c r="M366" s="151">
        <f t="shared" si="29"/>
        <v>60</v>
      </c>
      <c r="N366" s="121" t="s">
        <v>1037</v>
      </c>
      <c r="O366" s="103" t="s">
        <v>947</v>
      </c>
      <c r="P366" s="137">
        <f t="shared" si="33"/>
        <v>1620</v>
      </c>
    </row>
    <row r="367" spans="1:16" s="105" customFormat="1" ht="15.75" x14ac:dyDescent="0.25">
      <c r="A367" s="106" t="s">
        <v>1033</v>
      </c>
      <c r="B367" s="129">
        <v>44852</v>
      </c>
      <c r="C367" s="25" t="s">
        <v>1044</v>
      </c>
      <c r="D367" s="25" t="s">
        <v>1122</v>
      </c>
      <c r="E367" s="162"/>
      <c r="F367" s="134">
        <v>45.89</v>
      </c>
      <c r="G367" s="50"/>
      <c r="H367" s="107">
        <v>44852</v>
      </c>
      <c r="I367" s="144">
        <v>120</v>
      </c>
      <c r="J367" s="104">
        <v>45.89</v>
      </c>
      <c r="K367" s="104">
        <f>+J367*I367</f>
        <v>5506.8</v>
      </c>
      <c r="L367" s="103">
        <v>72</v>
      </c>
      <c r="M367" s="151">
        <f t="shared" si="29"/>
        <v>48</v>
      </c>
      <c r="N367" s="121" t="s">
        <v>1037</v>
      </c>
      <c r="O367" s="103" t="s">
        <v>947</v>
      </c>
      <c r="P367" s="137">
        <f t="shared" si="33"/>
        <v>2202.7200000000003</v>
      </c>
    </row>
    <row r="368" spans="1:16" s="105" customFormat="1" ht="15.75" x14ac:dyDescent="0.25">
      <c r="A368" s="106" t="s">
        <v>1034</v>
      </c>
      <c r="B368" s="129">
        <v>44852</v>
      </c>
      <c r="C368" s="25" t="s">
        <v>1045</v>
      </c>
      <c r="D368" s="25" t="s">
        <v>1122</v>
      </c>
      <c r="E368" s="162"/>
      <c r="F368" s="134">
        <v>51.33</v>
      </c>
      <c r="G368" s="50"/>
      <c r="H368" s="107">
        <v>44852</v>
      </c>
      <c r="I368" s="144">
        <v>120</v>
      </c>
      <c r="J368" s="104">
        <v>51.33</v>
      </c>
      <c r="K368" s="104">
        <f t="shared" ref="K368:K383" si="35">+J368*I368</f>
        <v>6159.5999999999995</v>
      </c>
      <c r="L368" s="103"/>
      <c r="M368" s="141">
        <f t="shared" ref="M368:M426" si="36">+E368+I368-L368</f>
        <v>120</v>
      </c>
      <c r="N368" s="121" t="s">
        <v>1037</v>
      </c>
      <c r="O368" s="103" t="s">
        <v>947</v>
      </c>
      <c r="P368" s="137">
        <f t="shared" si="33"/>
        <v>6159.5999999999995</v>
      </c>
    </row>
    <row r="369" spans="1:16" s="105" customFormat="1" ht="15.75" x14ac:dyDescent="0.25">
      <c r="A369" s="106" t="s">
        <v>1057</v>
      </c>
      <c r="B369" s="129">
        <v>44852</v>
      </c>
      <c r="C369" s="25" t="s">
        <v>1046</v>
      </c>
      <c r="D369" s="25" t="s">
        <v>1122</v>
      </c>
      <c r="E369" s="162"/>
      <c r="F369" s="134">
        <v>127.65</v>
      </c>
      <c r="G369" s="50"/>
      <c r="H369" s="107">
        <v>44852</v>
      </c>
      <c r="I369" s="144">
        <v>120</v>
      </c>
      <c r="J369" s="104">
        <v>127.65</v>
      </c>
      <c r="K369" s="104">
        <f t="shared" si="35"/>
        <v>15318</v>
      </c>
      <c r="L369" s="103">
        <v>1</v>
      </c>
      <c r="M369" s="141">
        <f t="shared" si="36"/>
        <v>119</v>
      </c>
      <c r="N369" s="121" t="s">
        <v>1037</v>
      </c>
      <c r="O369" s="103" t="s">
        <v>947</v>
      </c>
      <c r="P369" s="137">
        <f t="shared" si="33"/>
        <v>15190.35</v>
      </c>
    </row>
    <row r="370" spans="1:16" s="105" customFormat="1" ht="15.75" x14ac:dyDescent="0.25">
      <c r="A370" s="106" t="s">
        <v>1058</v>
      </c>
      <c r="B370" s="129">
        <v>44852</v>
      </c>
      <c r="C370" s="25" t="s">
        <v>1047</v>
      </c>
      <c r="D370" s="25" t="s">
        <v>1122</v>
      </c>
      <c r="E370" s="162"/>
      <c r="F370" s="134">
        <v>5442.16</v>
      </c>
      <c r="G370" s="50"/>
      <c r="H370" s="107">
        <v>44852</v>
      </c>
      <c r="I370" s="144">
        <v>5</v>
      </c>
      <c r="J370" s="104">
        <v>5442.16</v>
      </c>
      <c r="K370" s="104">
        <f t="shared" si="35"/>
        <v>27210.799999999999</v>
      </c>
      <c r="L370" s="103">
        <v>1</v>
      </c>
      <c r="M370" s="151">
        <f t="shared" si="36"/>
        <v>4</v>
      </c>
      <c r="N370" s="121" t="s">
        <v>1037</v>
      </c>
      <c r="O370" s="103" t="s">
        <v>947</v>
      </c>
      <c r="P370" s="137">
        <f t="shared" si="33"/>
        <v>21768.639999999999</v>
      </c>
    </row>
    <row r="371" spans="1:16" s="105" customFormat="1" ht="15.75" x14ac:dyDescent="0.25">
      <c r="A371" s="106" t="s">
        <v>1059</v>
      </c>
      <c r="B371" s="129">
        <v>44852</v>
      </c>
      <c r="C371" s="25" t="s">
        <v>1048</v>
      </c>
      <c r="D371" s="25" t="s">
        <v>1122</v>
      </c>
      <c r="E371" s="162"/>
      <c r="F371" s="134">
        <v>5330</v>
      </c>
      <c r="G371" s="50"/>
      <c r="H371" s="107">
        <v>44852</v>
      </c>
      <c r="I371" s="144">
        <v>1</v>
      </c>
      <c r="J371" s="104">
        <v>5330</v>
      </c>
      <c r="K371" s="104">
        <f t="shared" si="35"/>
        <v>5330</v>
      </c>
      <c r="L371" s="103">
        <v>1</v>
      </c>
      <c r="M371" s="141">
        <f t="shared" si="36"/>
        <v>0</v>
      </c>
      <c r="N371" s="121" t="s">
        <v>1037</v>
      </c>
      <c r="O371" s="103" t="s">
        <v>947</v>
      </c>
      <c r="P371" s="137">
        <f t="shared" si="33"/>
        <v>0</v>
      </c>
    </row>
    <row r="372" spans="1:16" s="105" customFormat="1" ht="15.75" x14ac:dyDescent="0.25">
      <c r="A372" s="106" t="s">
        <v>1060</v>
      </c>
      <c r="B372" s="129">
        <v>44852</v>
      </c>
      <c r="C372" s="25" t="s">
        <v>1049</v>
      </c>
      <c r="D372" s="25" t="s">
        <v>1122</v>
      </c>
      <c r="E372" s="162"/>
      <c r="F372" s="134">
        <v>678.24</v>
      </c>
      <c r="G372" s="50"/>
      <c r="H372" s="107">
        <v>44852</v>
      </c>
      <c r="I372" s="144">
        <v>5</v>
      </c>
      <c r="J372" s="104">
        <v>678.24</v>
      </c>
      <c r="K372" s="104">
        <f t="shared" si="35"/>
        <v>3391.2</v>
      </c>
      <c r="L372" s="103">
        <v>1</v>
      </c>
      <c r="M372" s="151">
        <f t="shared" si="36"/>
        <v>4</v>
      </c>
      <c r="N372" s="121" t="s">
        <v>1037</v>
      </c>
      <c r="O372" s="103" t="s">
        <v>947</v>
      </c>
      <c r="P372" s="137">
        <f t="shared" si="33"/>
        <v>2712.96</v>
      </c>
    </row>
    <row r="373" spans="1:16" s="105" customFormat="1" ht="15.75" x14ac:dyDescent="0.25">
      <c r="A373" s="106" t="s">
        <v>1061</v>
      </c>
      <c r="B373" s="129">
        <v>44852</v>
      </c>
      <c r="C373" s="25" t="s">
        <v>1050</v>
      </c>
      <c r="D373" s="25" t="s">
        <v>1122</v>
      </c>
      <c r="E373" s="162"/>
      <c r="F373" s="134">
        <v>678.24</v>
      </c>
      <c r="G373" s="50"/>
      <c r="H373" s="107">
        <v>44852</v>
      </c>
      <c r="I373" s="144">
        <v>5</v>
      </c>
      <c r="J373" s="104">
        <v>678.24</v>
      </c>
      <c r="K373" s="104">
        <f t="shared" si="35"/>
        <v>3391.2</v>
      </c>
      <c r="L373" s="103">
        <v>1</v>
      </c>
      <c r="M373" s="151">
        <f t="shared" si="36"/>
        <v>4</v>
      </c>
      <c r="N373" s="121" t="s">
        <v>1037</v>
      </c>
      <c r="O373" s="103" t="s">
        <v>947</v>
      </c>
      <c r="P373" s="137">
        <f t="shared" si="33"/>
        <v>2712.96</v>
      </c>
    </row>
    <row r="374" spans="1:16" s="105" customFormat="1" ht="15.75" x14ac:dyDescent="0.25">
      <c r="A374" s="106" t="s">
        <v>1062</v>
      </c>
      <c r="B374" s="129">
        <v>44852</v>
      </c>
      <c r="C374" s="25" t="s">
        <v>1051</v>
      </c>
      <c r="D374" s="25" t="s">
        <v>1122</v>
      </c>
      <c r="E374" s="162"/>
      <c r="F374" s="134">
        <v>511</v>
      </c>
      <c r="G374" s="50"/>
      <c r="H374" s="107">
        <v>44852</v>
      </c>
      <c r="I374" s="144">
        <v>3</v>
      </c>
      <c r="J374" s="104">
        <v>511</v>
      </c>
      <c r="K374" s="104">
        <f t="shared" si="35"/>
        <v>1533</v>
      </c>
      <c r="L374" s="103">
        <v>2</v>
      </c>
      <c r="M374" s="151">
        <f t="shared" si="36"/>
        <v>1</v>
      </c>
      <c r="N374" s="121" t="s">
        <v>1037</v>
      </c>
      <c r="O374" s="103" t="s">
        <v>947</v>
      </c>
      <c r="P374" s="137">
        <f t="shared" si="33"/>
        <v>511</v>
      </c>
    </row>
    <row r="375" spans="1:16" s="105" customFormat="1" ht="15.75" x14ac:dyDescent="0.25">
      <c r="A375" s="106" t="s">
        <v>1063</v>
      </c>
      <c r="B375" s="129">
        <v>44852</v>
      </c>
      <c r="C375" s="25" t="s">
        <v>1052</v>
      </c>
      <c r="D375" s="25" t="s">
        <v>1122</v>
      </c>
      <c r="E375" s="162"/>
      <c r="F375" s="134">
        <v>511</v>
      </c>
      <c r="G375" s="50"/>
      <c r="H375" s="107">
        <v>44852</v>
      </c>
      <c r="I375" s="144">
        <v>3</v>
      </c>
      <c r="J375" s="104">
        <v>511</v>
      </c>
      <c r="K375" s="104">
        <f t="shared" si="35"/>
        <v>1533</v>
      </c>
      <c r="L375" s="103"/>
      <c r="M375" s="141">
        <f t="shared" si="36"/>
        <v>3</v>
      </c>
      <c r="N375" s="121" t="s">
        <v>1037</v>
      </c>
      <c r="O375" s="103" t="s">
        <v>947</v>
      </c>
      <c r="P375" s="137">
        <f t="shared" si="33"/>
        <v>1533</v>
      </c>
    </row>
    <row r="376" spans="1:16" s="105" customFormat="1" ht="15.75" x14ac:dyDescent="0.25">
      <c r="A376" s="106" t="s">
        <v>1064</v>
      </c>
      <c r="B376" s="129">
        <v>44852</v>
      </c>
      <c r="C376" s="25" t="s">
        <v>1053</v>
      </c>
      <c r="D376" s="25" t="s">
        <v>1122</v>
      </c>
      <c r="E376" s="162"/>
      <c r="F376" s="134">
        <v>511</v>
      </c>
      <c r="G376" s="50"/>
      <c r="H376" s="107">
        <v>44852</v>
      </c>
      <c r="I376" s="144">
        <v>3</v>
      </c>
      <c r="J376" s="104">
        <v>511</v>
      </c>
      <c r="K376" s="104">
        <f t="shared" si="35"/>
        <v>1533</v>
      </c>
      <c r="L376" s="103">
        <v>2</v>
      </c>
      <c r="M376" s="151">
        <f t="shared" si="36"/>
        <v>1</v>
      </c>
      <c r="N376" s="121" t="s">
        <v>1037</v>
      </c>
      <c r="O376" s="103" t="s">
        <v>947</v>
      </c>
      <c r="P376" s="137">
        <f t="shared" si="33"/>
        <v>511</v>
      </c>
    </row>
    <row r="377" spans="1:16" s="105" customFormat="1" ht="15.75" x14ac:dyDescent="0.25">
      <c r="A377" s="106" t="s">
        <v>1065</v>
      </c>
      <c r="B377" s="129">
        <v>44852</v>
      </c>
      <c r="C377" s="25" t="s">
        <v>1054</v>
      </c>
      <c r="D377" s="25" t="s">
        <v>1122</v>
      </c>
      <c r="E377" s="162"/>
      <c r="F377" s="134">
        <v>511</v>
      </c>
      <c r="G377" s="50"/>
      <c r="H377" s="107">
        <v>44852</v>
      </c>
      <c r="I377" s="144">
        <v>3</v>
      </c>
      <c r="J377" s="104">
        <v>511</v>
      </c>
      <c r="K377" s="104">
        <f t="shared" si="35"/>
        <v>1533</v>
      </c>
      <c r="L377" s="103">
        <v>1</v>
      </c>
      <c r="M377" s="151">
        <f t="shared" si="36"/>
        <v>2</v>
      </c>
      <c r="N377" s="121" t="s">
        <v>1037</v>
      </c>
      <c r="O377" s="103" t="s">
        <v>947</v>
      </c>
      <c r="P377" s="137">
        <f t="shared" si="33"/>
        <v>1022</v>
      </c>
    </row>
    <row r="378" spans="1:16" s="105" customFormat="1" ht="15.75" x14ac:dyDescent="0.25">
      <c r="A378" s="106" t="s">
        <v>1066</v>
      </c>
      <c r="B378" s="129">
        <v>44852</v>
      </c>
      <c r="C378" s="25" t="s">
        <v>1055</v>
      </c>
      <c r="D378" s="25" t="s">
        <v>1122</v>
      </c>
      <c r="E378" s="162">
        <v>32</v>
      </c>
      <c r="F378" s="134">
        <v>3.32</v>
      </c>
      <c r="G378" s="50"/>
      <c r="H378" s="107">
        <v>44852</v>
      </c>
      <c r="I378" s="144">
        <v>20</v>
      </c>
      <c r="J378" s="104">
        <v>3.32</v>
      </c>
      <c r="K378" s="104">
        <f t="shared" si="35"/>
        <v>66.399999999999991</v>
      </c>
      <c r="L378" s="103"/>
      <c r="M378" s="151">
        <f t="shared" si="36"/>
        <v>52</v>
      </c>
      <c r="N378" s="121" t="s">
        <v>1037</v>
      </c>
      <c r="O378" s="103" t="s">
        <v>947</v>
      </c>
      <c r="P378" s="137">
        <f t="shared" si="33"/>
        <v>172.64</v>
      </c>
    </row>
    <row r="379" spans="1:16" s="105" customFormat="1" ht="15.75" x14ac:dyDescent="0.25">
      <c r="A379" s="106" t="s">
        <v>1067</v>
      </c>
      <c r="B379" s="129">
        <v>44852</v>
      </c>
      <c r="C379" s="25" t="s">
        <v>1056</v>
      </c>
      <c r="D379" s="25" t="s">
        <v>1122</v>
      </c>
      <c r="E379" s="162"/>
      <c r="F379" s="134">
        <v>64.900000000000006</v>
      </c>
      <c r="G379" s="50"/>
      <c r="H379" s="107">
        <v>44852</v>
      </c>
      <c r="I379" s="144">
        <v>5</v>
      </c>
      <c r="J379" s="104">
        <v>64.900000000000006</v>
      </c>
      <c r="K379" s="104">
        <f t="shared" si="35"/>
        <v>324.5</v>
      </c>
      <c r="L379" s="103"/>
      <c r="M379" s="141">
        <f t="shared" si="36"/>
        <v>5</v>
      </c>
      <c r="N379" s="121" t="s">
        <v>1037</v>
      </c>
      <c r="O379" s="103" t="s">
        <v>947</v>
      </c>
      <c r="P379" s="137">
        <f t="shared" si="33"/>
        <v>324.5</v>
      </c>
    </row>
    <row r="380" spans="1:16" s="105" customFormat="1" ht="15.75" x14ac:dyDescent="0.25">
      <c r="A380" s="106" t="s">
        <v>1067</v>
      </c>
      <c r="B380" s="129">
        <v>44852</v>
      </c>
      <c r="C380" s="25" t="s">
        <v>1056</v>
      </c>
      <c r="D380" s="25" t="s">
        <v>1122</v>
      </c>
      <c r="E380" s="162"/>
      <c r="F380" s="134">
        <v>64.900000000000006</v>
      </c>
      <c r="G380" s="50"/>
      <c r="H380" s="107">
        <v>44852</v>
      </c>
      <c r="I380" s="144">
        <v>5</v>
      </c>
      <c r="J380" s="104">
        <v>64.900000000000006</v>
      </c>
      <c r="K380" s="104">
        <f t="shared" si="35"/>
        <v>324.5</v>
      </c>
      <c r="L380" s="103"/>
      <c r="M380" s="141">
        <f t="shared" si="36"/>
        <v>5</v>
      </c>
      <c r="N380" s="121" t="s">
        <v>1037</v>
      </c>
      <c r="O380" s="103" t="s">
        <v>947</v>
      </c>
      <c r="P380" s="137">
        <f t="shared" si="33"/>
        <v>324.5</v>
      </c>
    </row>
    <row r="381" spans="1:16" s="105" customFormat="1" ht="15.75" x14ac:dyDescent="0.25">
      <c r="A381" s="106" t="s">
        <v>1068</v>
      </c>
      <c r="B381" s="129">
        <v>44865</v>
      </c>
      <c r="C381" s="25" t="s">
        <v>1077</v>
      </c>
      <c r="D381" s="25" t="s">
        <v>1122</v>
      </c>
      <c r="E381" s="162"/>
      <c r="F381" s="134">
        <v>8720.2000000000007</v>
      </c>
      <c r="G381" s="50"/>
      <c r="H381" s="107">
        <v>44865</v>
      </c>
      <c r="I381" s="144">
        <v>6</v>
      </c>
      <c r="J381" s="104">
        <v>8720.2000000000007</v>
      </c>
      <c r="K381" s="104">
        <f t="shared" si="35"/>
        <v>52321.200000000004</v>
      </c>
      <c r="L381" s="103">
        <v>1</v>
      </c>
      <c r="M381" s="151">
        <f t="shared" si="36"/>
        <v>5</v>
      </c>
      <c r="N381" s="121" t="s">
        <v>1078</v>
      </c>
      <c r="O381" s="103" t="s">
        <v>947</v>
      </c>
      <c r="P381" s="137">
        <f t="shared" si="33"/>
        <v>43601</v>
      </c>
    </row>
    <row r="382" spans="1:16" s="105" customFormat="1" ht="15.75" x14ac:dyDescent="0.25">
      <c r="A382" s="106" t="s">
        <v>1073</v>
      </c>
      <c r="B382" s="129">
        <v>44865</v>
      </c>
      <c r="C382" s="25" t="s">
        <v>1079</v>
      </c>
      <c r="D382" s="25" t="s">
        <v>1122</v>
      </c>
      <c r="E382" s="162"/>
      <c r="F382" s="134">
        <v>7729</v>
      </c>
      <c r="G382" s="50"/>
      <c r="H382" s="107">
        <v>44865</v>
      </c>
      <c r="I382" s="144">
        <v>5</v>
      </c>
      <c r="J382" s="104">
        <v>7729</v>
      </c>
      <c r="K382" s="104">
        <f t="shared" si="35"/>
        <v>38645</v>
      </c>
      <c r="L382" s="103"/>
      <c r="M382" s="151">
        <f t="shared" si="36"/>
        <v>5</v>
      </c>
      <c r="N382" s="121" t="s">
        <v>1078</v>
      </c>
      <c r="O382" s="103" t="s">
        <v>947</v>
      </c>
      <c r="P382" s="137">
        <f t="shared" si="33"/>
        <v>38645</v>
      </c>
    </row>
    <row r="383" spans="1:16" s="105" customFormat="1" ht="15.75" x14ac:dyDescent="0.25">
      <c r="A383" s="106" t="s">
        <v>1074</v>
      </c>
      <c r="B383" s="129">
        <v>44865</v>
      </c>
      <c r="C383" s="25" t="s">
        <v>1080</v>
      </c>
      <c r="D383" s="25" t="s">
        <v>1122</v>
      </c>
      <c r="E383" s="162"/>
      <c r="F383" s="134">
        <v>4897</v>
      </c>
      <c r="G383" s="50"/>
      <c r="H383" s="107">
        <v>44865</v>
      </c>
      <c r="I383" s="144">
        <v>10</v>
      </c>
      <c r="J383" s="104">
        <v>4897</v>
      </c>
      <c r="K383" s="104">
        <f t="shared" si="35"/>
        <v>48970</v>
      </c>
      <c r="L383" s="103"/>
      <c r="M383" s="141">
        <f t="shared" si="36"/>
        <v>10</v>
      </c>
      <c r="N383" s="121" t="s">
        <v>1078</v>
      </c>
      <c r="O383" s="103" t="s">
        <v>947</v>
      </c>
      <c r="P383" s="137">
        <f t="shared" si="33"/>
        <v>48970</v>
      </c>
    </row>
    <row r="384" spans="1:16" s="105" customFormat="1" ht="15.75" x14ac:dyDescent="0.25">
      <c r="A384" s="106" t="s">
        <v>1075</v>
      </c>
      <c r="B384" s="129">
        <v>44879</v>
      </c>
      <c r="C384" s="25" t="s">
        <v>1072</v>
      </c>
      <c r="D384" s="25" t="s">
        <v>1122</v>
      </c>
      <c r="E384" s="162"/>
      <c r="F384" s="134">
        <v>3717</v>
      </c>
      <c r="G384" s="50"/>
      <c r="H384" s="107">
        <v>44879</v>
      </c>
      <c r="I384" s="144">
        <v>10</v>
      </c>
      <c r="J384" s="104">
        <v>3717</v>
      </c>
      <c r="K384" s="104">
        <f>+J384*I384</f>
        <v>37170</v>
      </c>
      <c r="L384" s="103"/>
      <c r="M384" s="141">
        <f t="shared" si="36"/>
        <v>10</v>
      </c>
      <c r="N384" s="121"/>
      <c r="O384" s="103" t="s">
        <v>946</v>
      </c>
      <c r="P384" s="137">
        <f t="shared" si="33"/>
        <v>37170</v>
      </c>
    </row>
    <row r="385" spans="1:16" s="105" customFormat="1" ht="15.75" x14ac:dyDescent="0.25">
      <c r="A385" s="106" t="s">
        <v>1076</v>
      </c>
      <c r="B385" s="102"/>
      <c r="C385" s="25" t="s">
        <v>1070</v>
      </c>
      <c r="D385" s="25" t="s">
        <v>1122</v>
      </c>
      <c r="E385" s="162"/>
      <c r="F385" s="134"/>
      <c r="G385" s="50"/>
      <c r="H385" s="107"/>
      <c r="I385" s="144"/>
      <c r="J385" s="104"/>
      <c r="K385" s="104"/>
      <c r="L385" s="103">
        <v>1</v>
      </c>
      <c r="M385" s="141">
        <f t="shared" si="36"/>
        <v>-1</v>
      </c>
      <c r="N385" s="121"/>
      <c r="O385" s="103" t="s">
        <v>947</v>
      </c>
      <c r="P385" s="137">
        <f t="shared" si="33"/>
        <v>0</v>
      </c>
    </row>
    <row r="386" spans="1:16" s="105" customFormat="1" ht="15.75" x14ac:dyDescent="0.25">
      <c r="A386" s="106" t="s">
        <v>1081</v>
      </c>
      <c r="B386" s="102"/>
      <c r="C386" s="25" t="s">
        <v>1071</v>
      </c>
      <c r="D386" s="25" t="s">
        <v>1122</v>
      </c>
      <c r="E386" s="162"/>
      <c r="F386" s="134"/>
      <c r="G386" s="50"/>
      <c r="H386" s="107"/>
      <c r="I386" s="144"/>
      <c r="J386" s="104"/>
      <c r="K386" s="104"/>
      <c r="L386" s="103">
        <v>2</v>
      </c>
      <c r="M386" s="141">
        <f t="shared" si="36"/>
        <v>-2</v>
      </c>
      <c r="N386" s="121"/>
      <c r="O386" s="103" t="s">
        <v>947</v>
      </c>
      <c r="P386" s="137">
        <f t="shared" si="33"/>
        <v>0</v>
      </c>
    </row>
    <row r="387" spans="1:16" s="105" customFormat="1" ht="15.75" x14ac:dyDescent="0.25">
      <c r="A387" s="106" t="s">
        <v>1082</v>
      </c>
      <c r="B387" s="102"/>
      <c r="C387" s="25" t="s">
        <v>1069</v>
      </c>
      <c r="D387" s="25" t="s">
        <v>1122</v>
      </c>
      <c r="E387" s="162"/>
      <c r="F387" s="134"/>
      <c r="G387" s="50"/>
      <c r="H387" s="107"/>
      <c r="I387" s="144"/>
      <c r="J387" s="104"/>
      <c r="K387" s="104"/>
      <c r="L387" s="103">
        <v>1</v>
      </c>
      <c r="M387" s="141">
        <f t="shared" si="36"/>
        <v>-1</v>
      </c>
      <c r="N387" s="121"/>
      <c r="O387" s="103" t="s">
        <v>946</v>
      </c>
      <c r="P387" s="137">
        <f t="shared" si="33"/>
        <v>0</v>
      </c>
    </row>
    <row r="388" spans="1:16" s="105" customFormat="1" ht="31.5" x14ac:dyDescent="0.25">
      <c r="A388" s="106" t="s">
        <v>1083</v>
      </c>
      <c r="B388" s="129">
        <v>44903</v>
      </c>
      <c r="C388" s="25" t="s">
        <v>1239</v>
      </c>
      <c r="D388" s="25" t="s">
        <v>1122</v>
      </c>
      <c r="E388" s="162"/>
      <c r="F388" s="134">
        <v>81.13</v>
      </c>
      <c r="G388" s="50"/>
      <c r="H388" s="107">
        <v>44903</v>
      </c>
      <c r="I388" s="144">
        <v>360</v>
      </c>
      <c r="J388" s="104">
        <v>81.13</v>
      </c>
      <c r="K388" s="104">
        <f>+J388*I388</f>
        <v>29206.799999999999</v>
      </c>
      <c r="L388" s="103">
        <f>360+12+60+12</f>
        <v>444</v>
      </c>
      <c r="M388" s="151">
        <f t="shared" si="36"/>
        <v>-84</v>
      </c>
      <c r="N388" s="121" t="s">
        <v>1006</v>
      </c>
      <c r="O388" s="103" t="s">
        <v>945</v>
      </c>
      <c r="P388" s="137">
        <f t="shared" si="33"/>
        <v>-6814.92</v>
      </c>
    </row>
    <row r="389" spans="1:16" s="105" customFormat="1" ht="15.75" x14ac:dyDescent="0.25">
      <c r="A389" s="106" t="s">
        <v>1099</v>
      </c>
      <c r="B389" s="129">
        <v>45019</v>
      </c>
      <c r="C389" s="25" t="s">
        <v>1085</v>
      </c>
      <c r="D389" s="25" t="s">
        <v>1122</v>
      </c>
      <c r="E389" s="162"/>
      <c r="F389" s="134">
        <v>81.13</v>
      </c>
      <c r="G389" s="50"/>
      <c r="H389" s="107">
        <v>45019</v>
      </c>
      <c r="I389" s="144">
        <f>90*6</f>
        <v>540</v>
      </c>
      <c r="J389" s="104">
        <v>117.02</v>
      </c>
      <c r="K389" s="104">
        <f t="shared" ref="K389:K424" si="37">+J389*I389</f>
        <v>63190.799999999996</v>
      </c>
      <c r="L389" s="103">
        <f>410+24+3+18+12+12+18+6</f>
        <v>503</v>
      </c>
      <c r="M389" s="158">
        <f>+E389+I389-L389+6</f>
        <v>43</v>
      </c>
      <c r="N389" s="121"/>
      <c r="O389" s="103" t="s">
        <v>945</v>
      </c>
      <c r="P389" s="137">
        <f t="shared" si="33"/>
        <v>3488.5899999999997</v>
      </c>
    </row>
    <row r="390" spans="1:16" s="105" customFormat="1" ht="15.75" x14ac:dyDescent="0.25">
      <c r="A390" s="106" t="s">
        <v>1100</v>
      </c>
      <c r="B390" s="129">
        <v>45019</v>
      </c>
      <c r="C390" s="25" t="s">
        <v>1086</v>
      </c>
      <c r="D390" s="25" t="s">
        <v>1122</v>
      </c>
      <c r="E390" s="162"/>
      <c r="F390" s="134">
        <v>454.3</v>
      </c>
      <c r="G390" s="50"/>
      <c r="H390" s="107">
        <v>45019</v>
      </c>
      <c r="I390" s="144">
        <f>80+15</f>
        <v>95</v>
      </c>
      <c r="J390" s="104">
        <v>454.3</v>
      </c>
      <c r="K390" s="104">
        <f t="shared" si="37"/>
        <v>43158.5</v>
      </c>
      <c r="L390" s="103">
        <f>10+1+3</f>
        <v>14</v>
      </c>
      <c r="M390" s="151">
        <f t="shared" si="36"/>
        <v>81</v>
      </c>
      <c r="N390" s="121"/>
      <c r="O390" s="103" t="s">
        <v>945</v>
      </c>
      <c r="P390" s="137">
        <f t="shared" si="33"/>
        <v>36798.300000000003</v>
      </c>
    </row>
    <row r="391" spans="1:16" s="105" customFormat="1" ht="31.5" x14ac:dyDescent="0.25">
      <c r="A391" s="106" t="s">
        <v>1101</v>
      </c>
      <c r="B391" s="129">
        <v>44903</v>
      </c>
      <c r="C391" s="25" t="s">
        <v>1087</v>
      </c>
      <c r="D391" s="25" t="s">
        <v>1122</v>
      </c>
      <c r="E391" s="162"/>
      <c r="F391" s="134">
        <v>116.53</v>
      </c>
      <c r="G391" s="50"/>
      <c r="H391" s="107">
        <v>44903</v>
      </c>
      <c r="I391" s="144">
        <f>20*4</f>
        <v>80</v>
      </c>
      <c r="J391" s="104">
        <v>116.53</v>
      </c>
      <c r="K391" s="104">
        <f t="shared" si="37"/>
        <v>9322.4</v>
      </c>
      <c r="L391" s="103">
        <f>9+1+2+4+1+44+1+1+1+1+1+3+1+2+1+1+1+1+1+2+1</f>
        <v>80</v>
      </c>
      <c r="M391" s="151">
        <f t="shared" si="36"/>
        <v>0</v>
      </c>
      <c r="N391" s="121" t="s">
        <v>1006</v>
      </c>
      <c r="O391" s="103" t="s">
        <v>945</v>
      </c>
      <c r="P391" s="137">
        <f t="shared" si="33"/>
        <v>0</v>
      </c>
    </row>
    <row r="392" spans="1:16" s="105" customFormat="1" ht="31.5" x14ac:dyDescent="0.25">
      <c r="A392" s="106" t="s">
        <v>1102</v>
      </c>
      <c r="B392" s="129">
        <v>44903</v>
      </c>
      <c r="C392" s="25" t="s">
        <v>1088</v>
      </c>
      <c r="D392" s="25" t="s">
        <v>1122</v>
      </c>
      <c r="E392" s="162"/>
      <c r="F392" s="134">
        <v>101.33</v>
      </c>
      <c r="G392" s="50"/>
      <c r="H392" s="107">
        <v>44903</v>
      </c>
      <c r="I392" s="144">
        <f>2*12</f>
        <v>24</v>
      </c>
      <c r="J392" s="104">
        <v>101.33</v>
      </c>
      <c r="K392" s="104">
        <f t="shared" si="37"/>
        <v>2431.92</v>
      </c>
      <c r="L392" s="103">
        <v>24</v>
      </c>
      <c r="M392" s="141">
        <f t="shared" si="36"/>
        <v>0</v>
      </c>
      <c r="N392" s="121" t="s">
        <v>1006</v>
      </c>
      <c r="O392" s="103" t="s">
        <v>945</v>
      </c>
      <c r="P392" s="137">
        <f t="shared" si="33"/>
        <v>0</v>
      </c>
    </row>
    <row r="393" spans="1:16" s="105" customFormat="1" ht="31.5" x14ac:dyDescent="0.25">
      <c r="A393" s="106" t="s">
        <v>1103</v>
      </c>
      <c r="B393" s="129">
        <v>44903</v>
      </c>
      <c r="C393" s="25" t="s">
        <v>1089</v>
      </c>
      <c r="D393" s="25" t="s">
        <v>1122</v>
      </c>
      <c r="E393" s="162"/>
      <c r="F393" s="134">
        <v>101.33</v>
      </c>
      <c r="G393" s="50"/>
      <c r="H393" s="107">
        <v>44903</v>
      </c>
      <c r="I393" s="144">
        <f>2*12</f>
        <v>24</v>
      </c>
      <c r="J393" s="104">
        <v>101.33</v>
      </c>
      <c r="K393" s="104">
        <f t="shared" si="37"/>
        <v>2431.92</v>
      </c>
      <c r="L393" s="103">
        <v>24</v>
      </c>
      <c r="M393" s="141">
        <f t="shared" si="36"/>
        <v>0</v>
      </c>
      <c r="N393" s="121" t="s">
        <v>1006</v>
      </c>
      <c r="O393" s="103" t="s">
        <v>945</v>
      </c>
      <c r="P393" s="137">
        <f t="shared" si="33"/>
        <v>0</v>
      </c>
    </row>
    <row r="394" spans="1:16" s="105" customFormat="1" ht="31.5" x14ac:dyDescent="0.25">
      <c r="A394" s="106" t="s">
        <v>1104</v>
      </c>
      <c r="B394" s="129">
        <v>44903</v>
      </c>
      <c r="C394" s="25" t="s">
        <v>1090</v>
      </c>
      <c r="D394" s="25" t="s">
        <v>1122</v>
      </c>
      <c r="E394" s="162"/>
      <c r="F394" s="134">
        <v>79.010000000000005</v>
      </c>
      <c r="G394" s="50"/>
      <c r="H394" s="107">
        <v>44903</v>
      </c>
      <c r="I394" s="144">
        <v>24</v>
      </c>
      <c r="J394" s="104">
        <v>79.010000000000005</v>
      </c>
      <c r="K394" s="104">
        <f t="shared" si="37"/>
        <v>1896.2400000000002</v>
      </c>
      <c r="L394" s="103">
        <v>24</v>
      </c>
      <c r="M394" s="141">
        <f t="shared" si="36"/>
        <v>0</v>
      </c>
      <c r="N394" s="121" t="s">
        <v>1006</v>
      </c>
      <c r="O394" s="103" t="s">
        <v>945</v>
      </c>
      <c r="P394" s="137">
        <f t="shared" si="33"/>
        <v>0</v>
      </c>
    </row>
    <row r="395" spans="1:16" s="105" customFormat="1" ht="31.5" x14ac:dyDescent="0.25">
      <c r="A395" s="106" t="s">
        <v>1105</v>
      </c>
      <c r="B395" s="129">
        <v>44903</v>
      </c>
      <c r="C395" s="25" t="s">
        <v>1091</v>
      </c>
      <c r="D395" s="25" t="s">
        <v>1122</v>
      </c>
      <c r="E395" s="162"/>
      <c r="F395" s="134">
        <v>67.7</v>
      </c>
      <c r="G395" s="50"/>
      <c r="H395" s="107">
        <v>44903</v>
      </c>
      <c r="I395" s="144">
        <v>24</v>
      </c>
      <c r="J395" s="104">
        <v>67.7</v>
      </c>
      <c r="K395" s="104">
        <f t="shared" si="37"/>
        <v>1624.8000000000002</v>
      </c>
      <c r="L395" s="103">
        <v>24</v>
      </c>
      <c r="M395" s="141">
        <f t="shared" si="36"/>
        <v>0</v>
      </c>
      <c r="N395" s="121" t="s">
        <v>1006</v>
      </c>
      <c r="O395" s="103" t="s">
        <v>945</v>
      </c>
      <c r="P395" s="137">
        <f t="shared" si="33"/>
        <v>0</v>
      </c>
    </row>
    <row r="396" spans="1:16" s="105" customFormat="1" ht="31.5" x14ac:dyDescent="0.25">
      <c r="A396" s="106" t="s">
        <v>1106</v>
      </c>
      <c r="B396" s="129">
        <v>44903</v>
      </c>
      <c r="C396" s="25" t="s">
        <v>1092</v>
      </c>
      <c r="D396" s="25" t="s">
        <v>1122</v>
      </c>
      <c r="E396" s="162"/>
      <c r="F396" s="134">
        <v>195.83</v>
      </c>
      <c r="G396" s="50"/>
      <c r="H396" s="107">
        <v>44903</v>
      </c>
      <c r="I396" s="144">
        <v>24</v>
      </c>
      <c r="J396" s="104">
        <v>195.83</v>
      </c>
      <c r="K396" s="104">
        <f t="shared" si="37"/>
        <v>4699.92</v>
      </c>
      <c r="L396" s="103">
        <v>24</v>
      </c>
      <c r="M396" s="141">
        <f t="shared" si="36"/>
        <v>0</v>
      </c>
      <c r="N396" s="121" t="s">
        <v>1006</v>
      </c>
      <c r="O396" s="103" t="s">
        <v>945</v>
      </c>
      <c r="P396" s="137">
        <f t="shared" si="33"/>
        <v>0</v>
      </c>
    </row>
    <row r="397" spans="1:16" s="105" customFormat="1" ht="31.5" x14ac:dyDescent="0.25">
      <c r="A397" s="106" t="s">
        <v>1107</v>
      </c>
      <c r="B397" s="129">
        <v>44903</v>
      </c>
      <c r="C397" s="25" t="s">
        <v>1093</v>
      </c>
      <c r="D397" s="25" t="s">
        <v>1122</v>
      </c>
      <c r="E397" s="162"/>
      <c r="F397" s="134">
        <v>126.8</v>
      </c>
      <c r="G397" s="50"/>
      <c r="H397" s="107">
        <v>44903</v>
      </c>
      <c r="I397" s="144">
        <v>24</v>
      </c>
      <c r="J397" s="104">
        <v>126.8</v>
      </c>
      <c r="K397" s="104">
        <f t="shared" si="37"/>
        <v>3043.2</v>
      </c>
      <c r="L397" s="103">
        <v>24</v>
      </c>
      <c r="M397" s="141">
        <f t="shared" si="36"/>
        <v>0</v>
      </c>
      <c r="N397" s="121" t="s">
        <v>1006</v>
      </c>
      <c r="O397" s="103" t="s">
        <v>945</v>
      </c>
      <c r="P397" s="137">
        <f t="shared" si="33"/>
        <v>0</v>
      </c>
    </row>
    <row r="398" spans="1:16" s="105" customFormat="1" ht="31.5" x14ac:dyDescent="0.25">
      <c r="A398" s="106" t="s">
        <v>1108</v>
      </c>
      <c r="B398" s="129">
        <v>44903</v>
      </c>
      <c r="C398" s="25" t="s">
        <v>1094</v>
      </c>
      <c r="D398" s="25" t="s">
        <v>1122</v>
      </c>
      <c r="E398" s="162"/>
      <c r="F398" s="134">
        <v>129.85</v>
      </c>
      <c r="G398" s="50"/>
      <c r="H398" s="107">
        <v>44903</v>
      </c>
      <c r="I398" s="144">
        <v>24</v>
      </c>
      <c r="J398" s="104">
        <v>129.85</v>
      </c>
      <c r="K398" s="104">
        <f t="shared" si="37"/>
        <v>3116.3999999999996</v>
      </c>
      <c r="L398" s="103">
        <v>24</v>
      </c>
      <c r="M398" s="141">
        <f t="shared" si="36"/>
        <v>0</v>
      </c>
      <c r="N398" s="121" t="s">
        <v>1006</v>
      </c>
      <c r="O398" s="103" t="s">
        <v>945</v>
      </c>
      <c r="P398" s="137">
        <f t="shared" si="33"/>
        <v>0</v>
      </c>
    </row>
    <row r="399" spans="1:16" s="105" customFormat="1" ht="31.5" x14ac:dyDescent="0.25">
      <c r="A399" s="106" t="s">
        <v>1109</v>
      </c>
      <c r="B399" s="129">
        <v>44903</v>
      </c>
      <c r="C399" s="25" t="s">
        <v>1095</v>
      </c>
      <c r="D399" s="25" t="s">
        <v>1122</v>
      </c>
      <c r="E399" s="162"/>
      <c r="F399" s="134">
        <v>1606.5</v>
      </c>
      <c r="G399" s="50"/>
      <c r="H399" s="107">
        <v>44903</v>
      </c>
      <c r="I399" s="144">
        <v>4</v>
      </c>
      <c r="J399" s="104">
        <v>1606.5</v>
      </c>
      <c r="K399" s="104">
        <f t="shared" si="37"/>
        <v>6426</v>
      </c>
      <c r="L399" s="103">
        <v>4</v>
      </c>
      <c r="M399" s="141">
        <f t="shared" si="36"/>
        <v>0</v>
      </c>
      <c r="N399" s="121" t="s">
        <v>1006</v>
      </c>
      <c r="O399" s="103" t="s">
        <v>945</v>
      </c>
      <c r="P399" s="137">
        <f t="shared" si="33"/>
        <v>0</v>
      </c>
    </row>
    <row r="400" spans="1:16" s="105" customFormat="1" ht="31.5" x14ac:dyDescent="0.25">
      <c r="A400" s="106" t="s">
        <v>1110</v>
      </c>
      <c r="B400" s="129">
        <v>44903</v>
      </c>
      <c r="C400" s="25" t="s">
        <v>1096</v>
      </c>
      <c r="D400" s="25" t="s">
        <v>1122</v>
      </c>
      <c r="E400" s="162"/>
      <c r="F400" s="134">
        <v>134.13</v>
      </c>
      <c r="G400" s="50"/>
      <c r="H400" s="107">
        <v>44903</v>
      </c>
      <c r="I400" s="144">
        <v>24</v>
      </c>
      <c r="J400" s="104">
        <v>134.13</v>
      </c>
      <c r="K400" s="104">
        <f t="shared" si="37"/>
        <v>3219.12</v>
      </c>
      <c r="L400" s="103">
        <v>24</v>
      </c>
      <c r="M400" s="141">
        <f t="shared" si="36"/>
        <v>0</v>
      </c>
      <c r="N400" s="121" t="s">
        <v>1006</v>
      </c>
      <c r="O400" s="103" t="s">
        <v>945</v>
      </c>
      <c r="P400" s="137">
        <f t="shared" si="33"/>
        <v>0</v>
      </c>
    </row>
    <row r="401" spans="1:16" s="105" customFormat="1" ht="31.5" x14ac:dyDescent="0.25">
      <c r="A401" s="106" t="s">
        <v>1111</v>
      </c>
      <c r="B401" s="129">
        <v>44903</v>
      </c>
      <c r="C401" s="25" t="s">
        <v>1097</v>
      </c>
      <c r="D401" s="25" t="s">
        <v>1122</v>
      </c>
      <c r="E401" s="162"/>
      <c r="F401" s="134">
        <v>147.35</v>
      </c>
      <c r="G401" s="50"/>
      <c r="H401" s="107">
        <v>44903</v>
      </c>
      <c r="I401" s="144">
        <v>24</v>
      </c>
      <c r="J401" s="104">
        <v>147.35</v>
      </c>
      <c r="K401" s="104">
        <f t="shared" si="37"/>
        <v>3536.3999999999996</v>
      </c>
      <c r="L401" s="103">
        <v>24</v>
      </c>
      <c r="M401" s="141">
        <f t="shared" si="36"/>
        <v>0</v>
      </c>
      <c r="N401" s="121" t="s">
        <v>1006</v>
      </c>
      <c r="O401" s="103" t="s">
        <v>945</v>
      </c>
      <c r="P401" s="137">
        <f t="shared" si="33"/>
        <v>0</v>
      </c>
    </row>
    <row r="402" spans="1:16" s="105" customFormat="1" ht="31.5" x14ac:dyDescent="0.25">
      <c r="A402" s="106" t="s">
        <v>1112</v>
      </c>
      <c r="B402" s="129">
        <v>44903</v>
      </c>
      <c r="C402" s="25" t="s">
        <v>1098</v>
      </c>
      <c r="D402" s="25" t="s">
        <v>1122</v>
      </c>
      <c r="E402" s="162"/>
      <c r="F402" s="134">
        <v>1100.5</v>
      </c>
      <c r="G402" s="50"/>
      <c r="H402" s="107">
        <v>44903</v>
      </c>
      <c r="I402" s="144">
        <v>2</v>
      </c>
      <c r="J402" s="104">
        <v>1100.5</v>
      </c>
      <c r="K402" s="104">
        <f t="shared" si="37"/>
        <v>2201</v>
      </c>
      <c r="L402" s="103">
        <v>2</v>
      </c>
      <c r="M402" s="141">
        <f t="shared" si="36"/>
        <v>0</v>
      </c>
      <c r="N402" s="121" t="s">
        <v>1006</v>
      </c>
      <c r="O402" s="103" t="s">
        <v>945</v>
      </c>
      <c r="P402" s="137">
        <f t="shared" si="33"/>
        <v>0</v>
      </c>
    </row>
    <row r="403" spans="1:16" s="105" customFormat="1" ht="15.75" x14ac:dyDescent="0.25">
      <c r="A403" s="106" t="s">
        <v>1119</v>
      </c>
      <c r="B403" s="102"/>
      <c r="C403" s="25" t="s">
        <v>1114</v>
      </c>
      <c r="D403" s="25" t="s">
        <v>1122</v>
      </c>
      <c r="E403" s="162"/>
      <c r="F403" s="134"/>
      <c r="G403" s="50"/>
      <c r="H403" s="107"/>
      <c r="I403" s="144"/>
      <c r="J403" s="104"/>
      <c r="K403" s="104">
        <f t="shared" si="37"/>
        <v>0</v>
      </c>
      <c r="L403" s="103">
        <v>22</v>
      </c>
      <c r="M403" s="141">
        <f t="shared" si="36"/>
        <v>-22</v>
      </c>
      <c r="N403" s="121"/>
      <c r="O403" s="103" t="s">
        <v>946</v>
      </c>
      <c r="P403" s="137">
        <f t="shared" si="33"/>
        <v>0</v>
      </c>
    </row>
    <row r="404" spans="1:16" s="105" customFormat="1" ht="31.5" x14ac:dyDescent="0.25">
      <c r="A404" s="106" t="s">
        <v>1124</v>
      </c>
      <c r="B404" s="102">
        <v>45020</v>
      </c>
      <c r="C404" s="25" t="s">
        <v>1129</v>
      </c>
      <c r="D404" s="25" t="s">
        <v>1122</v>
      </c>
      <c r="E404" s="164">
        <v>50</v>
      </c>
      <c r="F404" s="134"/>
      <c r="G404" s="50"/>
      <c r="H404" s="107"/>
      <c r="I404" s="144"/>
      <c r="J404" s="104"/>
      <c r="K404" s="104">
        <f t="shared" si="37"/>
        <v>0</v>
      </c>
      <c r="L404" s="103">
        <v>5</v>
      </c>
      <c r="M404" s="141">
        <f t="shared" si="36"/>
        <v>45</v>
      </c>
      <c r="N404" s="121" t="s">
        <v>1132</v>
      </c>
      <c r="O404" s="103" t="s">
        <v>946</v>
      </c>
      <c r="P404" s="137">
        <f t="shared" si="33"/>
        <v>0</v>
      </c>
    </row>
    <row r="405" spans="1:16" s="105" customFormat="1" ht="31.5" x14ac:dyDescent="0.25">
      <c r="A405" s="106" t="s">
        <v>1125</v>
      </c>
      <c r="B405" s="102">
        <v>45020</v>
      </c>
      <c r="C405" s="25" t="s">
        <v>1130</v>
      </c>
      <c r="D405" s="25"/>
      <c r="E405" s="164"/>
      <c r="F405" s="134"/>
      <c r="G405" s="50"/>
      <c r="H405" s="107"/>
      <c r="I405" s="144"/>
      <c r="J405" s="104"/>
      <c r="K405" s="104">
        <f t="shared" si="37"/>
        <v>0</v>
      </c>
      <c r="L405" s="103"/>
      <c r="M405" s="141">
        <f t="shared" si="36"/>
        <v>0</v>
      </c>
      <c r="N405" s="121" t="s">
        <v>1132</v>
      </c>
      <c r="O405" s="103" t="s">
        <v>946</v>
      </c>
      <c r="P405" s="137">
        <f t="shared" si="33"/>
        <v>0</v>
      </c>
    </row>
    <row r="406" spans="1:16" s="105" customFormat="1" ht="31.5" x14ac:dyDescent="0.25">
      <c r="A406" s="106" t="s">
        <v>1126</v>
      </c>
      <c r="B406" s="102">
        <v>45020</v>
      </c>
      <c r="C406" s="25" t="s">
        <v>1131</v>
      </c>
      <c r="D406" s="25" t="s">
        <v>1122</v>
      </c>
      <c r="E406" s="164">
        <v>40</v>
      </c>
      <c r="F406" s="134">
        <v>17.7</v>
      </c>
      <c r="G406" s="50"/>
      <c r="H406" s="102">
        <v>45020</v>
      </c>
      <c r="I406" s="144">
        <v>40</v>
      </c>
      <c r="J406" s="104">
        <v>17.7</v>
      </c>
      <c r="K406" s="104">
        <f t="shared" si="37"/>
        <v>708</v>
      </c>
      <c r="L406" s="103"/>
      <c r="M406" s="141">
        <f t="shared" si="36"/>
        <v>80</v>
      </c>
      <c r="N406" s="121" t="s">
        <v>1132</v>
      </c>
      <c r="O406" s="103" t="s">
        <v>946</v>
      </c>
      <c r="P406" s="137">
        <f t="shared" si="33"/>
        <v>1416</v>
      </c>
    </row>
    <row r="407" spans="1:16" s="105" customFormat="1" ht="15.75" x14ac:dyDescent="0.25">
      <c r="A407" s="106" t="s">
        <v>1127</v>
      </c>
      <c r="B407" s="102">
        <v>45020</v>
      </c>
      <c r="C407" s="25" t="s">
        <v>1133</v>
      </c>
      <c r="D407" s="25" t="s">
        <v>1122</v>
      </c>
      <c r="E407" s="164">
        <v>10</v>
      </c>
      <c r="F407" s="134">
        <v>206.61</v>
      </c>
      <c r="G407" s="50"/>
      <c r="H407" s="102">
        <v>45020</v>
      </c>
      <c r="I407" s="144">
        <v>10</v>
      </c>
      <c r="J407" s="104">
        <v>206.61</v>
      </c>
      <c r="K407" s="104">
        <f t="shared" si="37"/>
        <v>2066.1000000000004</v>
      </c>
      <c r="L407" s="103"/>
      <c r="M407" s="141">
        <f t="shared" si="36"/>
        <v>20</v>
      </c>
      <c r="N407" s="121"/>
      <c r="O407" s="103" t="s">
        <v>946</v>
      </c>
      <c r="P407" s="137">
        <f t="shared" si="33"/>
        <v>4132.2000000000007</v>
      </c>
    </row>
    <row r="408" spans="1:16" s="105" customFormat="1" ht="15.75" x14ac:dyDescent="0.25">
      <c r="A408" s="106" t="s">
        <v>1128</v>
      </c>
      <c r="B408" s="102">
        <v>45020</v>
      </c>
      <c r="C408" s="25" t="s">
        <v>1134</v>
      </c>
      <c r="D408" s="25" t="s">
        <v>1122</v>
      </c>
      <c r="E408" s="164">
        <v>10</v>
      </c>
      <c r="F408" s="134">
        <v>377.6</v>
      </c>
      <c r="G408" s="50"/>
      <c r="H408" s="102">
        <v>45020</v>
      </c>
      <c r="I408" s="144">
        <v>10</v>
      </c>
      <c r="J408" s="104">
        <v>377.6</v>
      </c>
      <c r="K408" s="104">
        <f t="shared" si="37"/>
        <v>3776</v>
      </c>
      <c r="L408" s="103"/>
      <c r="M408" s="141">
        <f t="shared" si="36"/>
        <v>20</v>
      </c>
      <c r="N408" s="121"/>
      <c r="O408" s="103" t="s">
        <v>946</v>
      </c>
      <c r="P408" s="137">
        <f t="shared" si="33"/>
        <v>7552</v>
      </c>
    </row>
    <row r="409" spans="1:16" s="105" customFormat="1" ht="15.75" x14ac:dyDescent="0.25">
      <c r="A409" s="106" t="s">
        <v>1151</v>
      </c>
      <c r="B409" s="102">
        <v>45020</v>
      </c>
      <c r="C409" s="25" t="s">
        <v>1135</v>
      </c>
      <c r="D409" s="25" t="s">
        <v>1122</v>
      </c>
      <c r="E409" s="164">
        <v>10</v>
      </c>
      <c r="F409" s="134">
        <v>2619.6</v>
      </c>
      <c r="G409" s="50"/>
      <c r="H409" s="102">
        <v>45020</v>
      </c>
      <c r="I409" s="144">
        <v>10</v>
      </c>
      <c r="J409" s="104">
        <v>2619.6</v>
      </c>
      <c r="K409" s="104">
        <f t="shared" si="37"/>
        <v>26196</v>
      </c>
      <c r="L409" s="103"/>
      <c r="M409" s="141">
        <f t="shared" si="36"/>
        <v>20</v>
      </c>
      <c r="N409" s="121"/>
      <c r="O409" s="103" t="s">
        <v>946</v>
      </c>
      <c r="P409" s="137">
        <f t="shared" ref="P409:P439" si="38">+F409*M409</f>
        <v>52392</v>
      </c>
    </row>
    <row r="410" spans="1:16" s="105" customFormat="1" ht="15.75" x14ac:dyDescent="0.25">
      <c r="A410" s="106" t="s">
        <v>1152</v>
      </c>
      <c r="B410" s="102">
        <v>45020</v>
      </c>
      <c r="C410" s="25" t="s">
        <v>1136</v>
      </c>
      <c r="D410" s="25" t="s">
        <v>1122</v>
      </c>
      <c r="E410" s="164">
        <v>5</v>
      </c>
      <c r="F410" s="134">
        <v>354</v>
      </c>
      <c r="G410" s="50"/>
      <c r="H410" s="102">
        <v>45020</v>
      </c>
      <c r="I410" s="144">
        <v>5</v>
      </c>
      <c r="J410" s="104">
        <v>354</v>
      </c>
      <c r="K410" s="104">
        <f t="shared" si="37"/>
        <v>1770</v>
      </c>
      <c r="L410" s="103"/>
      <c r="M410" s="141">
        <f t="shared" si="36"/>
        <v>10</v>
      </c>
      <c r="N410" s="121"/>
      <c r="O410" s="103" t="s">
        <v>946</v>
      </c>
      <c r="P410" s="137">
        <f t="shared" si="38"/>
        <v>3540</v>
      </c>
    </row>
    <row r="411" spans="1:16" s="105" customFormat="1" ht="15.75" x14ac:dyDescent="0.25">
      <c r="A411" s="106" t="s">
        <v>1153</v>
      </c>
      <c r="B411" s="102">
        <v>45020</v>
      </c>
      <c r="C411" s="25" t="s">
        <v>1137</v>
      </c>
      <c r="D411" s="25" t="s">
        <v>1122</v>
      </c>
      <c r="E411" s="164">
        <v>12</v>
      </c>
      <c r="F411" s="134">
        <v>1829</v>
      </c>
      <c r="G411" s="50"/>
      <c r="H411" s="102">
        <v>45020</v>
      </c>
      <c r="I411" s="144">
        <v>12</v>
      </c>
      <c r="J411" s="104">
        <v>1829</v>
      </c>
      <c r="K411" s="104">
        <f t="shared" si="37"/>
        <v>21948</v>
      </c>
      <c r="L411" s="103"/>
      <c r="M411" s="141">
        <f t="shared" si="36"/>
        <v>24</v>
      </c>
      <c r="N411" s="121"/>
      <c r="O411" s="103" t="s">
        <v>946</v>
      </c>
      <c r="P411" s="137">
        <f t="shared" si="38"/>
        <v>43896</v>
      </c>
    </row>
    <row r="412" spans="1:16" s="105" customFormat="1" ht="15.75" x14ac:dyDescent="0.25">
      <c r="A412" s="106" t="s">
        <v>1154</v>
      </c>
      <c r="B412" s="102">
        <v>45020</v>
      </c>
      <c r="C412" s="25" t="s">
        <v>1138</v>
      </c>
      <c r="D412" s="25" t="s">
        <v>1122</v>
      </c>
      <c r="E412" s="164">
        <v>3</v>
      </c>
      <c r="F412" s="134">
        <v>4543</v>
      </c>
      <c r="G412" s="50"/>
      <c r="H412" s="102">
        <v>45020</v>
      </c>
      <c r="I412" s="144">
        <v>3</v>
      </c>
      <c r="J412" s="104">
        <v>4543</v>
      </c>
      <c r="K412" s="104">
        <f t="shared" si="37"/>
        <v>13629</v>
      </c>
      <c r="L412" s="103"/>
      <c r="M412" s="141">
        <f t="shared" si="36"/>
        <v>6</v>
      </c>
      <c r="N412" s="121"/>
      <c r="O412" s="103" t="s">
        <v>946</v>
      </c>
      <c r="P412" s="137">
        <f t="shared" si="38"/>
        <v>27258</v>
      </c>
    </row>
    <row r="413" spans="1:16" s="105" customFormat="1" ht="15.75" x14ac:dyDescent="0.25">
      <c r="A413" s="106" t="s">
        <v>1155</v>
      </c>
      <c r="B413" s="102">
        <v>45020</v>
      </c>
      <c r="C413" s="25" t="s">
        <v>1139</v>
      </c>
      <c r="D413" s="25" t="s">
        <v>1122</v>
      </c>
      <c r="E413" s="164">
        <v>10</v>
      </c>
      <c r="F413" s="134">
        <v>153.4</v>
      </c>
      <c r="G413" s="50"/>
      <c r="H413" s="102">
        <v>45020</v>
      </c>
      <c r="I413" s="144">
        <v>10</v>
      </c>
      <c r="J413" s="104">
        <v>153.4</v>
      </c>
      <c r="K413" s="104">
        <f t="shared" si="37"/>
        <v>1534</v>
      </c>
      <c r="L413" s="103"/>
      <c r="M413" s="141">
        <f t="shared" si="36"/>
        <v>20</v>
      </c>
      <c r="N413" s="121"/>
      <c r="O413" s="103" t="s">
        <v>946</v>
      </c>
      <c r="P413" s="137">
        <f t="shared" si="38"/>
        <v>3068</v>
      </c>
    </row>
    <row r="414" spans="1:16" s="105" customFormat="1" ht="15.75" x14ac:dyDescent="0.25">
      <c r="A414" s="106" t="s">
        <v>1156</v>
      </c>
      <c r="B414" s="102">
        <v>45020</v>
      </c>
      <c r="C414" s="25" t="s">
        <v>1140</v>
      </c>
      <c r="D414" s="25" t="s">
        <v>1122</v>
      </c>
      <c r="E414" s="164">
        <v>3</v>
      </c>
      <c r="F414" s="134">
        <v>4425</v>
      </c>
      <c r="G414" s="50"/>
      <c r="H414" s="102">
        <v>45020</v>
      </c>
      <c r="I414" s="144">
        <v>3</v>
      </c>
      <c r="J414" s="104">
        <v>4425</v>
      </c>
      <c r="K414" s="104">
        <f t="shared" si="37"/>
        <v>13275</v>
      </c>
      <c r="L414" s="103">
        <v>3</v>
      </c>
      <c r="M414" s="151">
        <f t="shared" si="36"/>
        <v>3</v>
      </c>
      <c r="N414" s="121"/>
      <c r="O414" s="103" t="s">
        <v>945</v>
      </c>
      <c r="P414" s="137">
        <f t="shared" si="38"/>
        <v>13275</v>
      </c>
    </row>
    <row r="415" spans="1:16" s="105" customFormat="1" ht="15.75" x14ac:dyDescent="0.25">
      <c r="A415" s="106" t="s">
        <v>1157</v>
      </c>
      <c r="B415" s="102">
        <v>45020</v>
      </c>
      <c r="C415" s="25" t="s">
        <v>1141</v>
      </c>
      <c r="D415" s="25" t="s">
        <v>1122</v>
      </c>
      <c r="E415" s="164">
        <v>10</v>
      </c>
      <c r="F415" s="134">
        <v>276.12</v>
      </c>
      <c r="G415" s="50"/>
      <c r="H415" s="102">
        <v>45020</v>
      </c>
      <c r="I415" s="144">
        <v>10</v>
      </c>
      <c r="J415" s="104">
        <v>276.12</v>
      </c>
      <c r="K415" s="104">
        <f t="shared" si="37"/>
        <v>2761.2</v>
      </c>
      <c r="L415" s="103"/>
      <c r="M415" s="141">
        <f t="shared" si="36"/>
        <v>20</v>
      </c>
      <c r="N415" s="121"/>
      <c r="O415" s="103" t="s">
        <v>946</v>
      </c>
      <c r="P415" s="137">
        <f t="shared" si="38"/>
        <v>5522.4</v>
      </c>
    </row>
    <row r="416" spans="1:16" s="105" customFormat="1" ht="15.75" x14ac:dyDescent="0.25">
      <c r="A416" s="106" t="s">
        <v>1158</v>
      </c>
      <c r="B416" s="102">
        <v>45020</v>
      </c>
      <c r="C416" s="25" t="s">
        <v>1142</v>
      </c>
      <c r="D416" s="25" t="s">
        <v>1122</v>
      </c>
      <c r="E416" s="164">
        <v>10</v>
      </c>
      <c r="F416" s="134">
        <v>348.1</v>
      </c>
      <c r="G416" s="50"/>
      <c r="H416" s="102">
        <v>45020</v>
      </c>
      <c r="I416" s="144">
        <v>10</v>
      </c>
      <c r="J416" s="104">
        <v>348.1</v>
      </c>
      <c r="K416" s="104">
        <f t="shared" si="37"/>
        <v>3481</v>
      </c>
      <c r="L416" s="103"/>
      <c r="M416" s="141">
        <f t="shared" si="36"/>
        <v>20</v>
      </c>
      <c r="N416" s="121"/>
      <c r="O416" s="103" t="s">
        <v>946</v>
      </c>
      <c r="P416" s="137">
        <f t="shared" si="38"/>
        <v>6962</v>
      </c>
    </row>
    <row r="417" spans="1:16" s="105" customFormat="1" ht="15.75" x14ac:dyDescent="0.25">
      <c r="A417" s="106" t="s">
        <v>1159</v>
      </c>
      <c r="B417" s="102">
        <v>45020</v>
      </c>
      <c r="C417" s="25" t="s">
        <v>1143</v>
      </c>
      <c r="D417" s="25" t="s">
        <v>1122</v>
      </c>
      <c r="E417" s="164">
        <v>12</v>
      </c>
      <c r="F417" s="134">
        <v>165.16</v>
      </c>
      <c r="G417" s="50"/>
      <c r="H417" s="102">
        <v>45020</v>
      </c>
      <c r="I417" s="144">
        <v>12</v>
      </c>
      <c r="J417" s="104">
        <v>165.16</v>
      </c>
      <c r="K417" s="104">
        <f t="shared" si="37"/>
        <v>1981.92</v>
      </c>
      <c r="L417" s="103"/>
      <c r="M417" s="141">
        <f t="shared" si="36"/>
        <v>24</v>
      </c>
      <c r="N417" s="121"/>
      <c r="O417" s="103" t="s">
        <v>946</v>
      </c>
      <c r="P417" s="137">
        <f t="shared" si="38"/>
        <v>3963.84</v>
      </c>
    </row>
    <row r="418" spans="1:16" s="105" customFormat="1" ht="15.75" x14ac:dyDescent="0.25">
      <c r="A418" s="106" t="s">
        <v>1160</v>
      </c>
      <c r="B418" s="102">
        <v>45020</v>
      </c>
      <c r="C418" s="25" t="s">
        <v>1144</v>
      </c>
      <c r="D418" s="25" t="s">
        <v>1122</v>
      </c>
      <c r="E418" s="164">
        <v>1</v>
      </c>
      <c r="F418" s="134">
        <v>48675</v>
      </c>
      <c r="G418" s="50"/>
      <c r="H418" s="102">
        <v>45020</v>
      </c>
      <c r="I418" s="144">
        <v>1</v>
      </c>
      <c r="J418" s="104">
        <v>48675</v>
      </c>
      <c r="K418" s="104">
        <f t="shared" si="37"/>
        <v>48675</v>
      </c>
      <c r="L418" s="103"/>
      <c r="M418" s="141">
        <f t="shared" si="36"/>
        <v>2</v>
      </c>
      <c r="N418" s="121"/>
      <c r="O418" s="103" t="s">
        <v>946</v>
      </c>
      <c r="P418" s="137">
        <f t="shared" si="38"/>
        <v>97350</v>
      </c>
    </row>
    <row r="419" spans="1:16" s="105" customFormat="1" ht="15.75" x14ac:dyDescent="0.25">
      <c r="A419" s="106" t="s">
        <v>1161</v>
      </c>
      <c r="B419" s="102">
        <v>45020</v>
      </c>
      <c r="C419" s="25" t="s">
        <v>1145</v>
      </c>
      <c r="D419" s="25" t="s">
        <v>1122</v>
      </c>
      <c r="E419" s="164">
        <v>1</v>
      </c>
      <c r="F419" s="134">
        <v>67571.820000000007</v>
      </c>
      <c r="G419" s="50"/>
      <c r="H419" s="102">
        <v>45020</v>
      </c>
      <c r="I419" s="144">
        <v>1</v>
      </c>
      <c r="J419" s="104">
        <v>67571.820000000007</v>
      </c>
      <c r="K419" s="104">
        <f t="shared" si="37"/>
        <v>67571.820000000007</v>
      </c>
      <c r="L419" s="103"/>
      <c r="M419" s="141">
        <f t="shared" si="36"/>
        <v>2</v>
      </c>
      <c r="N419" s="121"/>
      <c r="O419" s="103" t="s">
        <v>946</v>
      </c>
      <c r="P419" s="137">
        <f t="shared" si="38"/>
        <v>135143.64000000001</v>
      </c>
    </row>
    <row r="420" spans="1:16" s="105" customFormat="1" ht="15.75" x14ac:dyDescent="0.25">
      <c r="A420" s="106" t="s">
        <v>1162</v>
      </c>
      <c r="B420" s="102">
        <v>45020</v>
      </c>
      <c r="C420" s="25" t="s">
        <v>1146</v>
      </c>
      <c r="D420" s="25" t="s">
        <v>1122</v>
      </c>
      <c r="E420" s="164">
        <v>15</v>
      </c>
      <c r="F420" s="134">
        <v>873.2</v>
      </c>
      <c r="G420" s="50"/>
      <c r="H420" s="102">
        <v>45020</v>
      </c>
      <c r="I420" s="144">
        <v>15</v>
      </c>
      <c r="J420" s="104">
        <v>873.2</v>
      </c>
      <c r="K420" s="104">
        <f t="shared" si="37"/>
        <v>13098</v>
      </c>
      <c r="L420" s="103"/>
      <c r="M420" s="141">
        <f t="shared" si="36"/>
        <v>30</v>
      </c>
      <c r="N420" s="121"/>
      <c r="O420" s="103" t="s">
        <v>946</v>
      </c>
      <c r="P420" s="137">
        <f t="shared" si="38"/>
        <v>26196</v>
      </c>
    </row>
    <row r="421" spans="1:16" s="105" customFormat="1" ht="15.75" x14ac:dyDescent="0.25">
      <c r="A421" s="106" t="s">
        <v>1163</v>
      </c>
      <c r="B421" s="102">
        <v>45020</v>
      </c>
      <c r="C421" s="25" t="s">
        <v>1147</v>
      </c>
      <c r="D421" s="25" t="s">
        <v>1122</v>
      </c>
      <c r="E421" s="162">
        <v>20</v>
      </c>
      <c r="F421" s="134">
        <v>324.5</v>
      </c>
      <c r="G421" s="50"/>
      <c r="H421" s="102">
        <v>45020</v>
      </c>
      <c r="I421" s="144">
        <v>20</v>
      </c>
      <c r="J421" s="104">
        <v>324.5</v>
      </c>
      <c r="K421" s="104">
        <f t="shared" si="37"/>
        <v>6490</v>
      </c>
      <c r="L421" s="103"/>
      <c r="M421" s="141">
        <f t="shared" si="36"/>
        <v>40</v>
      </c>
      <c r="N421" s="121"/>
      <c r="O421" s="103" t="s">
        <v>946</v>
      </c>
      <c r="P421" s="137">
        <f t="shared" si="38"/>
        <v>12980</v>
      </c>
    </row>
    <row r="422" spans="1:16" s="105" customFormat="1" ht="15.75" x14ac:dyDescent="0.25">
      <c r="A422" s="106" t="s">
        <v>1164</v>
      </c>
      <c r="B422" s="102">
        <v>45020</v>
      </c>
      <c r="C422" s="25" t="s">
        <v>1148</v>
      </c>
      <c r="D422" s="25" t="s">
        <v>1122</v>
      </c>
      <c r="E422" s="162">
        <v>300</v>
      </c>
      <c r="F422" s="134">
        <v>3.48</v>
      </c>
      <c r="G422" s="50"/>
      <c r="H422" s="102">
        <v>45020</v>
      </c>
      <c r="I422" s="144">
        <v>300</v>
      </c>
      <c r="J422" s="104">
        <v>3.48</v>
      </c>
      <c r="K422" s="104">
        <f t="shared" si="37"/>
        <v>1044</v>
      </c>
      <c r="L422" s="103"/>
      <c r="M422" s="141">
        <f t="shared" si="36"/>
        <v>600</v>
      </c>
      <c r="N422" s="121"/>
      <c r="O422" s="103" t="s">
        <v>946</v>
      </c>
      <c r="P422" s="137">
        <f t="shared" si="38"/>
        <v>2088</v>
      </c>
    </row>
    <row r="423" spans="1:16" s="105" customFormat="1" ht="15.75" x14ac:dyDescent="0.25">
      <c r="A423" s="106" t="s">
        <v>1165</v>
      </c>
      <c r="B423" s="102">
        <v>45020</v>
      </c>
      <c r="C423" s="25" t="s">
        <v>1149</v>
      </c>
      <c r="D423" s="25" t="s">
        <v>1122</v>
      </c>
      <c r="E423" s="162">
        <v>3</v>
      </c>
      <c r="F423" s="134">
        <v>1062</v>
      </c>
      <c r="G423" s="50"/>
      <c r="H423" s="102">
        <v>45020</v>
      </c>
      <c r="I423" s="144">
        <v>3</v>
      </c>
      <c r="J423" s="13">
        <v>1062</v>
      </c>
      <c r="K423" s="104">
        <f t="shared" si="37"/>
        <v>3186</v>
      </c>
      <c r="L423" s="103"/>
      <c r="M423" s="141">
        <f t="shared" si="36"/>
        <v>6</v>
      </c>
      <c r="N423" s="121"/>
      <c r="O423" s="103" t="s">
        <v>946</v>
      </c>
      <c r="P423" s="137">
        <f t="shared" si="38"/>
        <v>6372</v>
      </c>
    </row>
    <row r="424" spans="1:16" s="105" customFormat="1" ht="15.75" x14ac:dyDescent="0.25">
      <c r="A424" s="106" t="s">
        <v>1166</v>
      </c>
      <c r="B424" s="102">
        <v>45020</v>
      </c>
      <c r="C424" s="25" t="s">
        <v>1150</v>
      </c>
      <c r="D424" s="25" t="s">
        <v>1122</v>
      </c>
      <c r="E424" s="162">
        <v>7</v>
      </c>
      <c r="F424" s="134">
        <v>1298</v>
      </c>
      <c r="G424" s="50"/>
      <c r="H424" s="102">
        <v>45020</v>
      </c>
      <c r="I424" s="144">
        <v>7</v>
      </c>
      <c r="J424" s="13">
        <v>1298</v>
      </c>
      <c r="K424" s="104">
        <f t="shared" si="37"/>
        <v>9086</v>
      </c>
      <c r="L424" s="103">
        <v>1</v>
      </c>
      <c r="M424" s="141">
        <f t="shared" si="36"/>
        <v>13</v>
      </c>
      <c r="N424" s="121"/>
      <c r="O424" s="103" t="s">
        <v>946</v>
      </c>
      <c r="P424" s="137">
        <f t="shared" si="38"/>
        <v>16874</v>
      </c>
    </row>
    <row r="425" spans="1:16" s="105" customFormat="1" ht="15.75" x14ac:dyDescent="0.25">
      <c r="A425" s="106" t="s">
        <v>1169</v>
      </c>
      <c r="B425" s="102">
        <v>45019</v>
      </c>
      <c r="C425" s="25" t="s">
        <v>1171</v>
      </c>
      <c r="D425" s="25" t="s">
        <v>1172</v>
      </c>
      <c r="E425" s="162"/>
      <c r="F425" s="134">
        <v>3540</v>
      </c>
      <c r="G425" s="50"/>
      <c r="H425" s="102">
        <v>45019</v>
      </c>
      <c r="I425" s="144">
        <v>15</v>
      </c>
      <c r="J425" s="13">
        <v>3540</v>
      </c>
      <c r="K425" s="104">
        <f>+J425*I425</f>
        <v>53100</v>
      </c>
      <c r="L425" s="103">
        <v>1</v>
      </c>
      <c r="M425" s="141">
        <f t="shared" si="36"/>
        <v>14</v>
      </c>
      <c r="N425" s="121"/>
      <c r="O425" s="103" t="s">
        <v>945</v>
      </c>
      <c r="P425" s="137">
        <f>+F425*M425</f>
        <v>49560</v>
      </c>
    </row>
    <row r="426" spans="1:16" s="105" customFormat="1" ht="15.75" x14ac:dyDescent="0.25">
      <c r="A426" s="106" t="s">
        <v>1170</v>
      </c>
      <c r="B426" s="102">
        <v>45019</v>
      </c>
      <c r="C426" s="25" t="s">
        <v>1174</v>
      </c>
      <c r="D426" s="25" t="s">
        <v>1173</v>
      </c>
      <c r="E426" s="162">
        <v>6</v>
      </c>
      <c r="F426" s="134">
        <v>1500.96</v>
      </c>
      <c r="G426" s="50"/>
      <c r="H426" s="102">
        <v>45019</v>
      </c>
      <c r="I426" s="144">
        <f>16*6</f>
        <v>96</v>
      </c>
      <c r="J426" s="13">
        <v>1500.96</v>
      </c>
      <c r="K426" s="104">
        <f>+J426*I426</f>
        <v>144092.16</v>
      </c>
      <c r="L426" s="103">
        <f>11+1+1+1+2+1</f>
        <v>17</v>
      </c>
      <c r="M426" s="141">
        <f t="shared" si="36"/>
        <v>85</v>
      </c>
      <c r="N426" s="121"/>
      <c r="O426" s="103" t="s">
        <v>945</v>
      </c>
      <c r="P426" s="137">
        <f t="shared" si="38"/>
        <v>127581.6</v>
      </c>
    </row>
    <row r="427" spans="1:16" s="105" customFormat="1" ht="15.75" x14ac:dyDescent="0.25">
      <c r="A427" s="106" t="s">
        <v>1177</v>
      </c>
      <c r="B427" s="102">
        <v>45019</v>
      </c>
      <c r="C427" s="25" t="s">
        <v>1175</v>
      </c>
      <c r="D427" s="25" t="s">
        <v>1176</v>
      </c>
      <c r="E427" s="162">
        <v>0</v>
      </c>
      <c r="F427" s="134">
        <v>154.51</v>
      </c>
      <c r="G427" s="50"/>
      <c r="H427" s="102">
        <v>45127</v>
      </c>
      <c r="I427" s="144">
        <v>36</v>
      </c>
      <c r="J427" s="13">
        <v>181.92</v>
      </c>
      <c r="K427" s="104">
        <f>+J427*I427</f>
        <v>6549.12</v>
      </c>
      <c r="L427" s="103">
        <v>1</v>
      </c>
      <c r="M427" s="141">
        <f>+E427+I427-L427</f>
        <v>35</v>
      </c>
      <c r="N427" s="121"/>
      <c r="O427" s="103" t="s">
        <v>945</v>
      </c>
      <c r="P427" s="137">
        <f>+F427*M427</f>
        <v>5407.8499999999995</v>
      </c>
    </row>
    <row r="428" spans="1:16" s="105" customFormat="1" ht="15.75" x14ac:dyDescent="0.25">
      <c r="A428" s="106" t="s">
        <v>1178</v>
      </c>
      <c r="B428" s="102">
        <v>45019</v>
      </c>
      <c r="C428" s="25" t="s">
        <v>1179</v>
      </c>
      <c r="D428" s="25" t="s">
        <v>1122</v>
      </c>
      <c r="E428" s="162">
        <v>5</v>
      </c>
      <c r="F428" s="134">
        <v>223.06</v>
      </c>
      <c r="G428" s="50"/>
      <c r="H428" s="102">
        <v>45019</v>
      </c>
      <c r="I428" s="144">
        <v>12</v>
      </c>
      <c r="J428" s="13">
        <v>223.06</v>
      </c>
      <c r="K428" s="104">
        <f t="shared" ref="K428:K439" si="39">+J428*I428</f>
        <v>2676.7200000000003</v>
      </c>
      <c r="L428" s="103"/>
      <c r="M428" s="151">
        <f>+E428+I428-L428</f>
        <v>17</v>
      </c>
      <c r="N428" s="121"/>
      <c r="O428" s="103" t="s">
        <v>945</v>
      </c>
      <c r="P428" s="137">
        <f t="shared" si="38"/>
        <v>3792.02</v>
      </c>
    </row>
    <row r="429" spans="1:16" s="105" customFormat="1" ht="15.75" x14ac:dyDescent="0.25">
      <c r="A429" s="106" t="s">
        <v>1181</v>
      </c>
      <c r="B429" s="102">
        <v>45019</v>
      </c>
      <c r="C429" s="25" t="s">
        <v>1180</v>
      </c>
      <c r="D429" s="25" t="s">
        <v>1122</v>
      </c>
      <c r="E429" s="162"/>
      <c r="F429" s="134">
        <v>236</v>
      </c>
      <c r="G429" s="50"/>
      <c r="H429" s="102">
        <v>45019</v>
      </c>
      <c r="I429" s="144">
        <v>12</v>
      </c>
      <c r="J429" s="13">
        <v>236</v>
      </c>
      <c r="K429" s="104">
        <f t="shared" si="39"/>
        <v>2832</v>
      </c>
      <c r="L429" s="117">
        <v>1</v>
      </c>
      <c r="M429" s="151">
        <f t="shared" ref="M429:M473" si="40">+E429+I429-L429</f>
        <v>11</v>
      </c>
      <c r="N429" s="121"/>
      <c r="O429" s="103" t="s">
        <v>945</v>
      </c>
      <c r="P429" s="137">
        <f t="shared" si="38"/>
        <v>2596</v>
      </c>
    </row>
    <row r="430" spans="1:16" s="105" customFormat="1" ht="15.75" x14ac:dyDescent="0.25">
      <c r="A430" s="106" t="s">
        <v>1182</v>
      </c>
      <c r="B430" s="102">
        <v>45019</v>
      </c>
      <c r="C430" s="25" t="s">
        <v>1183</v>
      </c>
      <c r="D430" s="25" t="s">
        <v>1122</v>
      </c>
      <c r="E430" s="162"/>
      <c r="F430" s="134">
        <v>248.52</v>
      </c>
      <c r="G430" s="50"/>
      <c r="H430" s="102">
        <v>45019</v>
      </c>
      <c r="I430" s="144">
        <v>12</v>
      </c>
      <c r="J430" s="13">
        <v>248.52</v>
      </c>
      <c r="K430" s="104">
        <f t="shared" si="39"/>
        <v>2982.2400000000002</v>
      </c>
      <c r="L430" s="117">
        <f>6+2</f>
        <v>8</v>
      </c>
      <c r="M430" s="151">
        <f t="shared" si="40"/>
        <v>4</v>
      </c>
      <c r="N430" s="121"/>
      <c r="O430" s="103" t="s">
        <v>945</v>
      </c>
      <c r="P430" s="137">
        <f t="shared" si="38"/>
        <v>994.08</v>
      </c>
    </row>
    <row r="431" spans="1:16" s="105" customFormat="1" ht="15.75" x14ac:dyDescent="0.25">
      <c r="A431" s="106" t="s">
        <v>1184</v>
      </c>
      <c r="B431" s="102">
        <v>45019</v>
      </c>
      <c r="C431" s="25" t="s">
        <v>650</v>
      </c>
      <c r="D431" s="25" t="s">
        <v>1122</v>
      </c>
      <c r="E431" s="162">
        <v>1900</v>
      </c>
      <c r="F431" s="134">
        <v>4.01</v>
      </c>
      <c r="G431" s="50"/>
      <c r="H431" s="102">
        <v>45019</v>
      </c>
      <c r="I431" s="144">
        <v>700</v>
      </c>
      <c r="J431" s="130">
        <v>4.01</v>
      </c>
      <c r="K431" s="104">
        <f t="shared" si="39"/>
        <v>2807</v>
      </c>
      <c r="L431" s="117">
        <f>300+100+100</f>
        <v>500</v>
      </c>
      <c r="M431" s="151">
        <f t="shared" si="40"/>
        <v>2100</v>
      </c>
      <c r="N431" s="121"/>
      <c r="O431" s="103" t="s">
        <v>945</v>
      </c>
      <c r="P431" s="137">
        <f t="shared" si="38"/>
        <v>8421</v>
      </c>
    </row>
    <row r="432" spans="1:16" s="105" customFormat="1" ht="15.75" x14ac:dyDescent="0.25">
      <c r="A432" s="106" t="s">
        <v>1185</v>
      </c>
      <c r="B432" s="102">
        <v>45019</v>
      </c>
      <c r="C432" s="25" t="s">
        <v>1186</v>
      </c>
      <c r="D432" s="25" t="s">
        <v>1122</v>
      </c>
      <c r="E432" s="162">
        <v>50</v>
      </c>
      <c r="F432" s="134">
        <v>66.67</v>
      </c>
      <c r="G432" s="50">
        <f>+E432*F432</f>
        <v>3333.5</v>
      </c>
      <c r="H432" s="102">
        <v>45019</v>
      </c>
      <c r="I432" s="144"/>
      <c r="J432" s="13">
        <v>66.67</v>
      </c>
      <c r="K432" s="104">
        <f t="shared" si="39"/>
        <v>0</v>
      </c>
      <c r="L432" s="117">
        <v>3</v>
      </c>
      <c r="M432" s="141">
        <f t="shared" si="40"/>
        <v>47</v>
      </c>
      <c r="N432" s="122"/>
      <c r="O432" s="117" t="s">
        <v>945</v>
      </c>
      <c r="P432" s="137">
        <f t="shared" si="38"/>
        <v>3133.4900000000002</v>
      </c>
    </row>
    <row r="433" spans="1:16" s="105" customFormat="1" ht="15.75" x14ac:dyDescent="0.25">
      <c r="A433" s="106" t="s">
        <v>1187</v>
      </c>
      <c r="B433" s="102">
        <v>45016</v>
      </c>
      <c r="C433" s="25" t="s">
        <v>1189</v>
      </c>
      <c r="D433" s="25" t="s">
        <v>1122</v>
      </c>
      <c r="E433" s="162">
        <v>8</v>
      </c>
      <c r="F433" s="134">
        <v>3371.25</v>
      </c>
      <c r="G433" s="50"/>
      <c r="H433" s="102">
        <v>45016</v>
      </c>
      <c r="I433" s="144">
        <v>8</v>
      </c>
      <c r="J433" s="130">
        <v>3371.25</v>
      </c>
      <c r="K433" s="104">
        <f t="shared" si="39"/>
        <v>26970</v>
      </c>
      <c r="L433" s="117"/>
      <c r="M433" s="141">
        <f t="shared" si="40"/>
        <v>16</v>
      </c>
      <c r="N433" s="122"/>
      <c r="O433" s="117" t="s">
        <v>945</v>
      </c>
      <c r="P433" s="137">
        <f t="shared" si="38"/>
        <v>53940</v>
      </c>
    </row>
    <row r="434" spans="1:16" s="105" customFormat="1" ht="15.75" x14ac:dyDescent="0.25">
      <c r="A434" s="106" t="s">
        <v>1188</v>
      </c>
      <c r="B434" s="102">
        <v>45016</v>
      </c>
      <c r="C434" s="25" t="s">
        <v>1191</v>
      </c>
      <c r="D434" s="25" t="s">
        <v>1122</v>
      </c>
      <c r="E434" s="162"/>
      <c r="F434" s="134">
        <v>510.94</v>
      </c>
      <c r="G434" s="50"/>
      <c r="H434" s="102">
        <v>45016</v>
      </c>
      <c r="I434" s="144">
        <v>5</v>
      </c>
      <c r="J434" s="130">
        <v>510.94</v>
      </c>
      <c r="K434" s="118">
        <f t="shared" si="39"/>
        <v>2554.6999999999998</v>
      </c>
      <c r="L434" s="117"/>
      <c r="M434" s="141">
        <f t="shared" si="40"/>
        <v>5</v>
      </c>
      <c r="N434" s="122"/>
      <c r="O434" s="117" t="s">
        <v>945</v>
      </c>
      <c r="P434" s="137">
        <f>+F434*M434</f>
        <v>2554.6999999999998</v>
      </c>
    </row>
    <row r="435" spans="1:16" s="105" customFormat="1" ht="15.75" x14ac:dyDescent="0.25">
      <c r="A435" s="106" t="s">
        <v>1197</v>
      </c>
      <c r="B435" s="102">
        <v>45016</v>
      </c>
      <c r="C435" s="25" t="s">
        <v>1192</v>
      </c>
      <c r="D435" s="25" t="s">
        <v>1122</v>
      </c>
      <c r="E435" s="162">
        <v>0</v>
      </c>
      <c r="F435" s="134">
        <v>7003.3</v>
      </c>
      <c r="G435" s="50"/>
      <c r="H435" s="102">
        <v>45016</v>
      </c>
      <c r="I435" s="144">
        <v>4</v>
      </c>
      <c r="J435" s="130">
        <v>7003.3</v>
      </c>
      <c r="K435" s="118">
        <f t="shared" si="39"/>
        <v>28013.200000000001</v>
      </c>
      <c r="L435" s="117">
        <v>4</v>
      </c>
      <c r="M435" s="141">
        <f t="shared" si="40"/>
        <v>0</v>
      </c>
      <c r="N435" s="122"/>
      <c r="O435" s="117" t="s">
        <v>945</v>
      </c>
      <c r="P435" s="137">
        <f>+F435*M435</f>
        <v>0</v>
      </c>
    </row>
    <row r="436" spans="1:16" s="105" customFormat="1" ht="15.75" x14ac:dyDescent="0.25">
      <c r="A436" s="106" t="s">
        <v>1198</v>
      </c>
      <c r="B436" s="102">
        <v>45016</v>
      </c>
      <c r="C436" s="25" t="s">
        <v>1193</v>
      </c>
      <c r="D436" s="25" t="s">
        <v>1122</v>
      </c>
      <c r="E436" s="162"/>
      <c r="F436" s="134">
        <v>55.61</v>
      </c>
      <c r="G436" s="50"/>
      <c r="H436" s="102">
        <v>45016</v>
      </c>
      <c r="I436" s="144">
        <v>80</v>
      </c>
      <c r="J436" s="130">
        <v>55.61</v>
      </c>
      <c r="K436" s="118">
        <f t="shared" si="39"/>
        <v>4448.8</v>
      </c>
      <c r="L436" s="117">
        <v>1</v>
      </c>
      <c r="M436" s="141">
        <f t="shared" si="40"/>
        <v>79</v>
      </c>
      <c r="N436" s="122"/>
      <c r="O436" s="117" t="s">
        <v>946</v>
      </c>
      <c r="P436" s="137">
        <f t="shared" si="38"/>
        <v>4393.1899999999996</v>
      </c>
    </row>
    <row r="437" spans="1:16" s="105" customFormat="1" ht="15.75" x14ac:dyDescent="0.25">
      <c r="A437" s="106" t="s">
        <v>1199</v>
      </c>
      <c r="B437" s="102">
        <v>45016</v>
      </c>
      <c r="C437" s="25" t="s">
        <v>1194</v>
      </c>
      <c r="D437" s="25" t="s">
        <v>1122</v>
      </c>
      <c r="E437" s="162"/>
      <c r="F437" s="134">
        <v>21.82</v>
      </c>
      <c r="G437" s="50"/>
      <c r="H437" s="102">
        <v>45016</v>
      </c>
      <c r="I437" s="144">
        <v>80</v>
      </c>
      <c r="J437" s="130">
        <v>21.82</v>
      </c>
      <c r="K437" s="118">
        <f t="shared" si="39"/>
        <v>1745.6</v>
      </c>
      <c r="L437" s="117"/>
      <c r="M437" s="141">
        <f t="shared" si="40"/>
        <v>80</v>
      </c>
      <c r="N437" s="122"/>
      <c r="O437" s="117" t="s">
        <v>946</v>
      </c>
      <c r="P437" s="137">
        <f t="shared" si="38"/>
        <v>1745.6</v>
      </c>
    </row>
    <row r="438" spans="1:16" s="105" customFormat="1" ht="15.75" x14ac:dyDescent="0.25">
      <c r="A438" s="106" t="s">
        <v>1200</v>
      </c>
      <c r="B438" s="102">
        <v>45016</v>
      </c>
      <c r="C438" s="25" t="s">
        <v>1195</v>
      </c>
      <c r="D438" s="25" t="s">
        <v>1122</v>
      </c>
      <c r="E438" s="162"/>
      <c r="F438" s="134">
        <v>35240.699999999997</v>
      </c>
      <c r="G438" s="50"/>
      <c r="H438" s="102">
        <v>45016</v>
      </c>
      <c r="I438" s="144">
        <v>4</v>
      </c>
      <c r="J438" s="130">
        <v>35240.699999999997</v>
      </c>
      <c r="K438" s="118">
        <f t="shared" si="39"/>
        <v>140962.79999999999</v>
      </c>
      <c r="L438" s="117">
        <v>4</v>
      </c>
      <c r="M438" s="141">
        <f t="shared" si="40"/>
        <v>0</v>
      </c>
      <c r="N438" s="122"/>
      <c r="O438" s="117" t="s">
        <v>946</v>
      </c>
      <c r="P438" s="137">
        <f t="shared" si="38"/>
        <v>0</v>
      </c>
    </row>
    <row r="439" spans="1:16" s="105" customFormat="1" ht="15.75" x14ac:dyDescent="0.25">
      <c r="A439" s="106" t="s">
        <v>1201</v>
      </c>
      <c r="B439" s="102">
        <v>45016</v>
      </c>
      <c r="C439" s="25" t="s">
        <v>1196</v>
      </c>
      <c r="D439" s="25" t="s">
        <v>1122</v>
      </c>
      <c r="E439" s="162"/>
      <c r="F439" s="134">
        <v>1770</v>
      </c>
      <c r="G439" s="101"/>
      <c r="H439" s="102">
        <v>45016</v>
      </c>
      <c r="I439" s="144">
        <v>30</v>
      </c>
      <c r="J439" s="130">
        <v>1770</v>
      </c>
      <c r="K439" s="118">
        <f t="shared" si="39"/>
        <v>53100</v>
      </c>
      <c r="L439" s="117">
        <v>30</v>
      </c>
      <c r="M439" s="145">
        <f t="shared" si="40"/>
        <v>0</v>
      </c>
      <c r="N439" s="122"/>
      <c r="O439" s="117" t="s">
        <v>947</v>
      </c>
      <c r="P439" s="149">
        <f t="shared" si="38"/>
        <v>0</v>
      </c>
    </row>
    <row r="440" spans="1:16" s="105" customFormat="1" ht="15.75" x14ac:dyDescent="0.25">
      <c r="A440" s="106" t="s">
        <v>1202</v>
      </c>
      <c r="B440" s="102"/>
      <c r="C440" s="25" t="s">
        <v>1205</v>
      </c>
      <c r="D440" s="25" t="s">
        <v>1122</v>
      </c>
      <c r="E440" s="162"/>
      <c r="F440" s="134"/>
      <c r="G440" s="101"/>
      <c r="H440" s="119"/>
      <c r="I440" s="144"/>
      <c r="J440" s="130"/>
      <c r="K440" s="118"/>
      <c r="L440" s="117">
        <v>12</v>
      </c>
      <c r="M440" s="145">
        <f t="shared" si="40"/>
        <v>-12</v>
      </c>
      <c r="N440" s="122"/>
      <c r="O440" s="117" t="s">
        <v>947</v>
      </c>
      <c r="P440" s="149"/>
    </row>
    <row r="441" spans="1:16" s="105" customFormat="1" ht="15.75" x14ac:dyDescent="0.25">
      <c r="A441" s="106" t="s">
        <v>1203</v>
      </c>
      <c r="B441" s="102"/>
      <c r="C441" s="25" t="s">
        <v>1206</v>
      </c>
      <c r="D441" s="25" t="s">
        <v>1122</v>
      </c>
      <c r="E441" s="162"/>
      <c r="F441" s="134"/>
      <c r="G441" s="101"/>
      <c r="H441" s="119"/>
      <c r="I441" s="144">
        <v>310</v>
      </c>
      <c r="J441" s="130"/>
      <c r="K441" s="118"/>
      <c r="L441" s="117">
        <v>24</v>
      </c>
      <c r="M441" s="150">
        <f t="shared" si="40"/>
        <v>286</v>
      </c>
      <c r="N441" s="122"/>
      <c r="O441" s="117" t="s">
        <v>947</v>
      </c>
      <c r="P441" s="149"/>
    </row>
    <row r="442" spans="1:16" s="105" customFormat="1" ht="15.75" x14ac:dyDescent="0.25">
      <c r="A442" s="106" t="s">
        <v>1204</v>
      </c>
      <c r="B442" s="102"/>
      <c r="C442" s="25" t="s">
        <v>1207</v>
      </c>
      <c r="D442" s="25" t="s">
        <v>1122</v>
      </c>
      <c r="E442" s="162"/>
      <c r="F442" s="134"/>
      <c r="G442" s="101"/>
      <c r="H442" s="119"/>
      <c r="I442" s="144">
        <v>101</v>
      </c>
      <c r="J442" s="130"/>
      <c r="K442" s="118"/>
      <c r="L442" s="117">
        <v>15</v>
      </c>
      <c r="M442" s="150">
        <f t="shared" si="40"/>
        <v>86</v>
      </c>
      <c r="N442" s="122"/>
      <c r="O442" s="117" t="s">
        <v>947</v>
      </c>
      <c r="P442" s="149"/>
    </row>
    <row r="443" spans="1:16" s="105" customFormat="1" ht="15.75" x14ac:dyDescent="0.25">
      <c r="A443" s="106" t="s">
        <v>1213</v>
      </c>
      <c r="B443" s="102"/>
      <c r="C443" s="25" t="s">
        <v>1208</v>
      </c>
      <c r="D443" s="25" t="s">
        <v>1122</v>
      </c>
      <c r="E443" s="162"/>
      <c r="F443" s="134"/>
      <c r="G443" s="101"/>
      <c r="H443" s="119"/>
      <c r="I443" s="144">
        <v>500</v>
      </c>
      <c r="J443" s="130"/>
      <c r="K443" s="118"/>
      <c r="L443" s="117">
        <f>15+54</f>
        <v>69</v>
      </c>
      <c r="M443" s="145">
        <f t="shared" si="40"/>
        <v>431</v>
      </c>
      <c r="N443" s="122"/>
      <c r="O443" s="117" t="s">
        <v>947</v>
      </c>
      <c r="P443" s="149"/>
    </row>
    <row r="444" spans="1:16" s="105" customFormat="1" ht="15.75" x14ac:dyDescent="0.25">
      <c r="A444" s="106" t="s">
        <v>1214</v>
      </c>
      <c r="B444" s="102"/>
      <c r="C444" s="25" t="s">
        <v>1209</v>
      </c>
      <c r="D444" s="25" t="s">
        <v>1122</v>
      </c>
      <c r="E444" s="162"/>
      <c r="F444" s="134"/>
      <c r="G444" s="101"/>
      <c r="H444" s="119"/>
      <c r="I444" s="144">
        <v>300</v>
      </c>
      <c r="J444" s="130"/>
      <c r="K444" s="118"/>
      <c r="L444" s="117">
        <v>100</v>
      </c>
      <c r="M444" s="145">
        <f>+E444+I444-L444</f>
        <v>200</v>
      </c>
      <c r="N444" s="122"/>
      <c r="O444" s="117" t="s">
        <v>947</v>
      </c>
      <c r="P444" s="149"/>
    </row>
    <row r="445" spans="1:16" s="105" customFormat="1" ht="15.75" x14ac:dyDescent="0.25">
      <c r="A445" s="106" t="s">
        <v>1215</v>
      </c>
      <c r="B445" s="102"/>
      <c r="C445" s="25" t="s">
        <v>1210</v>
      </c>
      <c r="D445" s="25" t="s">
        <v>1122</v>
      </c>
      <c r="E445" s="162"/>
      <c r="F445" s="134"/>
      <c r="G445" s="101"/>
      <c r="H445" s="119"/>
      <c r="I445" s="144">
        <v>99</v>
      </c>
      <c r="J445" s="130"/>
      <c r="K445" s="118"/>
      <c r="L445" s="117">
        <v>3</v>
      </c>
      <c r="M445" s="145">
        <f t="shared" si="40"/>
        <v>96</v>
      </c>
      <c r="N445" s="122"/>
      <c r="O445" s="117" t="s">
        <v>947</v>
      </c>
      <c r="P445" s="149"/>
    </row>
    <row r="446" spans="1:16" s="105" customFormat="1" ht="15.75" x14ac:dyDescent="0.25">
      <c r="A446" s="106" t="s">
        <v>1216</v>
      </c>
      <c r="B446" s="102"/>
      <c r="C446" s="25" t="s">
        <v>1211</v>
      </c>
      <c r="D446" s="25" t="s">
        <v>1122</v>
      </c>
      <c r="E446" s="162"/>
      <c r="F446" s="134"/>
      <c r="G446" s="101"/>
      <c r="H446" s="119"/>
      <c r="I446" s="144"/>
      <c r="J446" s="130"/>
      <c r="K446" s="118"/>
      <c r="L446" s="117">
        <v>4</v>
      </c>
      <c r="M446" s="145">
        <f t="shared" si="40"/>
        <v>-4</v>
      </c>
      <c r="N446" s="122"/>
      <c r="O446" s="117" t="s">
        <v>946</v>
      </c>
      <c r="P446" s="149"/>
    </row>
    <row r="447" spans="1:16" s="105" customFormat="1" ht="15.75" x14ac:dyDescent="0.25">
      <c r="A447" s="106" t="s">
        <v>1217</v>
      </c>
      <c r="B447" s="102"/>
      <c r="C447" s="25" t="s">
        <v>1212</v>
      </c>
      <c r="D447" s="25" t="s">
        <v>1122</v>
      </c>
      <c r="E447" s="162"/>
      <c r="F447" s="134"/>
      <c r="G447" s="101"/>
      <c r="H447" s="119"/>
      <c r="I447" s="144"/>
      <c r="J447" s="130"/>
      <c r="K447" s="118"/>
      <c r="L447" s="117">
        <v>1</v>
      </c>
      <c r="M447" s="145">
        <f t="shared" si="40"/>
        <v>-1</v>
      </c>
      <c r="N447" s="122"/>
      <c r="O447" s="117" t="s">
        <v>946</v>
      </c>
      <c r="P447" s="149"/>
    </row>
    <row r="448" spans="1:16" s="105" customFormat="1" ht="15.75" x14ac:dyDescent="0.25">
      <c r="A448" s="106" t="s">
        <v>1245</v>
      </c>
      <c r="B448" s="102"/>
      <c r="C448" s="25" t="s">
        <v>1221</v>
      </c>
      <c r="D448" s="25" t="s">
        <v>1122</v>
      </c>
      <c r="E448" s="162"/>
      <c r="F448" s="134"/>
      <c r="G448" s="101"/>
      <c r="H448" s="119"/>
      <c r="I448" s="144">
        <v>10</v>
      </c>
      <c r="J448" s="130">
        <v>361.99</v>
      </c>
      <c r="K448" s="118">
        <f t="shared" ref="K448" si="41">+J448*I448</f>
        <v>3619.9</v>
      </c>
      <c r="L448" s="117">
        <v>1</v>
      </c>
      <c r="M448" s="150">
        <f t="shared" si="40"/>
        <v>9</v>
      </c>
      <c r="N448" s="122"/>
      <c r="O448" s="117" t="s">
        <v>945</v>
      </c>
      <c r="P448" s="149"/>
    </row>
    <row r="449" spans="1:16" s="105" customFormat="1" ht="15.75" x14ac:dyDescent="0.25">
      <c r="A449" s="106" t="s">
        <v>1246</v>
      </c>
      <c r="B449" s="102"/>
      <c r="C449" s="25" t="s">
        <v>1225</v>
      </c>
      <c r="D449" s="25" t="s">
        <v>1122</v>
      </c>
      <c r="E449" s="162"/>
      <c r="F449" s="134"/>
      <c r="G449" s="101"/>
      <c r="H449" s="119"/>
      <c r="I449" s="144">
        <v>6</v>
      </c>
      <c r="J449" s="130"/>
      <c r="K449" s="118"/>
      <c r="L449" s="117"/>
      <c r="M449" s="150">
        <f t="shared" si="40"/>
        <v>6</v>
      </c>
      <c r="N449" s="122"/>
      <c r="O449" s="117" t="s">
        <v>947</v>
      </c>
      <c r="P449" s="149"/>
    </row>
    <row r="450" spans="1:16" s="105" customFormat="1" ht="15.75" x14ac:dyDescent="0.25">
      <c r="A450" s="106" t="s">
        <v>1247</v>
      </c>
      <c r="B450" s="102">
        <v>45042</v>
      </c>
      <c r="C450" s="25" t="s">
        <v>1226</v>
      </c>
      <c r="D450" s="25" t="s">
        <v>1122</v>
      </c>
      <c r="E450" s="162">
        <f>12*4</f>
        <v>48</v>
      </c>
      <c r="F450" s="134"/>
      <c r="G450" s="101"/>
      <c r="H450" s="114">
        <v>45042</v>
      </c>
      <c r="I450" s="144"/>
      <c r="J450" s="130"/>
      <c r="K450" s="118"/>
      <c r="L450" s="117">
        <f>48-33+1</f>
        <v>16</v>
      </c>
      <c r="M450" s="150">
        <f t="shared" si="40"/>
        <v>32</v>
      </c>
      <c r="N450" s="122"/>
      <c r="O450" s="117" t="s">
        <v>947</v>
      </c>
      <c r="P450" s="149"/>
    </row>
    <row r="451" spans="1:16" s="105" customFormat="1" ht="15.75" x14ac:dyDescent="0.25">
      <c r="A451" s="106" t="s">
        <v>1248</v>
      </c>
      <c r="B451" s="102">
        <v>45042</v>
      </c>
      <c r="C451" s="25" t="s">
        <v>1227</v>
      </c>
      <c r="D451" s="25" t="s">
        <v>1122</v>
      </c>
      <c r="E451" s="162">
        <v>10</v>
      </c>
      <c r="F451" s="134">
        <v>38.29</v>
      </c>
      <c r="G451" s="101"/>
      <c r="H451" s="114">
        <v>45042</v>
      </c>
      <c r="I451" s="144">
        <v>10</v>
      </c>
      <c r="J451" s="130">
        <v>38.29</v>
      </c>
      <c r="K451" s="118">
        <f t="shared" ref="K451" si="42">+J451*I451</f>
        <v>382.9</v>
      </c>
      <c r="L451" s="117"/>
      <c r="M451" s="150">
        <f t="shared" si="40"/>
        <v>20</v>
      </c>
      <c r="N451" s="122"/>
      <c r="O451" s="117" t="s">
        <v>947</v>
      </c>
      <c r="P451" s="137">
        <f>+F451*M451</f>
        <v>765.8</v>
      </c>
    </row>
    <row r="452" spans="1:16" s="105" customFormat="1" ht="15.75" x14ac:dyDescent="0.25">
      <c r="A452" s="106" t="s">
        <v>1249</v>
      </c>
      <c r="B452" s="102"/>
      <c r="C452" s="25" t="s">
        <v>1229</v>
      </c>
      <c r="D452" s="25" t="s">
        <v>1122</v>
      </c>
      <c r="E452" s="162"/>
      <c r="F452" s="134"/>
      <c r="G452" s="101"/>
      <c r="H452" s="114"/>
      <c r="I452" s="144">
        <v>100</v>
      </c>
      <c r="J452" s="130"/>
      <c r="K452" s="118"/>
      <c r="L452" s="117">
        <v>50</v>
      </c>
      <c r="M452" s="150">
        <f t="shared" si="40"/>
        <v>50</v>
      </c>
      <c r="N452" s="122"/>
      <c r="O452" s="117" t="s">
        <v>947</v>
      </c>
      <c r="P452" s="137">
        <f t="shared" ref="P452:P473" si="43">+F452*M452</f>
        <v>0</v>
      </c>
    </row>
    <row r="453" spans="1:16" s="105" customFormat="1" ht="15.75" x14ac:dyDescent="0.25">
      <c r="A453" s="106" t="s">
        <v>1250</v>
      </c>
      <c r="B453" s="102"/>
      <c r="C453" s="25" t="s">
        <v>1230</v>
      </c>
      <c r="D453" s="25" t="s">
        <v>1122</v>
      </c>
      <c r="E453" s="162"/>
      <c r="F453" s="134">
        <v>71.650000000000006</v>
      </c>
      <c r="G453" s="101"/>
      <c r="H453" s="114"/>
      <c r="I453" s="144">
        <v>10</v>
      </c>
      <c r="J453" s="130">
        <v>71.650000000000006</v>
      </c>
      <c r="K453" s="104">
        <f t="shared" ref="K453:K473" si="44">+J453*I453</f>
        <v>716.5</v>
      </c>
      <c r="L453" s="117">
        <v>1</v>
      </c>
      <c r="M453" s="150">
        <f t="shared" si="40"/>
        <v>9</v>
      </c>
      <c r="N453" s="122"/>
      <c r="O453" s="117" t="s">
        <v>947</v>
      </c>
      <c r="P453" s="137">
        <f t="shared" si="43"/>
        <v>644.85</v>
      </c>
    </row>
    <row r="454" spans="1:16" s="105" customFormat="1" ht="15.75" x14ac:dyDescent="0.25">
      <c r="A454" s="106" t="s">
        <v>1251</v>
      </c>
      <c r="B454" s="102"/>
      <c r="C454" s="25" t="s">
        <v>1231</v>
      </c>
      <c r="D454" s="25" t="s">
        <v>1232</v>
      </c>
      <c r="E454" s="162"/>
      <c r="F454" s="134"/>
      <c r="G454" s="101"/>
      <c r="H454" s="114"/>
      <c r="I454" s="144">
        <v>13</v>
      </c>
      <c r="J454" s="130"/>
      <c r="K454" s="104">
        <f t="shared" si="44"/>
        <v>0</v>
      </c>
      <c r="L454" s="117"/>
      <c r="M454" s="150">
        <f t="shared" si="40"/>
        <v>13</v>
      </c>
      <c r="N454" s="122"/>
      <c r="O454" s="117" t="s">
        <v>947</v>
      </c>
      <c r="P454" s="137">
        <f t="shared" si="43"/>
        <v>0</v>
      </c>
    </row>
    <row r="455" spans="1:16" s="105" customFormat="1" ht="15.75" x14ac:dyDescent="0.25">
      <c r="A455" s="106" t="s">
        <v>1252</v>
      </c>
      <c r="B455" s="102">
        <v>44193</v>
      </c>
      <c r="C455" s="9" t="s">
        <v>1233</v>
      </c>
      <c r="D455" s="25" t="s">
        <v>1122</v>
      </c>
      <c r="E455" s="162"/>
      <c r="F455" s="134"/>
      <c r="G455" s="101"/>
      <c r="H455" s="102">
        <v>44193</v>
      </c>
      <c r="I455" s="144">
        <v>186</v>
      </c>
      <c r="J455" s="130"/>
      <c r="K455" s="104">
        <f t="shared" si="44"/>
        <v>0</v>
      </c>
      <c r="L455" s="117"/>
      <c r="M455" s="150">
        <f t="shared" si="40"/>
        <v>186</v>
      </c>
      <c r="N455" s="122"/>
      <c r="O455" s="117" t="s">
        <v>947</v>
      </c>
      <c r="P455" s="137">
        <f t="shared" si="43"/>
        <v>0</v>
      </c>
    </row>
    <row r="456" spans="1:16" s="105" customFormat="1" ht="15.75" x14ac:dyDescent="0.25">
      <c r="A456" s="106" t="s">
        <v>1253</v>
      </c>
      <c r="B456" s="102"/>
      <c r="C456" s="25" t="s">
        <v>1234</v>
      </c>
      <c r="D456" s="25" t="s">
        <v>1122</v>
      </c>
      <c r="E456" s="162"/>
      <c r="F456" s="134"/>
      <c r="G456" s="101"/>
      <c r="H456" s="114"/>
      <c r="I456" s="144">
        <v>2</v>
      </c>
      <c r="J456" s="130"/>
      <c r="K456" s="104">
        <f t="shared" si="44"/>
        <v>0</v>
      </c>
      <c r="L456" s="117">
        <v>1</v>
      </c>
      <c r="M456" s="150">
        <f t="shared" si="40"/>
        <v>1</v>
      </c>
      <c r="N456" s="122"/>
      <c r="O456" s="117" t="s">
        <v>947</v>
      </c>
      <c r="P456" s="137">
        <f t="shared" si="43"/>
        <v>0</v>
      </c>
    </row>
    <row r="457" spans="1:16" s="105" customFormat="1" ht="15.75" x14ac:dyDescent="0.25">
      <c r="A457" s="106" t="s">
        <v>1254</v>
      </c>
      <c r="B457" s="102"/>
      <c r="C457" s="25" t="s">
        <v>1235</v>
      </c>
      <c r="D457" s="25" t="s">
        <v>1122</v>
      </c>
      <c r="E457" s="162"/>
      <c r="F457" s="134"/>
      <c r="G457" s="101"/>
      <c r="H457" s="119"/>
      <c r="I457" s="144">
        <v>3</v>
      </c>
      <c r="J457" s="130"/>
      <c r="K457" s="104">
        <f t="shared" si="44"/>
        <v>0</v>
      </c>
      <c r="L457" s="117">
        <v>1</v>
      </c>
      <c r="M457" s="150">
        <f t="shared" si="40"/>
        <v>2</v>
      </c>
      <c r="N457" s="122"/>
      <c r="O457" s="117" t="s">
        <v>947</v>
      </c>
      <c r="P457" s="137">
        <f t="shared" si="43"/>
        <v>0</v>
      </c>
    </row>
    <row r="458" spans="1:16" s="105" customFormat="1" ht="15.75" x14ac:dyDescent="0.25">
      <c r="A458" s="106" t="s">
        <v>1255</v>
      </c>
      <c r="B458" s="102"/>
      <c r="C458" s="25" t="s">
        <v>1236</v>
      </c>
      <c r="D458" s="25" t="s">
        <v>1122</v>
      </c>
      <c r="E458" s="162"/>
      <c r="F458" s="134"/>
      <c r="G458" s="101"/>
      <c r="H458" s="119"/>
      <c r="I458" s="144">
        <v>2</v>
      </c>
      <c r="J458" s="130"/>
      <c r="K458" s="104">
        <f t="shared" si="44"/>
        <v>0</v>
      </c>
      <c r="L458" s="117">
        <v>1</v>
      </c>
      <c r="M458" s="150">
        <f t="shared" si="40"/>
        <v>1</v>
      </c>
      <c r="N458" s="122"/>
      <c r="O458" s="117" t="s">
        <v>947</v>
      </c>
      <c r="P458" s="137">
        <f t="shared" si="43"/>
        <v>0</v>
      </c>
    </row>
    <row r="459" spans="1:16" s="105" customFormat="1" ht="15.75" x14ac:dyDescent="0.25">
      <c r="A459" s="106" t="s">
        <v>1256</v>
      </c>
      <c r="B459" s="102"/>
      <c r="C459" s="9" t="s">
        <v>1237</v>
      </c>
      <c r="D459" s="25" t="s">
        <v>1122</v>
      </c>
      <c r="E459" s="162"/>
      <c r="F459" s="134"/>
      <c r="G459" s="101"/>
      <c r="H459" s="119"/>
      <c r="I459" s="144">
        <v>405</v>
      </c>
      <c r="J459" s="130"/>
      <c r="K459" s="104">
        <f t="shared" si="44"/>
        <v>0</v>
      </c>
      <c r="L459" s="117"/>
      <c r="M459" s="150">
        <f t="shared" si="40"/>
        <v>405</v>
      </c>
      <c r="N459" s="122"/>
      <c r="O459" s="117" t="s">
        <v>947</v>
      </c>
      <c r="P459" s="137">
        <f t="shared" si="43"/>
        <v>0</v>
      </c>
    </row>
    <row r="460" spans="1:16" s="105" customFormat="1" ht="15.75" x14ac:dyDescent="0.25">
      <c r="A460" s="106" t="s">
        <v>1257</v>
      </c>
      <c r="B460" s="102"/>
      <c r="C460" s="9" t="s">
        <v>1238</v>
      </c>
      <c r="D460" s="25" t="s">
        <v>1232</v>
      </c>
      <c r="E460" s="162"/>
      <c r="F460" s="134"/>
      <c r="G460" s="101"/>
      <c r="H460" s="119"/>
      <c r="I460" s="144">
        <v>3</v>
      </c>
      <c r="J460" s="130"/>
      <c r="K460" s="104">
        <f t="shared" si="44"/>
        <v>0</v>
      </c>
      <c r="L460" s="117"/>
      <c r="M460" s="150">
        <f t="shared" si="40"/>
        <v>3</v>
      </c>
      <c r="N460" s="122"/>
      <c r="O460" s="117" t="s">
        <v>947</v>
      </c>
      <c r="P460" s="137">
        <f t="shared" si="43"/>
        <v>0</v>
      </c>
    </row>
    <row r="461" spans="1:16" s="105" customFormat="1" ht="15.75" x14ac:dyDescent="0.25">
      <c r="A461" s="106" t="s">
        <v>1258</v>
      </c>
      <c r="B461" s="129">
        <v>45042</v>
      </c>
      <c r="C461" s="9" t="s">
        <v>1242</v>
      </c>
      <c r="D461" s="25" t="s">
        <v>1122</v>
      </c>
      <c r="E461" s="162"/>
      <c r="F461" s="134">
        <v>355.33</v>
      </c>
      <c r="G461" s="101"/>
      <c r="H461" s="119">
        <v>45042</v>
      </c>
      <c r="I461" s="144">
        <v>10</v>
      </c>
      <c r="J461" s="130">
        <v>355.33</v>
      </c>
      <c r="K461" s="104">
        <f t="shared" si="44"/>
        <v>3553.2999999999997</v>
      </c>
      <c r="L461" s="117">
        <f>2+1</f>
        <v>3</v>
      </c>
      <c r="M461" s="150">
        <f t="shared" si="40"/>
        <v>7</v>
      </c>
      <c r="N461" s="122"/>
      <c r="O461" s="117" t="s">
        <v>947</v>
      </c>
      <c r="P461" s="137">
        <f>+F461*M461</f>
        <v>2487.31</v>
      </c>
    </row>
    <row r="462" spans="1:16" s="105" customFormat="1" ht="15.75" x14ac:dyDescent="0.25">
      <c r="A462" s="106" t="s">
        <v>1259</v>
      </c>
      <c r="B462" s="129">
        <v>45042</v>
      </c>
      <c r="C462" s="9" t="s">
        <v>1243</v>
      </c>
      <c r="D462" s="25" t="s">
        <v>1122</v>
      </c>
      <c r="E462" s="162"/>
      <c r="F462" s="134">
        <v>24.95</v>
      </c>
      <c r="G462" s="101"/>
      <c r="H462" s="119">
        <v>45042</v>
      </c>
      <c r="I462" s="144">
        <v>28</v>
      </c>
      <c r="J462" s="130">
        <v>24.95</v>
      </c>
      <c r="K462" s="104">
        <f t="shared" si="44"/>
        <v>698.6</v>
      </c>
      <c r="L462" s="117">
        <v>3</v>
      </c>
      <c r="M462" s="150">
        <f t="shared" si="40"/>
        <v>25</v>
      </c>
      <c r="N462" s="122"/>
      <c r="O462" s="117" t="s">
        <v>947</v>
      </c>
      <c r="P462" s="137">
        <f t="shared" si="43"/>
        <v>623.75</v>
      </c>
    </row>
    <row r="463" spans="1:16" s="105" customFormat="1" ht="15.75" x14ac:dyDescent="0.25">
      <c r="A463" s="106" t="s">
        <v>1260</v>
      </c>
      <c r="B463" s="129">
        <v>45042</v>
      </c>
      <c r="C463" s="9" t="s">
        <v>1270</v>
      </c>
      <c r="D463" s="25" t="s">
        <v>1122</v>
      </c>
      <c r="E463" s="162"/>
      <c r="F463" s="134">
        <v>29</v>
      </c>
      <c r="G463" s="101"/>
      <c r="H463" s="119">
        <v>45042</v>
      </c>
      <c r="I463" s="144">
        <v>15</v>
      </c>
      <c r="J463" s="130">
        <v>29</v>
      </c>
      <c r="K463" s="104">
        <f t="shared" si="44"/>
        <v>435</v>
      </c>
      <c r="L463" s="117">
        <v>8</v>
      </c>
      <c r="M463" s="150">
        <f t="shared" si="40"/>
        <v>7</v>
      </c>
      <c r="N463" s="122"/>
      <c r="O463" s="117" t="s">
        <v>947</v>
      </c>
      <c r="P463" s="137">
        <f t="shared" si="43"/>
        <v>203</v>
      </c>
    </row>
    <row r="464" spans="1:16" s="105" customFormat="1" ht="15.75" x14ac:dyDescent="0.25">
      <c r="A464" s="106" t="s">
        <v>1261</v>
      </c>
      <c r="B464" s="129">
        <v>45042</v>
      </c>
      <c r="C464" s="9" t="s">
        <v>1244</v>
      </c>
      <c r="D464" s="25" t="s">
        <v>1122</v>
      </c>
      <c r="E464" s="162"/>
      <c r="F464" s="134">
        <v>17</v>
      </c>
      <c r="G464" s="101"/>
      <c r="H464" s="119">
        <v>45042</v>
      </c>
      <c r="I464" s="144">
        <v>36</v>
      </c>
      <c r="J464" s="130">
        <v>17</v>
      </c>
      <c r="K464" s="104">
        <f t="shared" si="44"/>
        <v>612</v>
      </c>
      <c r="L464" s="117"/>
      <c r="M464" s="150">
        <f t="shared" si="40"/>
        <v>36</v>
      </c>
      <c r="N464" s="122"/>
      <c r="O464" s="117" t="s">
        <v>947</v>
      </c>
      <c r="P464" s="137">
        <f t="shared" si="43"/>
        <v>612</v>
      </c>
    </row>
    <row r="465" spans="1:16" s="105" customFormat="1" ht="15.75" x14ac:dyDescent="0.25">
      <c r="A465" s="106" t="s">
        <v>1266</v>
      </c>
      <c r="B465" s="129">
        <v>45042</v>
      </c>
      <c r="C465" s="9" t="s">
        <v>1262</v>
      </c>
      <c r="D465" s="25" t="s">
        <v>1122</v>
      </c>
      <c r="E465" s="162"/>
      <c r="F465" s="134">
        <v>4204</v>
      </c>
      <c r="G465" s="101"/>
      <c r="H465" s="119">
        <v>45042</v>
      </c>
      <c r="I465" s="144">
        <v>2</v>
      </c>
      <c r="J465" s="130">
        <v>4204</v>
      </c>
      <c r="K465" s="104">
        <f t="shared" si="44"/>
        <v>8408</v>
      </c>
      <c r="L465" s="117"/>
      <c r="M465" s="145">
        <f t="shared" si="40"/>
        <v>2</v>
      </c>
      <c r="N465" s="122"/>
      <c r="O465" s="117" t="s">
        <v>947</v>
      </c>
      <c r="P465" s="137">
        <f t="shared" si="43"/>
        <v>8408</v>
      </c>
    </row>
    <row r="466" spans="1:16" s="105" customFormat="1" ht="15.75" x14ac:dyDescent="0.25">
      <c r="A466" s="106" t="s">
        <v>1267</v>
      </c>
      <c r="B466" s="129">
        <v>45042</v>
      </c>
      <c r="C466" s="9" t="s">
        <v>1263</v>
      </c>
      <c r="D466" s="25" t="s">
        <v>1122</v>
      </c>
      <c r="E466" s="162"/>
      <c r="F466" s="134">
        <v>4917.0600000000004</v>
      </c>
      <c r="G466" s="101"/>
      <c r="H466" s="119">
        <v>45042</v>
      </c>
      <c r="I466" s="144">
        <v>2</v>
      </c>
      <c r="J466" s="130">
        <v>4917.0600000000004</v>
      </c>
      <c r="K466" s="104">
        <f t="shared" si="44"/>
        <v>9834.1200000000008</v>
      </c>
      <c r="L466" s="117"/>
      <c r="M466" s="145">
        <f t="shared" si="40"/>
        <v>2</v>
      </c>
      <c r="N466" s="122"/>
      <c r="O466" s="117" t="s">
        <v>947</v>
      </c>
      <c r="P466" s="137">
        <f t="shared" si="43"/>
        <v>9834.1200000000008</v>
      </c>
    </row>
    <row r="467" spans="1:16" s="105" customFormat="1" ht="15.75" x14ac:dyDescent="0.25">
      <c r="A467" s="106" t="s">
        <v>1268</v>
      </c>
      <c r="B467" s="129">
        <v>45042</v>
      </c>
      <c r="C467" s="9" t="s">
        <v>1264</v>
      </c>
      <c r="D467" s="25" t="s">
        <v>1122</v>
      </c>
      <c r="E467" s="162"/>
      <c r="F467" s="134">
        <v>4917.0600000000004</v>
      </c>
      <c r="G467" s="101"/>
      <c r="H467" s="119">
        <v>45042</v>
      </c>
      <c r="I467" s="144">
        <v>2</v>
      </c>
      <c r="J467" s="130">
        <v>4917.0600000000004</v>
      </c>
      <c r="K467" s="104">
        <f t="shared" si="44"/>
        <v>9834.1200000000008</v>
      </c>
      <c r="L467" s="117"/>
      <c r="M467" s="145">
        <f t="shared" si="40"/>
        <v>2</v>
      </c>
      <c r="N467" s="122"/>
      <c r="O467" s="117" t="s">
        <v>947</v>
      </c>
      <c r="P467" s="137">
        <f t="shared" si="43"/>
        <v>9834.1200000000008</v>
      </c>
    </row>
    <row r="468" spans="1:16" s="105" customFormat="1" ht="15.75" x14ac:dyDescent="0.25">
      <c r="A468" s="106" t="s">
        <v>1269</v>
      </c>
      <c r="B468" s="129">
        <v>45042</v>
      </c>
      <c r="C468" s="9" t="s">
        <v>1265</v>
      </c>
      <c r="D468" s="25" t="s">
        <v>1122</v>
      </c>
      <c r="E468" s="162"/>
      <c r="F468" s="134">
        <v>4917.0600000000004</v>
      </c>
      <c r="G468" s="101"/>
      <c r="H468" s="119">
        <v>45042</v>
      </c>
      <c r="I468" s="144">
        <v>2</v>
      </c>
      <c r="J468" s="130">
        <v>4917.0600000000004</v>
      </c>
      <c r="K468" s="104">
        <f t="shared" si="44"/>
        <v>9834.1200000000008</v>
      </c>
      <c r="L468" s="117"/>
      <c r="M468" s="145">
        <f t="shared" si="40"/>
        <v>2</v>
      </c>
      <c r="N468" s="122"/>
      <c r="O468" s="117" t="s">
        <v>947</v>
      </c>
      <c r="P468" s="137">
        <f t="shared" si="43"/>
        <v>9834.1200000000008</v>
      </c>
    </row>
    <row r="469" spans="1:16" s="105" customFormat="1" ht="15.75" x14ac:dyDescent="0.25">
      <c r="A469" s="106" t="s">
        <v>1272</v>
      </c>
      <c r="B469" s="129">
        <v>45051</v>
      </c>
      <c r="C469" s="9" t="s">
        <v>1271</v>
      </c>
      <c r="D469" s="25" t="s">
        <v>1122</v>
      </c>
      <c r="E469" s="162"/>
      <c r="F469" s="134">
        <v>1298</v>
      </c>
      <c r="G469" s="101"/>
      <c r="H469" s="119">
        <v>45051</v>
      </c>
      <c r="I469" s="144">
        <v>3</v>
      </c>
      <c r="J469" s="130">
        <v>1298</v>
      </c>
      <c r="K469" s="118">
        <f t="shared" si="44"/>
        <v>3894</v>
      </c>
      <c r="L469" s="117">
        <v>3</v>
      </c>
      <c r="M469" s="145">
        <f t="shared" si="40"/>
        <v>0</v>
      </c>
      <c r="N469" s="122"/>
      <c r="O469" s="117" t="s">
        <v>947</v>
      </c>
      <c r="P469" s="137">
        <f t="shared" si="43"/>
        <v>0</v>
      </c>
    </row>
    <row r="470" spans="1:16" s="105" customFormat="1" ht="15.75" x14ac:dyDescent="0.25">
      <c r="A470" s="106" t="s">
        <v>1273</v>
      </c>
      <c r="B470" s="102">
        <v>45111</v>
      </c>
      <c r="C470" s="9" t="s">
        <v>1279</v>
      </c>
      <c r="D470" s="25" t="s">
        <v>1122</v>
      </c>
      <c r="E470" s="162"/>
      <c r="F470" s="134">
        <v>5099.96</v>
      </c>
      <c r="G470" s="101"/>
      <c r="H470" s="119"/>
      <c r="I470" s="144">
        <v>4</v>
      </c>
      <c r="J470" s="134">
        <v>5099.96</v>
      </c>
      <c r="K470" s="118">
        <f t="shared" si="44"/>
        <v>20399.84</v>
      </c>
      <c r="L470" s="117"/>
      <c r="M470" s="145">
        <f t="shared" si="40"/>
        <v>4</v>
      </c>
      <c r="N470" s="122"/>
      <c r="O470" s="117"/>
      <c r="P470" s="137">
        <f t="shared" si="43"/>
        <v>20399.84</v>
      </c>
    </row>
    <row r="471" spans="1:16" s="105" customFormat="1" ht="15.75" x14ac:dyDescent="0.25">
      <c r="A471" s="106" t="s">
        <v>1274</v>
      </c>
      <c r="B471" s="102">
        <v>45111</v>
      </c>
      <c r="C471" s="9" t="s">
        <v>1280</v>
      </c>
      <c r="D471" s="25" t="s">
        <v>1122</v>
      </c>
      <c r="E471" s="162"/>
      <c r="F471" s="134">
        <v>462.01</v>
      </c>
      <c r="G471" s="101"/>
      <c r="H471" s="119">
        <v>45111</v>
      </c>
      <c r="I471" s="144">
        <v>15</v>
      </c>
      <c r="J471" s="130">
        <v>462.01</v>
      </c>
      <c r="K471" s="118">
        <f t="shared" si="44"/>
        <v>6930.15</v>
      </c>
      <c r="L471" s="117"/>
      <c r="M471" s="145">
        <f t="shared" si="40"/>
        <v>15</v>
      </c>
      <c r="N471" s="122"/>
      <c r="O471" s="117"/>
      <c r="P471" s="137">
        <f t="shared" si="43"/>
        <v>6930.15</v>
      </c>
    </row>
    <row r="472" spans="1:16" s="105" customFormat="1" ht="15.75" x14ac:dyDescent="0.25">
      <c r="A472" s="106" t="s">
        <v>1275</v>
      </c>
      <c r="B472" s="102">
        <v>45111</v>
      </c>
      <c r="C472" s="9" t="s">
        <v>1281</v>
      </c>
      <c r="D472" s="25" t="s">
        <v>1122</v>
      </c>
      <c r="E472" s="162"/>
      <c r="F472" s="134">
        <v>1365</v>
      </c>
      <c r="G472" s="101"/>
      <c r="H472" s="119">
        <v>45111</v>
      </c>
      <c r="I472" s="144">
        <v>4</v>
      </c>
      <c r="J472" s="130">
        <v>1365</v>
      </c>
      <c r="K472" s="118">
        <f t="shared" si="44"/>
        <v>5460</v>
      </c>
      <c r="L472" s="117"/>
      <c r="M472" s="145">
        <f t="shared" si="40"/>
        <v>4</v>
      </c>
      <c r="N472" s="122"/>
      <c r="O472" s="117"/>
      <c r="P472" s="137">
        <f t="shared" si="43"/>
        <v>5460</v>
      </c>
    </row>
    <row r="473" spans="1:16" s="105" customFormat="1" ht="15.75" x14ac:dyDescent="0.25">
      <c r="A473" s="106" t="s">
        <v>1276</v>
      </c>
      <c r="B473" s="102"/>
      <c r="C473" s="9"/>
      <c r="D473" s="25"/>
      <c r="E473" s="162"/>
      <c r="F473" s="134"/>
      <c r="G473" s="101"/>
      <c r="H473" s="119"/>
      <c r="I473" s="144"/>
      <c r="J473" s="130"/>
      <c r="K473" s="104">
        <f t="shared" si="44"/>
        <v>0</v>
      </c>
      <c r="L473" s="117"/>
      <c r="M473" s="145">
        <f t="shared" si="40"/>
        <v>0</v>
      </c>
      <c r="N473" s="122"/>
      <c r="O473" s="117"/>
      <c r="P473" s="137">
        <f t="shared" si="43"/>
        <v>0</v>
      </c>
    </row>
    <row r="474" spans="1:16" s="105" customFormat="1" ht="15.75" x14ac:dyDescent="0.25">
      <c r="A474" s="106"/>
      <c r="B474" s="102"/>
      <c r="C474" s="9"/>
      <c r="D474" s="25"/>
      <c r="E474" s="162"/>
      <c r="F474" s="134"/>
      <c r="G474" s="101"/>
      <c r="H474" s="119"/>
      <c r="I474" s="147"/>
      <c r="J474" s="130"/>
      <c r="K474" s="118"/>
      <c r="L474" s="117"/>
      <c r="M474" s="150"/>
      <c r="N474" s="122"/>
      <c r="O474" s="117"/>
      <c r="P474" s="149"/>
    </row>
    <row r="475" spans="1:16" x14ac:dyDescent="0.3">
      <c r="A475" s="69" t="s">
        <v>98</v>
      </c>
      <c r="B475" s="238"/>
      <c r="C475" s="239"/>
      <c r="D475" s="239"/>
      <c r="E475" s="239"/>
      <c r="F475" s="240"/>
      <c r="G475" s="70">
        <f>SUM(G8:G378)</f>
        <v>1518843.3903600003</v>
      </c>
      <c r="H475" s="70"/>
      <c r="I475" s="142"/>
      <c r="J475" s="70">
        <f>SUM(J8:J449)</f>
        <v>325848.3266666666</v>
      </c>
      <c r="K475" s="70">
        <f>SUM(K8:K449)</f>
        <v>2739579.8948000008</v>
      </c>
      <c r="L475" s="70">
        <f>SUM(L8:L449)</f>
        <v>20535</v>
      </c>
      <c r="M475" s="70">
        <f>SUM(M8:M457)</f>
        <v>23767.559999999998</v>
      </c>
      <c r="N475" s="70"/>
      <c r="O475" s="70"/>
      <c r="P475" s="70">
        <f>SUM(P8:P474)</f>
        <v>3665845.5915300022</v>
      </c>
    </row>
    <row r="476" spans="1:16" x14ac:dyDescent="0.3">
      <c r="A476" s="2"/>
      <c r="B476" s="2"/>
      <c r="C476" s="43"/>
      <c r="D476" s="12"/>
      <c r="E476" s="2"/>
      <c r="G476" s="2"/>
      <c r="H476" s="2"/>
      <c r="J476" s="65"/>
      <c r="K476" s="2"/>
      <c r="L476" s="2"/>
      <c r="M476" s="138"/>
      <c r="N476" s="2"/>
      <c r="O476" s="2"/>
      <c r="P476" s="138"/>
    </row>
    <row r="477" spans="1:16" x14ac:dyDescent="0.3">
      <c r="C477" s="96"/>
      <c r="D477" s="96"/>
      <c r="G477" s="63"/>
      <c r="P477" s="143"/>
    </row>
    <row r="478" spans="1:16" x14ac:dyDescent="0.3">
      <c r="A478" s="85" t="s">
        <v>7</v>
      </c>
      <c r="C478" s="96"/>
      <c r="D478" s="96"/>
    </row>
    <row r="479" spans="1:16" x14ac:dyDescent="0.3">
      <c r="C479" s="96"/>
      <c r="D479" s="96"/>
    </row>
    <row r="480" spans="1:16" x14ac:dyDescent="0.3">
      <c r="B480" s="85" t="s">
        <v>531</v>
      </c>
      <c r="C480" s="96"/>
      <c r="D480" s="96"/>
    </row>
    <row r="481" spans="1:4" x14ac:dyDescent="0.3">
      <c r="C481" s="96"/>
      <c r="D481" s="96"/>
    </row>
    <row r="482" spans="1:4" x14ac:dyDescent="0.3">
      <c r="A482" s="97" t="s">
        <v>5</v>
      </c>
      <c r="C482" s="96"/>
      <c r="D482" s="96"/>
    </row>
    <row r="483" spans="1:4" x14ac:dyDescent="0.3">
      <c r="C483" s="96"/>
      <c r="D483" s="96"/>
    </row>
    <row r="484" spans="1:4" x14ac:dyDescent="0.3">
      <c r="A484" s="97"/>
      <c r="C484" s="96"/>
      <c r="D484" s="96"/>
    </row>
    <row r="485" spans="1:4" x14ac:dyDescent="0.3">
      <c r="A485" s="98" t="s">
        <v>924</v>
      </c>
      <c r="C485" s="96"/>
      <c r="D485" s="96"/>
    </row>
    <row r="486" spans="1:4" x14ac:dyDescent="0.3">
      <c r="A486" s="85" t="s">
        <v>925</v>
      </c>
      <c r="C486" s="96"/>
      <c r="D486" s="96"/>
    </row>
    <row r="487" spans="1:4" x14ac:dyDescent="0.3">
      <c r="C487" s="96" t="s">
        <v>506</v>
      </c>
      <c r="D487" s="96"/>
    </row>
    <row r="488" spans="1:4" x14ac:dyDescent="0.3">
      <c r="C488" s="96"/>
      <c r="D488" s="96"/>
    </row>
    <row r="489" spans="1:4" x14ac:dyDescent="0.3">
      <c r="C489" s="96"/>
      <c r="D489" s="96"/>
    </row>
    <row r="490" spans="1:4" x14ac:dyDescent="0.3">
      <c r="C490" s="96"/>
      <c r="D490" s="96"/>
    </row>
    <row r="491" spans="1:4" x14ac:dyDescent="0.3">
      <c r="C491" s="96"/>
      <c r="D491" s="96"/>
    </row>
    <row r="492" spans="1:4" x14ac:dyDescent="0.3">
      <c r="C492" s="96"/>
      <c r="D492" s="96"/>
    </row>
    <row r="493" spans="1:4" x14ac:dyDescent="0.3">
      <c r="C493" s="96"/>
      <c r="D493" s="96"/>
    </row>
    <row r="494" spans="1:4" x14ac:dyDescent="0.3">
      <c r="C494" s="96"/>
      <c r="D494" s="96"/>
    </row>
  </sheetData>
  <mergeCells count="4">
    <mergeCell ref="A3:G3"/>
    <mergeCell ref="A4:G4"/>
    <mergeCell ref="A5:G5"/>
    <mergeCell ref="B475:F47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8"/>
  <sheetViews>
    <sheetView tabSelected="1" topLeftCell="A456" zoomScaleNormal="100" workbookViewId="0">
      <selection activeCell="Q476" sqref="Q476"/>
    </sheetView>
  </sheetViews>
  <sheetFormatPr baseColWidth="10" defaultColWidth="14.140625" defaultRowHeight="18.75" x14ac:dyDescent="0.3"/>
  <cols>
    <col min="1" max="1" width="17.28515625" style="197" customWidth="1"/>
    <col min="2" max="2" width="17.42578125" style="197" customWidth="1"/>
    <col min="3" max="3" width="43.5703125" style="197" customWidth="1"/>
    <col min="4" max="4" width="15.42578125" style="197" hidden="1" customWidth="1"/>
    <col min="5" max="5" width="0" style="198" hidden="1" customWidth="1"/>
    <col min="6" max="6" width="11.42578125" style="199" customWidth="1"/>
    <col min="7" max="7" width="0" style="198" hidden="1" customWidth="1"/>
    <col min="8" max="8" width="16.28515625" style="198" hidden="1" customWidth="1"/>
    <col min="9" max="9" width="11.28515625" style="198" hidden="1" customWidth="1"/>
    <col min="10" max="10" width="0" style="200" hidden="1" customWidth="1"/>
    <col min="11" max="12" width="0" style="198" hidden="1" customWidth="1"/>
    <col min="13" max="13" width="14.140625" style="197"/>
    <col min="14" max="14" width="0" style="198" hidden="1" customWidth="1"/>
    <col min="15" max="15" width="0" style="197" hidden="1" customWidth="1"/>
    <col min="16" max="17" width="14.140625" style="197"/>
    <col min="18" max="16384" width="14.140625" style="85"/>
  </cols>
  <sheetData>
    <row r="1" spans="1:17" s="197" customFormat="1" x14ac:dyDescent="0.3">
      <c r="E1" s="198"/>
      <c r="F1" s="199"/>
      <c r="G1" s="198"/>
      <c r="H1" s="198"/>
      <c r="I1" s="198"/>
      <c r="J1" s="200"/>
      <c r="K1" s="198"/>
      <c r="L1" s="198"/>
      <c r="N1" s="198"/>
    </row>
    <row r="2" spans="1:17" s="197" customFormat="1" x14ac:dyDescent="0.3">
      <c r="E2" s="198"/>
      <c r="F2" s="199"/>
      <c r="G2" s="198"/>
      <c r="H2" s="198"/>
      <c r="I2" s="198"/>
      <c r="J2" s="200"/>
      <c r="K2" s="198"/>
      <c r="L2" s="198"/>
      <c r="N2" s="198"/>
    </row>
    <row r="3" spans="1:17" s="197" customFormat="1" x14ac:dyDescent="0.3">
      <c r="A3" s="250" t="s">
        <v>0</v>
      </c>
      <c r="B3" s="250"/>
      <c r="C3" s="250"/>
      <c r="D3" s="250"/>
      <c r="E3" s="250"/>
      <c r="F3" s="250"/>
      <c r="G3" s="250"/>
      <c r="H3" s="198"/>
      <c r="I3" s="198"/>
      <c r="J3" s="200"/>
      <c r="K3" s="200"/>
      <c r="L3" s="200"/>
      <c r="N3" s="198"/>
    </row>
    <row r="4" spans="1:17" s="197" customFormat="1" ht="18.75" customHeight="1" x14ac:dyDescent="0.3">
      <c r="A4" s="251" t="s">
        <v>1</v>
      </c>
      <c r="B4" s="251"/>
      <c r="C4" s="251"/>
      <c r="D4" s="251"/>
      <c r="E4" s="251"/>
      <c r="F4" s="251"/>
      <c r="G4" s="251"/>
      <c r="H4" s="198"/>
      <c r="I4" s="198"/>
      <c r="J4" s="200"/>
      <c r="K4" s="198"/>
      <c r="L4" s="198"/>
      <c r="N4" s="198"/>
    </row>
    <row r="5" spans="1:17" s="197" customFormat="1" x14ac:dyDescent="0.3">
      <c r="A5" s="252" t="s">
        <v>1284</v>
      </c>
      <c r="B5" s="252"/>
      <c r="C5" s="252"/>
      <c r="D5" s="252"/>
      <c r="E5" s="252"/>
      <c r="F5" s="252"/>
      <c r="G5" s="252"/>
      <c r="H5" s="198"/>
      <c r="I5" s="198"/>
      <c r="J5" s="200"/>
      <c r="K5" s="198"/>
      <c r="L5" s="198"/>
      <c r="N5" s="198"/>
    </row>
    <row r="6" spans="1:17" s="197" customFormat="1" x14ac:dyDescent="0.3">
      <c r="E6" s="198"/>
      <c r="F6" s="199"/>
      <c r="G6" s="198"/>
      <c r="H6" s="198"/>
      <c r="I6" s="198"/>
      <c r="J6" s="200"/>
      <c r="K6" s="198"/>
      <c r="L6" s="198"/>
      <c r="N6" s="198"/>
    </row>
    <row r="7" spans="1:17" s="179" customFormat="1" ht="47.25" x14ac:dyDescent="0.25">
      <c r="A7" s="230" t="s">
        <v>118</v>
      </c>
      <c r="B7" s="230" t="s">
        <v>1278</v>
      </c>
      <c r="C7" s="230" t="s">
        <v>2</v>
      </c>
      <c r="D7" s="230" t="s">
        <v>1120</v>
      </c>
      <c r="E7" s="230" t="s">
        <v>3</v>
      </c>
      <c r="F7" s="230" t="s">
        <v>117</v>
      </c>
      <c r="G7" s="230" t="s">
        <v>4</v>
      </c>
      <c r="H7" s="230" t="s">
        <v>9</v>
      </c>
      <c r="I7" s="230" t="s">
        <v>915</v>
      </c>
      <c r="J7" s="230" t="s">
        <v>117</v>
      </c>
      <c r="K7" s="230" t="s">
        <v>4</v>
      </c>
      <c r="L7" s="230" t="s">
        <v>929</v>
      </c>
      <c r="M7" s="230" t="s">
        <v>914</v>
      </c>
      <c r="N7" s="230" t="s">
        <v>927</v>
      </c>
      <c r="O7" s="230" t="s">
        <v>944</v>
      </c>
      <c r="P7" s="230" t="s">
        <v>4</v>
      </c>
      <c r="Q7" s="212"/>
    </row>
    <row r="8" spans="1:17" s="92" customFormat="1" x14ac:dyDescent="0.3">
      <c r="A8" s="106" t="s">
        <v>11</v>
      </c>
      <c r="B8" s="201">
        <v>44652</v>
      </c>
      <c r="C8" s="203" t="s">
        <v>1220</v>
      </c>
      <c r="D8" s="203" t="s">
        <v>1121</v>
      </c>
      <c r="E8" s="160">
        <f>18*30</f>
        <v>540</v>
      </c>
      <c r="F8" s="22">
        <v>33.799999999999997</v>
      </c>
      <c r="G8" s="202">
        <f>+F8*18</f>
        <v>608.4</v>
      </c>
      <c r="H8" s="209"/>
      <c r="I8" s="209"/>
      <c r="J8" s="205"/>
      <c r="K8" s="209"/>
      <c r="L8" s="209">
        <v>150</v>
      </c>
      <c r="M8" s="209">
        <f>+E8+I8-L8</f>
        <v>390</v>
      </c>
      <c r="N8" s="209"/>
      <c r="O8" s="209" t="s">
        <v>945</v>
      </c>
      <c r="P8" s="205">
        <f>+F8*M8</f>
        <v>13181.999999999998</v>
      </c>
      <c r="Q8" s="213"/>
    </row>
    <row r="9" spans="1:17" s="8" customFormat="1" ht="15.75" x14ac:dyDescent="0.25">
      <c r="A9" s="106" t="s">
        <v>120</v>
      </c>
      <c r="B9" s="201">
        <v>44193</v>
      </c>
      <c r="C9" s="203" t="s">
        <v>533</v>
      </c>
      <c r="D9" s="203" t="s">
        <v>1122</v>
      </c>
      <c r="E9" s="160">
        <v>43</v>
      </c>
      <c r="F9" s="22">
        <v>215</v>
      </c>
      <c r="G9" s="202">
        <f>E9*F9</f>
        <v>9245</v>
      </c>
      <c r="H9" s="209"/>
      <c r="I9" s="209"/>
      <c r="J9" s="205"/>
      <c r="K9" s="209"/>
      <c r="L9" s="209">
        <f>1+1+1+1+1+2</f>
        <v>7</v>
      </c>
      <c r="M9" s="209">
        <f t="shared" ref="M9:M72" si="0">+E9+I9-L9</f>
        <v>36</v>
      </c>
      <c r="N9" s="209"/>
      <c r="O9" s="209" t="s">
        <v>946</v>
      </c>
      <c r="P9" s="205">
        <f t="shared" ref="P9:P23" si="1">+F9*M9</f>
        <v>7740</v>
      </c>
      <c r="Q9" s="196"/>
    </row>
    <row r="10" spans="1:17" s="8" customFormat="1" ht="14.25" customHeight="1" x14ac:dyDescent="0.25">
      <c r="A10" s="106" t="s">
        <v>12</v>
      </c>
      <c r="B10" s="201">
        <v>45020</v>
      </c>
      <c r="C10" s="203" t="s">
        <v>534</v>
      </c>
      <c r="D10" s="203" t="s">
        <v>1122</v>
      </c>
      <c r="E10" s="160">
        <v>12</v>
      </c>
      <c r="F10" s="22">
        <v>3540</v>
      </c>
      <c r="G10" s="202">
        <f>E10*F10</f>
        <v>42480</v>
      </c>
      <c r="H10" s="209"/>
      <c r="I10" s="209"/>
      <c r="J10" s="205"/>
      <c r="K10" s="209"/>
      <c r="L10" s="209">
        <v>5</v>
      </c>
      <c r="M10" s="209">
        <f t="shared" si="0"/>
        <v>7</v>
      </c>
      <c r="N10" s="209"/>
      <c r="O10" s="209" t="s">
        <v>946</v>
      </c>
      <c r="P10" s="205">
        <f t="shared" si="1"/>
        <v>24780</v>
      </c>
      <c r="Q10" s="196"/>
    </row>
    <row r="11" spans="1:17" s="8" customFormat="1" ht="15.75" x14ac:dyDescent="0.25">
      <c r="A11" s="106" t="s">
        <v>121</v>
      </c>
      <c r="B11" s="201">
        <v>44193</v>
      </c>
      <c r="C11" s="203" t="s">
        <v>535</v>
      </c>
      <c r="D11" s="203" t="s">
        <v>1122</v>
      </c>
      <c r="E11" s="161">
        <v>0</v>
      </c>
      <c r="F11" s="22">
        <v>127.12</v>
      </c>
      <c r="G11" s="202">
        <f t="shared" ref="G11:G25" si="2">E11*F11</f>
        <v>0</v>
      </c>
      <c r="H11" s="209"/>
      <c r="I11" s="209"/>
      <c r="J11" s="205"/>
      <c r="K11" s="209"/>
      <c r="L11" s="209"/>
      <c r="M11" s="209">
        <f t="shared" si="0"/>
        <v>0</v>
      </c>
      <c r="N11" s="209"/>
      <c r="O11" s="209" t="s">
        <v>946</v>
      </c>
      <c r="P11" s="205">
        <f t="shared" si="1"/>
        <v>0</v>
      </c>
      <c r="Q11" s="196"/>
    </row>
    <row r="12" spans="1:17" s="8" customFormat="1" ht="15.75" x14ac:dyDescent="0.25">
      <c r="A12" s="106" t="s">
        <v>122</v>
      </c>
      <c r="B12" s="201">
        <v>44193</v>
      </c>
      <c r="C12" s="203" t="s">
        <v>838</v>
      </c>
      <c r="D12" s="203" t="s">
        <v>1122</v>
      </c>
      <c r="E12" s="161">
        <v>1</v>
      </c>
      <c r="F12" s="22">
        <v>30</v>
      </c>
      <c r="G12" s="202">
        <f t="shared" si="2"/>
        <v>30</v>
      </c>
      <c r="H12" s="209"/>
      <c r="I12" s="209"/>
      <c r="J12" s="205"/>
      <c r="K12" s="209"/>
      <c r="L12" s="209"/>
      <c r="M12" s="209">
        <f t="shared" si="0"/>
        <v>1</v>
      </c>
      <c r="N12" s="209"/>
      <c r="O12" s="209" t="s">
        <v>946</v>
      </c>
      <c r="P12" s="205">
        <f t="shared" si="1"/>
        <v>30</v>
      </c>
      <c r="Q12" s="196"/>
    </row>
    <row r="13" spans="1:17" s="8" customFormat="1" ht="15.75" x14ac:dyDescent="0.25">
      <c r="A13" s="106" t="s">
        <v>123</v>
      </c>
      <c r="B13" s="201">
        <v>44193</v>
      </c>
      <c r="C13" s="203" t="s">
        <v>840</v>
      </c>
      <c r="D13" s="203" t="s">
        <v>1122</v>
      </c>
      <c r="E13" s="160">
        <v>10</v>
      </c>
      <c r="F13" s="22">
        <v>11</v>
      </c>
      <c r="G13" s="202">
        <f t="shared" si="2"/>
        <v>110</v>
      </c>
      <c r="H13" s="209"/>
      <c r="I13" s="209"/>
      <c r="J13" s="205"/>
      <c r="K13" s="209"/>
      <c r="L13" s="209"/>
      <c r="M13" s="209">
        <f t="shared" si="0"/>
        <v>10</v>
      </c>
      <c r="N13" s="209"/>
      <c r="O13" s="209" t="s">
        <v>946</v>
      </c>
      <c r="P13" s="205">
        <f t="shared" si="1"/>
        <v>110</v>
      </c>
      <c r="Q13" s="196"/>
    </row>
    <row r="14" spans="1:17" s="8" customFormat="1" ht="15.75" x14ac:dyDescent="0.25">
      <c r="A14" s="106" t="s">
        <v>13</v>
      </c>
      <c r="B14" s="201">
        <v>44193</v>
      </c>
      <c r="C14" s="203" t="s">
        <v>536</v>
      </c>
      <c r="D14" s="203" t="s">
        <v>1122</v>
      </c>
      <c r="E14" s="160">
        <f>49+60+2</f>
        <v>111</v>
      </c>
      <c r="F14" s="22">
        <v>15.84</v>
      </c>
      <c r="G14" s="202">
        <f t="shared" si="2"/>
        <v>1758.24</v>
      </c>
      <c r="H14" s="209"/>
      <c r="I14" s="209"/>
      <c r="J14" s="205"/>
      <c r="K14" s="209"/>
      <c r="L14" s="209"/>
      <c r="M14" s="209">
        <f t="shared" si="0"/>
        <v>111</v>
      </c>
      <c r="N14" s="209"/>
      <c r="O14" s="209" t="s">
        <v>946</v>
      </c>
      <c r="P14" s="205">
        <f t="shared" si="1"/>
        <v>1758.24</v>
      </c>
      <c r="Q14" s="196"/>
    </row>
    <row r="15" spans="1:17" s="8" customFormat="1" ht="15.75" x14ac:dyDescent="0.25">
      <c r="A15" s="106" t="s">
        <v>14</v>
      </c>
      <c r="B15" s="201">
        <v>44193</v>
      </c>
      <c r="C15" s="203" t="s">
        <v>537</v>
      </c>
      <c r="D15" s="203" t="s">
        <v>1122</v>
      </c>
      <c r="E15" s="160">
        <v>52</v>
      </c>
      <c r="F15" s="22">
        <v>22.41</v>
      </c>
      <c r="G15" s="202">
        <f t="shared" si="2"/>
        <v>1165.32</v>
      </c>
      <c r="H15" s="209"/>
      <c r="I15" s="209"/>
      <c r="J15" s="205"/>
      <c r="K15" s="209"/>
      <c r="L15" s="209"/>
      <c r="M15" s="209">
        <f t="shared" si="0"/>
        <v>52</v>
      </c>
      <c r="N15" s="209"/>
      <c r="O15" s="209" t="s">
        <v>946</v>
      </c>
      <c r="P15" s="205">
        <f t="shared" si="1"/>
        <v>1165.32</v>
      </c>
      <c r="Q15" s="196"/>
    </row>
    <row r="16" spans="1:17" s="8" customFormat="1" ht="15.75" x14ac:dyDescent="0.25">
      <c r="A16" s="106" t="s">
        <v>15</v>
      </c>
      <c r="B16" s="201">
        <v>44193</v>
      </c>
      <c r="C16" s="203" t="s">
        <v>538</v>
      </c>
      <c r="D16" s="203" t="s">
        <v>1122</v>
      </c>
      <c r="E16" s="160">
        <v>42</v>
      </c>
      <c r="F16" s="22">
        <v>5.5</v>
      </c>
      <c r="G16" s="202">
        <f t="shared" si="2"/>
        <v>231</v>
      </c>
      <c r="H16" s="209"/>
      <c r="I16" s="209"/>
      <c r="J16" s="205"/>
      <c r="K16" s="209"/>
      <c r="L16" s="209"/>
      <c r="M16" s="209">
        <f t="shared" si="0"/>
        <v>42</v>
      </c>
      <c r="N16" s="209"/>
      <c r="O16" s="209" t="s">
        <v>946</v>
      </c>
      <c r="P16" s="205">
        <f t="shared" si="1"/>
        <v>231</v>
      </c>
      <c r="Q16" s="196"/>
    </row>
    <row r="17" spans="1:17" s="8" customFormat="1" ht="15.75" x14ac:dyDescent="0.25">
      <c r="A17" s="106" t="s">
        <v>124</v>
      </c>
      <c r="B17" s="201">
        <v>44193</v>
      </c>
      <c r="C17" s="203" t="s">
        <v>539</v>
      </c>
      <c r="D17" s="203" t="s">
        <v>1122</v>
      </c>
      <c r="E17" s="160">
        <v>32</v>
      </c>
      <c r="F17" s="22">
        <v>78.099999999999994</v>
      </c>
      <c r="G17" s="202">
        <f t="shared" si="2"/>
        <v>2499.1999999999998</v>
      </c>
      <c r="H17" s="209"/>
      <c r="I17" s="209"/>
      <c r="J17" s="205"/>
      <c r="K17" s="209"/>
      <c r="L17" s="209">
        <v>2</v>
      </c>
      <c r="M17" s="209">
        <f t="shared" si="0"/>
        <v>30</v>
      </c>
      <c r="N17" s="209"/>
      <c r="O17" s="209" t="s">
        <v>946</v>
      </c>
      <c r="P17" s="205">
        <f t="shared" si="1"/>
        <v>2343</v>
      </c>
      <c r="Q17" s="196"/>
    </row>
    <row r="18" spans="1:17" s="8" customFormat="1" ht="15.75" x14ac:dyDescent="0.25">
      <c r="A18" s="106" t="s">
        <v>16</v>
      </c>
      <c r="B18" s="201" t="s">
        <v>107</v>
      </c>
      <c r="C18" s="203" t="s">
        <v>540</v>
      </c>
      <c r="D18" s="203" t="s">
        <v>1122</v>
      </c>
      <c r="E18" s="160">
        <v>131</v>
      </c>
      <c r="F18" s="22">
        <v>5.17</v>
      </c>
      <c r="G18" s="202">
        <f t="shared" si="2"/>
        <v>677.27</v>
      </c>
      <c r="H18" s="209"/>
      <c r="I18" s="209"/>
      <c r="J18" s="205"/>
      <c r="K18" s="209"/>
      <c r="L18" s="209"/>
      <c r="M18" s="209">
        <f t="shared" si="0"/>
        <v>131</v>
      </c>
      <c r="N18" s="209"/>
      <c r="O18" s="209" t="s">
        <v>946</v>
      </c>
      <c r="P18" s="205">
        <f t="shared" si="1"/>
        <v>677.27</v>
      </c>
      <c r="Q18" s="196"/>
    </row>
    <row r="19" spans="1:17" s="8" customFormat="1" ht="15.75" x14ac:dyDescent="0.25">
      <c r="A19" s="106" t="s">
        <v>17</v>
      </c>
      <c r="B19" s="201" t="s">
        <v>107</v>
      </c>
      <c r="C19" s="203" t="s">
        <v>541</v>
      </c>
      <c r="D19" s="203" t="s">
        <v>1122</v>
      </c>
      <c r="E19" s="160">
        <v>10</v>
      </c>
      <c r="F19" s="214">
        <v>15</v>
      </c>
      <c r="G19" s="202">
        <f t="shared" si="2"/>
        <v>150</v>
      </c>
      <c r="H19" s="209"/>
      <c r="I19" s="209"/>
      <c r="J19" s="205"/>
      <c r="K19" s="209"/>
      <c r="L19" s="209"/>
      <c r="M19" s="209">
        <f t="shared" si="0"/>
        <v>10</v>
      </c>
      <c r="N19" s="209"/>
      <c r="O19" s="209" t="s">
        <v>946</v>
      </c>
      <c r="P19" s="205">
        <f t="shared" si="1"/>
        <v>150</v>
      </c>
      <c r="Q19" s="196"/>
    </row>
    <row r="20" spans="1:17" s="8" customFormat="1" ht="15.75" x14ac:dyDescent="0.25">
      <c r="A20" s="106" t="s">
        <v>18</v>
      </c>
      <c r="B20" s="201">
        <v>44193</v>
      </c>
      <c r="C20" s="203" t="s">
        <v>542</v>
      </c>
      <c r="D20" s="203" t="s">
        <v>1122</v>
      </c>
      <c r="E20" s="161">
        <f>4+7+1</f>
        <v>12</v>
      </c>
      <c r="F20" s="22">
        <v>15</v>
      </c>
      <c r="G20" s="202">
        <f t="shared" si="2"/>
        <v>180</v>
      </c>
      <c r="H20" s="209"/>
      <c r="I20" s="209"/>
      <c r="J20" s="205"/>
      <c r="K20" s="209"/>
      <c r="L20" s="209"/>
      <c r="M20" s="209">
        <f t="shared" si="0"/>
        <v>12</v>
      </c>
      <c r="N20" s="209"/>
      <c r="O20" s="209" t="s">
        <v>946</v>
      </c>
      <c r="P20" s="205">
        <f t="shared" si="1"/>
        <v>180</v>
      </c>
      <c r="Q20" s="196"/>
    </row>
    <row r="21" spans="1:17" s="8" customFormat="1" ht="15.75" x14ac:dyDescent="0.25">
      <c r="A21" s="106" t="s">
        <v>19</v>
      </c>
      <c r="B21" s="201">
        <v>44193</v>
      </c>
      <c r="C21" s="203" t="s">
        <v>543</v>
      </c>
      <c r="D21" s="203" t="s">
        <v>1122</v>
      </c>
      <c r="E21" s="161">
        <v>8</v>
      </c>
      <c r="F21" s="22">
        <v>15</v>
      </c>
      <c r="G21" s="202">
        <f t="shared" si="2"/>
        <v>120</v>
      </c>
      <c r="H21" s="209"/>
      <c r="I21" s="209"/>
      <c r="J21" s="205"/>
      <c r="K21" s="209"/>
      <c r="L21" s="209"/>
      <c r="M21" s="209">
        <f t="shared" si="0"/>
        <v>8</v>
      </c>
      <c r="N21" s="209"/>
      <c r="O21" s="209" t="s">
        <v>946</v>
      </c>
      <c r="P21" s="205">
        <f t="shared" si="1"/>
        <v>120</v>
      </c>
      <c r="Q21" s="196"/>
    </row>
    <row r="22" spans="1:17" s="8" customFormat="1" ht="15.75" x14ac:dyDescent="0.25">
      <c r="A22" s="106" t="s">
        <v>20</v>
      </c>
      <c r="B22" s="201">
        <v>44193</v>
      </c>
      <c r="C22" s="203" t="s">
        <v>835</v>
      </c>
      <c r="D22" s="203" t="s">
        <v>1122</v>
      </c>
      <c r="E22" s="161">
        <v>1</v>
      </c>
      <c r="F22" s="22">
        <v>15</v>
      </c>
      <c r="G22" s="202">
        <f t="shared" si="2"/>
        <v>15</v>
      </c>
      <c r="H22" s="209"/>
      <c r="I22" s="209"/>
      <c r="J22" s="205"/>
      <c r="K22" s="209"/>
      <c r="L22" s="209"/>
      <c r="M22" s="209">
        <f t="shared" si="0"/>
        <v>1</v>
      </c>
      <c r="N22" s="209"/>
      <c r="O22" s="209" t="s">
        <v>946</v>
      </c>
      <c r="P22" s="205">
        <f t="shared" si="1"/>
        <v>15</v>
      </c>
      <c r="Q22" s="196"/>
    </row>
    <row r="23" spans="1:17" s="8" customFormat="1" ht="15.75" x14ac:dyDescent="0.25">
      <c r="A23" s="106" t="s">
        <v>21</v>
      </c>
      <c r="B23" s="201" t="s">
        <v>107</v>
      </c>
      <c r="C23" s="203" t="s">
        <v>544</v>
      </c>
      <c r="D23" s="203" t="s">
        <v>1122</v>
      </c>
      <c r="E23" s="161">
        <v>32</v>
      </c>
      <c r="F23" s="214">
        <v>15</v>
      </c>
      <c r="G23" s="202">
        <f t="shared" si="2"/>
        <v>480</v>
      </c>
      <c r="H23" s="209"/>
      <c r="I23" s="209"/>
      <c r="J23" s="205"/>
      <c r="K23" s="209"/>
      <c r="L23" s="209"/>
      <c r="M23" s="209">
        <f t="shared" si="0"/>
        <v>32</v>
      </c>
      <c r="N23" s="209"/>
      <c r="O23" s="209" t="s">
        <v>946</v>
      </c>
      <c r="P23" s="205">
        <f t="shared" si="1"/>
        <v>480</v>
      </c>
      <c r="Q23" s="196"/>
    </row>
    <row r="24" spans="1:17" s="8" customFormat="1" ht="15.75" x14ac:dyDescent="0.25">
      <c r="A24" s="106" t="s">
        <v>23</v>
      </c>
      <c r="B24" s="201">
        <v>45020</v>
      </c>
      <c r="C24" s="203" t="s">
        <v>1167</v>
      </c>
      <c r="D24" s="203" t="s">
        <v>1122</v>
      </c>
      <c r="E24" s="161">
        <v>20</v>
      </c>
      <c r="F24" s="214">
        <v>804.76</v>
      </c>
      <c r="G24" s="202">
        <f t="shared" si="2"/>
        <v>16095.2</v>
      </c>
      <c r="H24" s="209"/>
      <c r="I24" s="209"/>
      <c r="J24" s="205"/>
      <c r="K24" s="209"/>
      <c r="L24" s="209">
        <f>1+3+3+3+3</f>
        <v>13</v>
      </c>
      <c r="M24" s="209">
        <f t="shared" si="0"/>
        <v>7</v>
      </c>
      <c r="N24" s="209"/>
      <c r="O24" s="209" t="s">
        <v>946</v>
      </c>
      <c r="P24" s="205">
        <f>+F24*M24</f>
        <v>5633.32</v>
      </c>
      <c r="Q24" s="196"/>
    </row>
    <row r="25" spans="1:17" s="8" customFormat="1" ht="15.75" x14ac:dyDescent="0.25">
      <c r="A25" s="106" t="s">
        <v>24</v>
      </c>
      <c r="B25" s="201">
        <v>44193</v>
      </c>
      <c r="C25" s="203" t="s">
        <v>809</v>
      </c>
      <c r="D25" s="203" t="s">
        <v>1122</v>
      </c>
      <c r="E25" s="161">
        <v>12</v>
      </c>
      <c r="F25" s="214"/>
      <c r="G25" s="202">
        <f t="shared" si="2"/>
        <v>0</v>
      </c>
      <c r="H25" s="209"/>
      <c r="I25" s="209"/>
      <c r="J25" s="205"/>
      <c r="K25" s="209"/>
      <c r="L25" s="209"/>
      <c r="M25" s="209">
        <f t="shared" si="0"/>
        <v>12</v>
      </c>
      <c r="N25" s="209"/>
      <c r="O25" s="209" t="s">
        <v>946</v>
      </c>
      <c r="P25" s="205">
        <f t="shared" ref="P25:P88" si="3">+F25*M25</f>
        <v>0</v>
      </c>
      <c r="Q25" s="196"/>
    </row>
    <row r="26" spans="1:17" s="92" customFormat="1" x14ac:dyDescent="0.3">
      <c r="A26" s="106" t="s">
        <v>110</v>
      </c>
      <c r="B26" s="201">
        <v>44193</v>
      </c>
      <c r="C26" s="203" t="s">
        <v>545</v>
      </c>
      <c r="D26" s="203" t="s">
        <v>1122</v>
      </c>
      <c r="E26" s="161">
        <v>10</v>
      </c>
      <c r="F26" s="22">
        <v>225</v>
      </c>
      <c r="G26" s="202">
        <f>E26*F26</f>
        <v>2250</v>
      </c>
      <c r="H26" s="209"/>
      <c r="I26" s="209"/>
      <c r="J26" s="205"/>
      <c r="K26" s="209"/>
      <c r="L26" s="209"/>
      <c r="M26" s="209">
        <f t="shared" si="0"/>
        <v>10</v>
      </c>
      <c r="N26" s="209"/>
      <c r="O26" s="209" t="s">
        <v>947</v>
      </c>
      <c r="P26" s="205">
        <f t="shared" si="3"/>
        <v>2250</v>
      </c>
      <c r="Q26" s="213"/>
    </row>
    <row r="27" spans="1:17" s="92" customFormat="1" x14ac:dyDescent="0.3">
      <c r="A27" s="106" t="s">
        <v>125</v>
      </c>
      <c r="B27" s="201">
        <v>45127</v>
      </c>
      <c r="C27" s="203" t="s">
        <v>546</v>
      </c>
      <c r="D27" s="203" t="s">
        <v>1122</v>
      </c>
      <c r="E27" s="161">
        <v>0</v>
      </c>
      <c r="F27" s="22">
        <v>236</v>
      </c>
      <c r="G27" s="202">
        <f>E27*F27</f>
        <v>0</v>
      </c>
      <c r="H27" s="204">
        <v>45127</v>
      </c>
      <c r="I27" s="209">
        <v>10</v>
      </c>
      <c r="J27" s="205"/>
      <c r="K27" s="209"/>
      <c r="L27" s="209"/>
      <c r="M27" s="209">
        <f t="shared" si="0"/>
        <v>10</v>
      </c>
      <c r="N27" s="209"/>
      <c r="O27" s="209" t="s">
        <v>946</v>
      </c>
      <c r="P27" s="205">
        <f t="shared" si="3"/>
        <v>2360</v>
      </c>
      <c r="Q27" s="213"/>
    </row>
    <row r="28" spans="1:17" s="92" customFormat="1" x14ac:dyDescent="0.3">
      <c r="A28" s="106" t="s">
        <v>25</v>
      </c>
      <c r="B28" s="201">
        <v>44193</v>
      </c>
      <c r="C28" s="203" t="s">
        <v>547</v>
      </c>
      <c r="D28" s="203" t="s">
        <v>1122</v>
      </c>
      <c r="E28" s="161">
        <v>4</v>
      </c>
      <c r="F28" s="22">
        <v>470</v>
      </c>
      <c r="G28" s="202">
        <f>E28*F28</f>
        <v>1880</v>
      </c>
      <c r="H28" s="209"/>
      <c r="I28" s="209"/>
      <c r="J28" s="205"/>
      <c r="K28" s="209"/>
      <c r="L28" s="209"/>
      <c r="M28" s="209">
        <f t="shared" si="0"/>
        <v>4</v>
      </c>
      <c r="N28" s="209"/>
      <c r="O28" s="209" t="s">
        <v>945</v>
      </c>
      <c r="P28" s="205">
        <f t="shared" si="3"/>
        <v>1880</v>
      </c>
      <c r="Q28" s="213"/>
    </row>
    <row r="29" spans="1:17" s="8" customFormat="1" ht="15.75" x14ac:dyDescent="0.25">
      <c r="A29" s="106" t="s">
        <v>126</v>
      </c>
      <c r="B29" s="201" t="s">
        <v>107</v>
      </c>
      <c r="C29" s="203" t="s">
        <v>807</v>
      </c>
      <c r="D29" s="203" t="s">
        <v>1122</v>
      </c>
      <c r="E29" s="161">
        <v>70</v>
      </c>
      <c r="F29" s="22">
        <v>16.46</v>
      </c>
      <c r="G29" s="202">
        <f>+E29*F29</f>
        <v>1152.2</v>
      </c>
      <c r="H29" s="209"/>
      <c r="I29" s="209"/>
      <c r="J29" s="205"/>
      <c r="K29" s="209"/>
      <c r="L29" s="209"/>
      <c r="M29" s="209">
        <f t="shared" si="0"/>
        <v>70</v>
      </c>
      <c r="N29" s="209"/>
      <c r="O29" s="209" t="s">
        <v>946</v>
      </c>
      <c r="P29" s="205">
        <f t="shared" si="3"/>
        <v>1152.2</v>
      </c>
      <c r="Q29" s="196"/>
    </row>
    <row r="30" spans="1:17" s="8" customFormat="1" ht="15.75" x14ac:dyDescent="0.25">
      <c r="A30" s="106" t="s">
        <v>26</v>
      </c>
      <c r="B30" s="201" t="s">
        <v>107</v>
      </c>
      <c r="C30" s="203" t="s">
        <v>549</v>
      </c>
      <c r="D30" s="203" t="s">
        <v>1122</v>
      </c>
      <c r="E30" s="161">
        <v>0</v>
      </c>
      <c r="F30" s="214">
        <v>6.4</v>
      </c>
      <c r="G30" s="202">
        <f>E30*F30</f>
        <v>0</v>
      </c>
      <c r="H30" s="209"/>
      <c r="I30" s="209"/>
      <c r="J30" s="205"/>
      <c r="K30" s="209"/>
      <c r="L30" s="209"/>
      <c r="M30" s="209">
        <f t="shared" si="0"/>
        <v>0</v>
      </c>
      <c r="N30" s="209"/>
      <c r="O30" s="209" t="s">
        <v>946</v>
      </c>
      <c r="P30" s="205">
        <f t="shared" si="3"/>
        <v>0</v>
      </c>
      <c r="Q30" s="196"/>
    </row>
    <row r="31" spans="1:17" s="8" customFormat="1" ht="15.75" x14ac:dyDescent="0.25">
      <c r="A31" s="106" t="s">
        <v>27</v>
      </c>
      <c r="B31" s="201">
        <v>44193</v>
      </c>
      <c r="C31" s="203" t="s">
        <v>550</v>
      </c>
      <c r="D31" s="203" t="s">
        <v>1122</v>
      </c>
      <c r="E31" s="161">
        <v>0</v>
      </c>
      <c r="F31" s="22">
        <v>105.93</v>
      </c>
      <c r="G31" s="202">
        <f>E31*F31</f>
        <v>0</v>
      </c>
      <c r="H31" s="209"/>
      <c r="I31" s="209"/>
      <c r="J31" s="205"/>
      <c r="K31" s="209"/>
      <c r="L31" s="209"/>
      <c r="M31" s="209">
        <f t="shared" si="0"/>
        <v>0</v>
      </c>
      <c r="N31" s="209"/>
      <c r="O31" s="209" t="s">
        <v>946</v>
      </c>
      <c r="P31" s="205">
        <f t="shared" si="3"/>
        <v>0</v>
      </c>
      <c r="Q31" s="196"/>
    </row>
    <row r="32" spans="1:17" s="8" customFormat="1" ht="15.75" x14ac:dyDescent="0.25">
      <c r="A32" s="106" t="s">
        <v>28</v>
      </c>
      <c r="B32" s="201">
        <v>44193</v>
      </c>
      <c r="C32" s="203" t="s">
        <v>806</v>
      </c>
      <c r="D32" s="203" t="s">
        <v>1122</v>
      </c>
      <c r="E32" s="161">
        <v>2</v>
      </c>
      <c r="F32" s="22">
        <v>160</v>
      </c>
      <c r="G32" s="202">
        <f>E32*F32</f>
        <v>320</v>
      </c>
      <c r="H32" s="209"/>
      <c r="I32" s="209"/>
      <c r="J32" s="205"/>
      <c r="K32" s="209"/>
      <c r="L32" s="209">
        <v>1</v>
      </c>
      <c r="M32" s="209">
        <f t="shared" si="0"/>
        <v>1</v>
      </c>
      <c r="N32" s="209"/>
      <c r="O32" s="209" t="s">
        <v>946</v>
      </c>
      <c r="P32" s="205">
        <f t="shared" si="3"/>
        <v>160</v>
      </c>
      <c r="Q32" s="196"/>
    </row>
    <row r="33" spans="1:17" s="92" customFormat="1" x14ac:dyDescent="0.3">
      <c r="A33" s="106" t="s">
        <v>127</v>
      </c>
      <c r="B33" s="201">
        <v>44449</v>
      </c>
      <c r="C33" s="203" t="s">
        <v>551</v>
      </c>
      <c r="D33" s="203" t="s">
        <v>1122</v>
      </c>
      <c r="E33" s="161">
        <v>9</v>
      </c>
      <c r="F33" s="22">
        <v>600</v>
      </c>
      <c r="G33" s="202">
        <f t="shared" ref="G33:G61" si="4">E33*F33</f>
        <v>5400</v>
      </c>
      <c r="H33" s="209"/>
      <c r="I33" s="209"/>
      <c r="J33" s="205"/>
      <c r="K33" s="209"/>
      <c r="L33" s="209">
        <v>1</v>
      </c>
      <c r="M33" s="209">
        <f t="shared" si="0"/>
        <v>8</v>
      </c>
      <c r="N33" s="209"/>
      <c r="O33" s="209" t="s">
        <v>945</v>
      </c>
      <c r="P33" s="205">
        <f t="shared" si="3"/>
        <v>4800</v>
      </c>
      <c r="Q33" s="213"/>
    </row>
    <row r="34" spans="1:17" s="8" customFormat="1" ht="15.75" x14ac:dyDescent="0.25">
      <c r="A34" s="106" t="s">
        <v>29</v>
      </c>
      <c r="B34" s="201">
        <v>44193</v>
      </c>
      <c r="C34" s="203" t="s">
        <v>552</v>
      </c>
      <c r="D34" s="203" t="s">
        <v>1122</v>
      </c>
      <c r="E34" s="161">
        <f>20+23</f>
        <v>43</v>
      </c>
      <c r="F34" s="22">
        <v>200</v>
      </c>
      <c r="G34" s="202">
        <f t="shared" si="4"/>
        <v>8600</v>
      </c>
      <c r="H34" s="209"/>
      <c r="I34" s="209"/>
      <c r="J34" s="205"/>
      <c r="K34" s="209"/>
      <c r="L34" s="209"/>
      <c r="M34" s="209">
        <f t="shared" si="0"/>
        <v>43</v>
      </c>
      <c r="N34" s="209"/>
      <c r="O34" s="209" t="s">
        <v>947</v>
      </c>
      <c r="P34" s="205">
        <f t="shared" si="3"/>
        <v>8600</v>
      </c>
      <c r="Q34" s="196"/>
    </row>
    <row r="35" spans="1:17" s="8" customFormat="1" ht="15.75" x14ac:dyDescent="0.25">
      <c r="A35" s="106" t="s">
        <v>30</v>
      </c>
      <c r="B35" s="201">
        <v>44193</v>
      </c>
      <c r="C35" s="203" t="s">
        <v>553</v>
      </c>
      <c r="D35" s="203" t="s">
        <v>1122</v>
      </c>
      <c r="E35" s="161">
        <v>9</v>
      </c>
      <c r="F35" s="22">
        <v>200</v>
      </c>
      <c r="G35" s="202">
        <f t="shared" si="4"/>
        <v>1800</v>
      </c>
      <c r="H35" s="209"/>
      <c r="I35" s="209"/>
      <c r="J35" s="205"/>
      <c r="K35" s="209"/>
      <c r="L35" s="209"/>
      <c r="M35" s="209">
        <f t="shared" si="0"/>
        <v>9</v>
      </c>
      <c r="N35" s="209"/>
      <c r="O35" s="209" t="s">
        <v>947</v>
      </c>
      <c r="P35" s="205">
        <f t="shared" si="3"/>
        <v>1800</v>
      </c>
      <c r="Q35" s="196"/>
    </row>
    <row r="36" spans="1:17" s="92" customFormat="1" x14ac:dyDescent="0.3">
      <c r="A36" s="106" t="s">
        <v>99</v>
      </c>
      <c r="B36" s="201">
        <v>44193</v>
      </c>
      <c r="C36" s="203" t="s">
        <v>548</v>
      </c>
      <c r="D36" s="203" t="s">
        <v>1122</v>
      </c>
      <c r="E36" s="161">
        <v>36</v>
      </c>
      <c r="F36" s="22">
        <v>75</v>
      </c>
      <c r="G36" s="202">
        <f t="shared" si="4"/>
        <v>2700</v>
      </c>
      <c r="H36" s="209"/>
      <c r="I36" s="209"/>
      <c r="J36" s="22"/>
      <c r="K36" s="206"/>
      <c r="L36" s="209">
        <v>36</v>
      </c>
      <c r="M36" s="209">
        <f t="shared" si="0"/>
        <v>0</v>
      </c>
      <c r="N36" s="209"/>
      <c r="O36" s="209" t="s">
        <v>945</v>
      </c>
      <c r="P36" s="205">
        <f>+F36*M36</f>
        <v>0</v>
      </c>
      <c r="Q36" s="213"/>
    </row>
    <row r="37" spans="1:17" s="8" customFormat="1" ht="15.75" x14ac:dyDescent="0.25">
      <c r="A37" s="106" t="s">
        <v>31</v>
      </c>
      <c r="B37" s="201">
        <v>44193</v>
      </c>
      <c r="C37" s="203" t="s">
        <v>554</v>
      </c>
      <c r="D37" s="203" t="s">
        <v>1122</v>
      </c>
      <c r="E37" s="161">
        <v>0</v>
      </c>
      <c r="F37" s="22">
        <v>4.24</v>
      </c>
      <c r="G37" s="202">
        <f t="shared" si="4"/>
        <v>0</v>
      </c>
      <c r="H37" s="209"/>
      <c r="I37" s="209"/>
      <c r="J37" s="205"/>
      <c r="K37" s="209"/>
      <c r="L37" s="209"/>
      <c r="M37" s="209">
        <f t="shared" si="0"/>
        <v>0</v>
      </c>
      <c r="N37" s="209"/>
      <c r="O37" s="209" t="s">
        <v>946</v>
      </c>
      <c r="P37" s="205">
        <f>+F37*M37</f>
        <v>0</v>
      </c>
      <c r="Q37" s="196"/>
    </row>
    <row r="38" spans="1:17" s="8" customFormat="1" ht="15.75" x14ac:dyDescent="0.25">
      <c r="A38" s="106" t="s">
        <v>32</v>
      </c>
      <c r="B38" s="201">
        <v>44193</v>
      </c>
      <c r="C38" s="203" t="s">
        <v>555</v>
      </c>
      <c r="D38" s="203" t="s">
        <v>1122</v>
      </c>
      <c r="E38" s="161">
        <v>0</v>
      </c>
      <c r="F38" s="22">
        <v>3.39</v>
      </c>
      <c r="G38" s="202">
        <f t="shared" si="4"/>
        <v>0</v>
      </c>
      <c r="H38" s="209"/>
      <c r="I38" s="209"/>
      <c r="J38" s="205"/>
      <c r="K38" s="209"/>
      <c r="L38" s="209"/>
      <c r="M38" s="209">
        <f t="shared" si="0"/>
        <v>0</v>
      </c>
      <c r="N38" s="209"/>
      <c r="O38" s="209" t="s">
        <v>946</v>
      </c>
      <c r="P38" s="205">
        <f t="shared" si="3"/>
        <v>0</v>
      </c>
      <c r="Q38" s="196"/>
    </row>
    <row r="39" spans="1:17" s="8" customFormat="1" ht="15.75" x14ac:dyDescent="0.25">
      <c r="A39" s="106" t="s">
        <v>33</v>
      </c>
      <c r="B39" s="201">
        <v>44193</v>
      </c>
      <c r="C39" s="203" t="s">
        <v>556</v>
      </c>
      <c r="D39" s="203" t="s">
        <v>1122</v>
      </c>
      <c r="E39" s="161">
        <v>23</v>
      </c>
      <c r="F39" s="22">
        <v>1625</v>
      </c>
      <c r="G39" s="202">
        <f t="shared" si="4"/>
        <v>37375</v>
      </c>
      <c r="H39" s="209"/>
      <c r="I39" s="209"/>
      <c r="J39" s="205"/>
      <c r="K39" s="209"/>
      <c r="L39" s="209"/>
      <c r="M39" s="209">
        <f t="shared" si="0"/>
        <v>23</v>
      </c>
      <c r="N39" s="209"/>
      <c r="O39" s="209" t="s">
        <v>946</v>
      </c>
      <c r="P39" s="205">
        <f t="shared" si="3"/>
        <v>37375</v>
      </c>
      <c r="Q39" s="196"/>
    </row>
    <row r="40" spans="1:17" s="8" customFormat="1" ht="15.75" x14ac:dyDescent="0.25">
      <c r="A40" s="106" t="s">
        <v>34</v>
      </c>
      <c r="B40" s="201">
        <v>44193</v>
      </c>
      <c r="C40" s="203" t="s">
        <v>557</v>
      </c>
      <c r="D40" s="203" t="s">
        <v>1122</v>
      </c>
      <c r="E40" s="161">
        <v>0</v>
      </c>
      <c r="F40" s="22">
        <v>1625</v>
      </c>
      <c r="G40" s="202">
        <f t="shared" si="4"/>
        <v>0</v>
      </c>
      <c r="H40" s="209"/>
      <c r="I40" s="209"/>
      <c r="J40" s="205"/>
      <c r="K40" s="209"/>
      <c r="L40" s="209"/>
      <c r="M40" s="209">
        <f t="shared" si="0"/>
        <v>0</v>
      </c>
      <c r="N40" s="209"/>
      <c r="O40" s="209" t="s">
        <v>946</v>
      </c>
      <c r="P40" s="205">
        <f t="shared" si="3"/>
        <v>0</v>
      </c>
      <c r="Q40" s="196"/>
    </row>
    <row r="41" spans="1:17" s="105" customFormat="1" ht="15.75" x14ac:dyDescent="0.25">
      <c r="A41" s="106" t="s">
        <v>111</v>
      </c>
      <c r="B41" s="201">
        <v>44852</v>
      </c>
      <c r="C41" s="203" t="s">
        <v>558</v>
      </c>
      <c r="D41" s="203" t="s">
        <v>1122</v>
      </c>
      <c r="E41" s="161">
        <v>10</v>
      </c>
      <c r="F41" s="22">
        <v>26</v>
      </c>
      <c r="G41" s="202">
        <f t="shared" si="4"/>
        <v>260</v>
      </c>
      <c r="H41" s="204">
        <v>44852</v>
      </c>
      <c r="I41" s="209">
        <v>10</v>
      </c>
      <c r="J41" s="205">
        <v>26</v>
      </c>
      <c r="K41" s="206">
        <f>+I41*J41</f>
        <v>260</v>
      </c>
      <c r="L41" s="209">
        <v>1</v>
      </c>
      <c r="M41" s="209">
        <f t="shared" si="0"/>
        <v>19</v>
      </c>
      <c r="N41" s="209"/>
      <c r="O41" s="209" t="s">
        <v>947</v>
      </c>
      <c r="P41" s="205">
        <f>+F41*M41</f>
        <v>494</v>
      </c>
      <c r="Q41" s="215"/>
    </row>
    <row r="42" spans="1:17" s="8" customFormat="1" ht="15.75" x14ac:dyDescent="0.25">
      <c r="A42" s="106" t="s">
        <v>128</v>
      </c>
      <c r="B42" s="201">
        <v>44488</v>
      </c>
      <c r="C42" s="203" t="s">
        <v>560</v>
      </c>
      <c r="D42" s="203" t="s">
        <v>1122</v>
      </c>
      <c r="E42" s="160">
        <v>13</v>
      </c>
      <c r="F42" s="22">
        <v>40</v>
      </c>
      <c r="G42" s="202">
        <f t="shared" si="4"/>
        <v>520</v>
      </c>
      <c r="H42" s="209"/>
      <c r="I42" s="209"/>
      <c r="J42" s="205"/>
      <c r="K42" s="209"/>
      <c r="L42" s="209"/>
      <c r="M42" s="209">
        <f t="shared" si="0"/>
        <v>13</v>
      </c>
      <c r="N42" s="209"/>
      <c r="O42" s="209" t="s">
        <v>946</v>
      </c>
      <c r="P42" s="205">
        <f t="shared" si="3"/>
        <v>520</v>
      </c>
      <c r="Q42" s="196"/>
    </row>
    <row r="43" spans="1:17" s="8" customFormat="1" ht="15.75" x14ac:dyDescent="0.25">
      <c r="A43" s="106" t="s">
        <v>129</v>
      </c>
      <c r="B43" s="201">
        <v>44193</v>
      </c>
      <c r="C43" s="203" t="s">
        <v>772</v>
      </c>
      <c r="D43" s="203" t="s">
        <v>1122</v>
      </c>
      <c r="E43" s="161">
        <v>23</v>
      </c>
      <c r="F43" s="22">
        <v>2.4</v>
      </c>
      <c r="G43" s="202">
        <f t="shared" si="4"/>
        <v>55.199999999999996</v>
      </c>
      <c r="H43" s="209"/>
      <c r="I43" s="209"/>
      <c r="J43" s="205"/>
      <c r="K43" s="209"/>
      <c r="L43" s="209">
        <f>12+2+2</f>
        <v>16</v>
      </c>
      <c r="M43" s="209">
        <f t="shared" si="0"/>
        <v>7</v>
      </c>
      <c r="N43" s="209"/>
      <c r="O43" s="209" t="s">
        <v>947</v>
      </c>
      <c r="P43" s="205">
        <f t="shared" si="3"/>
        <v>16.8</v>
      </c>
      <c r="Q43" s="196"/>
    </row>
    <row r="44" spans="1:17" s="8" customFormat="1" ht="15.75" x14ac:dyDescent="0.25">
      <c r="A44" s="106" t="s">
        <v>130</v>
      </c>
      <c r="B44" s="201">
        <v>44193</v>
      </c>
      <c r="C44" s="203" t="s">
        <v>562</v>
      </c>
      <c r="D44" s="203" t="s">
        <v>1122</v>
      </c>
      <c r="E44" s="160">
        <v>0</v>
      </c>
      <c r="F44" s="22">
        <v>700</v>
      </c>
      <c r="G44" s="202">
        <f t="shared" si="4"/>
        <v>0</v>
      </c>
      <c r="H44" s="209"/>
      <c r="I44" s="209"/>
      <c r="J44" s="205"/>
      <c r="K44" s="209"/>
      <c r="L44" s="209"/>
      <c r="M44" s="209">
        <f t="shared" si="0"/>
        <v>0</v>
      </c>
      <c r="N44" s="209"/>
      <c r="O44" s="209" t="s">
        <v>946</v>
      </c>
      <c r="P44" s="205">
        <f t="shared" si="3"/>
        <v>0</v>
      </c>
      <c r="Q44" s="196"/>
    </row>
    <row r="45" spans="1:17" s="8" customFormat="1" ht="15.75" x14ac:dyDescent="0.25">
      <c r="A45" s="106" t="s">
        <v>35</v>
      </c>
      <c r="B45" s="201">
        <v>44193</v>
      </c>
      <c r="C45" s="203" t="s">
        <v>563</v>
      </c>
      <c r="D45" s="203" t="s">
        <v>1122</v>
      </c>
      <c r="E45" s="161">
        <v>1</v>
      </c>
      <c r="F45" s="22">
        <v>35</v>
      </c>
      <c r="G45" s="202">
        <f t="shared" si="4"/>
        <v>35</v>
      </c>
      <c r="H45" s="209"/>
      <c r="I45" s="209"/>
      <c r="J45" s="205"/>
      <c r="K45" s="209"/>
      <c r="L45" s="209"/>
      <c r="M45" s="209">
        <f t="shared" si="0"/>
        <v>1</v>
      </c>
      <c r="N45" s="209"/>
      <c r="O45" s="209" t="s">
        <v>947</v>
      </c>
      <c r="P45" s="205">
        <f t="shared" si="3"/>
        <v>35</v>
      </c>
      <c r="Q45" s="196"/>
    </row>
    <row r="46" spans="1:17" s="92" customFormat="1" x14ac:dyDescent="0.3">
      <c r="A46" s="106" t="s">
        <v>36</v>
      </c>
      <c r="B46" s="201">
        <v>44193</v>
      </c>
      <c r="C46" s="203" t="s">
        <v>564</v>
      </c>
      <c r="D46" s="203" t="s">
        <v>1122</v>
      </c>
      <c r="E46" s="161">
        <v>0</v>
      </c>
      <c r="F46" s="22">
        <v>2719</v>
      </c>
      <c r="G46" s="202">
        <f t="shared" si="4"/>
        <v>0</v>
      </c>
      <c r="H46" s="209"/>
      <c r="I46" s="209"/>
      <c r="J46" s="205"/>
      <c r="K46" s="209"/>
      <c r="L46" s="209"/>
      <c r="M46" s="209">
        <f t="shared" si="0"/>
        <v>0</v>
      </c>
      <c r="N46" s="209"/>
      <c r="O46" s="209" t="s">
        <v>945</v>
      </c>
      <c r="P46" s="205">
        <f t="shared" si="3"/>
        <v>0</v>
      </c>
      <c r="Q46" s="213"/>
    </row>
    <row r="47" spans="1:17" s="8" customFormat="1" ht="15.75" x14ac:dyDescent="0.25">
      <c r="A47" s="106" t="s">
        <v>37</v>
      </c>
      <c r="B47" s="201">
        <v>44193</v>
      </c>
      <c r="C47" s="203" t="s">
        <v>797</v>
      </c>
      <c r="D47" s="203" t="s">
        <v>1122</v>
      </c>
      <c r="E47" s="161">
        <v>2</v>
      </c>
      <c r="F47" s="22">
        <v>600</v>
      </c>
      <c r="G47" s="202">
        <f t="shared" si="4"/>
        <v>1200</v>
      </c>
      <c r="H47" s="209"/>
      <c r="I47" s="209"/>
      <c r="J47" s="205"/>
      <c r="K47" s="209"/>
      <c r="L47" s="209"/>
      <c r="M47" s="209">
        <f t="shared" si="0"/>
        <v>2</v>
      </c>
      <c r="N47" s="209"/>
      <c r="O47" s="209" t="s">
        <v>946</v>
      </c>
      <c r="P47" s="205">
        <f t="shared" si="3"/>
        <v>1200</v>
      </c>
      <c r="Q47" s="196"/>
    </row>
    <row r="48" spans="1:17" s="8" customFormat="1" ht="15.75" x14ac:dyDescent="0.25">
      <c r="A48" s="106" t="s">
        <v>38</v>
      </c>
      <c r="B48" s="201">
        <v>44678</v>
      </c>
      <c r="C48" s="203" t="s">
        <v>565</v>
      </c>
      <c r="D48" s="203" t="s">
        <v>1122</v>
      </c>
      <c r="E48" s="160">
        <v>5</v>
      </c>
      <c r="F48" s="22">
        <v>1400</v>
      </c>
      <c r="G48" s="202">
        <f t="shared" si="4"/>
        <v>7000</v>
      </c>
      <c r="H48" s="209"/>
      <c r="I48" s="209"/>
      <c r="J48" s="205"/>
      <c r="K48" s="209"/>
      <c r="L48" s="209"/>
      <c r="M48" s="209">
        <f t="shared" si="0"/>
        <v>5</v>
      </c>
      <c r="N48" s="209"/>
      <c r="O48" s="209" t="s">
        <v>946</v>
      </c>
      <c r="P48" s="205">
        <f t="shared" si="3"/>
        <v>7000</v>
      </c>
      <c r="Q48" s="196"/>
    </row>
    <row r="49" spans="1:17" s="8" customFormat="1" ht="15.75" x14ac:dyDescent="0.25">
      <c r="A49" s="106" t="s">
        <v>131</v>
      </c>
      <c r="B49" s="201">
        <v>44678</v>
      </c>
      <c r="C49" s="203" t="s">
        <v>567</v>
      </c>
      <c r="D49" s="203" t="s">
        <v>1122</v>
      </c>
      <c r="E49" s="160">
        <v>10</v>
      </c>
      <c r="F49" s="22">
        <v>500</v>
      </c>
      <c r="G49" s="202">
        <f t="shared" si="4"/>
        <v>5000</v>
      </c>
      <c r="H49" s="209"/>
      <c r="I49" s="209"/>
      <c r="J49" s="205"/>
      <c r="K49" s="209"/>
      <c r="L49" s="209"/>
      <c r="M49" s="209">
        <f t="shared" si="0"/>
        <v>10</v>
      </c>
      <c r="N49" s="209"/>
      <c r="O49" s="209" t="s">
        <v>946</v>
      </c>
      <c r="P49" s="205">
        <f t="shared" si="3"/>
        <v>5000</v>
      </c>
      <c r="Q49" s="196"/>
    </row>
    <row r="50" spans="1:17" s="8" customFormat="1" ht="15.75" x14ac:dyDescent="0.25">
      <c r="A50" s="106" t="s">
        <v>39</v>
      </c>
      <c r="B50" s="201">
        <v>44678</v>
      </c>
      <c r="C50" s="203" t="s">
        <v>568</v>
      </c>
      <c r="D50" s="203" t="s">
        <v>1122</v>
      </c>
      <c r="E50" s="160">
        <v>6</v>
      </c>
      <c r="F50" s="22">
        <v>5000</v>
      </c>
      <c r="G50" s="202">
        <f t="shared" si="4"/>
        <v>30000</v>
      </c>
      <c r="H50" s="209"/>
      <c r="I50" s="209"/>
      <c r="J50" s="205"/>
      <c r="K50" s="209"/>
      <c r="L50" s="209"/>
      <c r="M50" s="209">
        <f t="shared" si="0"/>
        <v>6</v>
      </c>
      <c r="N50" s="209"/>
      <c r="O50" s="209" t="s">
        <v>946</v>
      </c>
      <c r="P50" s="205">
        <f t="shared" si="3"/>
        <v>30000</v>
      </c>
      <c r="Q50" s="196"/>
    </row>
    <row r="51" spans="1:17" s="8" customFormat="1" ht="15.75" x14ac:dyDescent="0.25">
      <c r="A51" s="106" t="s">
        <v>40</v>
      </c>
      <c r="B51" s="201">
        <v>44193</v>
      </c>
      <c r="C51" s="203" t="s">
        <v>803</v>
      </c>
      <c r="D51" s="203" t="s">
        <v>1122</v>
      </c>
      <c r="E51" s="160">
        <v>6</v>
      </c>
      <c r="F51" s="22">
        <v>2600</v>
      </c>
      <c r="G51" s="202">
        <f t="shared" si="4"/>
        <v>15600</v>
      </c>
      <c r="H51" s="209"/>
      <c r="I51" s="209"/>
      <c r="J51" s="205"/>
      <c r="K51" s="209"/>
      <c r="L51" s="209"/>
      <c r="M51" s="209">
        <f t="shared" si="0"/>
        <v>6</v>
      </c>
      <c r="N51" s="209"/>
      <c r="O51" s="209" t="s">
        <v>946</v>
      </c>
      <c r="P51" s="205">
        <f t="shared" si="3"/>
        <v>15600</v>
      </c>
      <c r="Q51" s="196"/>
    </row>
    <row r="52" spans="1:17" s="92" customFormat="1" x14ac:dyDescent="0.3">
      <c r="A52" s="106" t="s">
        <v>132</v>
      </c>
      <c r="B52" s="201">
        <v>44193</v>
      </c>
      <c r="C52" s="203" t="s">
        <v>773</v>
      </c>
      <c r="D52" s="203" t="s">
        <v>1122</v>
      </c>
      <c r="E52" s="160">
        <v>2</v>
      </c>
      <c r="F52" s="22">
        <v>325</v>
      </c>
      <c r="G52" s="202">
        <f t="shared" si="4"/>
        <v>650</v>
      </c>
      <c r="H52" s="209"/>
      <c r="I52" s="209"/>
      <c r="J52" s="205"/>
      <c r="K52" s="209"/>
      <c r="L52" s="209">
        <v>2</v>
      </c>
      <c r="M52" s="209">
        <f t="shared" si="0"/>
        <v>0</v>
      </c>
      <c r="N52" s="209"/>
      <c r="O52" s="209" t="s">
        <v>945</v>
      </c>
      <c r="P52" s="205">
        <f t="shared" si="3"/>
        <v>0</v>
      </c>
      <c r="Q52" s="213"/>
    </row>
    <row r="53" spans="1:17" s="92" customFormat="1" x14ac:dyDescent="0.3">
      <c r="A53" s="106" t="s">
        <v>41</v>
      </c>
      <c r="B53" s="201">
        <v>44193</v>
      </c>
      <c r="C53" s="203" t="s">
        <v>570</v>
      </c>
      <c r="D53" s="203" t="s">
        <v>1122</v>
      </c>
      <c r="E53" s="160">
        <f>(43*3)+1</f>
        <v>130</v>
      </c>
      <c r="F53" s="22">
        <v>25</v>
      </c>
      <c r="G53" s="202">
        <f t="shared" si="4"/>
        <v>3250</v>
      </c>
      <c r="H53" s="209"/>
      <c r="I53" s="209"/>
      <c r="J53" s="205"/>
      <c r="K53" s="209"/>
      <c r="L53" s="209">
        <f>1+3+1+5+1</f>
        <v>11</v>
      </c>
      <c r="M53" s="209">
        <f t="shared" si="0"/>
        <v>119</v>
      </c>
      <c r="N53" s="209"/>
      <c r="O53" s="209" t="s">
        <v>945</v>
      </c>
      <c r="P53" s="205">
        <f t="shared" si="3"/>
        <v>2975</v>
      </c>
      <c r="Q53" s="213"/>
    </row>
    <row r="54" spans="1:17" s="92" customFormat="1" x14ac:dyDescent="0.3">
      <c r="A54" s="106" t="s">
        <v>133</v>
      </c>
      <c r="B54" s="201">
        <v>45019</v>
      </c>
      <c r="C54" s="203" t="s">
        <v>1190</v>
      </c>
      <c r="D54" s="203" t="s">
        <v>1122</v>
      </c>
      <c r="E54" s="160">
        <v>276</v>
      </c>
      <c r="F54" s="22">
        <v>122.19</v>
      </c>
      <c r="G54" s="202">
        <f t="shared" si="4"/>
        <v>33724.44</v>
      </c>
      <c r="H54" s="204">
        <v>45019</v>
      </c>
      <c r="I54" s="209">
        <v>300</v>
      </c>
      <c r="J54" s="205">
        <v>122.19</v>
      </c>
      <c r="K54" s="205">
        <f>+I54*J54</f>
        <v>36657</v>
      </c>
      <c r="L54" s="209">
        <f>124+2+2+2+3+5+4+4+4+3+3</f>
        <v>156</v>
      </c>
      <c r="M54" s="209">
        <f t="shared" si="0"/>
        <v>420</v>
      </c>
      <c r="N54" s="209"/>
      <c r="O54" s="209" t="s">
        <v>945</v>
      </c>
      <c r="P54" s="205">
        <f t="shared" si="3"/>
        <v>51319.799999999996</v>
      </c>
      <c r="Q54" s="213"/>
    </row>
    <row r="55" spans="1:17" s="8" customFormat="1" ht="15.75" x14ac:dyDescent="0.25">
      <c r="A55" s="106" t="s">
        <v>134</v>
      </c>
      <c r="B55" s="201">
        <v>44851</v>
      </c>
      <c r="C55" s="203" t="s">
        <v>572</v>
      </c>
      <c r="D55" s="203" t="s">
        <v>1122</v>
      </c>
      <c r="E55" s="160"/>
      <c r="F55" s="214">
        <v>107.97</v>
      </c>
      <c r="G55" s="202">
        <f t="shared" si="4"/>
        <v>0</v>
      </c>
      <c r="H55" s="204">
        <v>44851</v>
      </c>
      <c r="I55" s="209">
        <v>30</v>
      </c>
      <c r="J55" s="205">
        <v>107.97</v>
      </c>
      <c r="K55" s="205">
        <f>+I55*J55</f>
        <v>3239.1</v>
      </c>
      <c r="L55" s="209">
        <f>2+1+1</f>
        <v>4</v>
      </c>
      <c r="M55" s="209">
        <f t="shared" si="0"/>
        <v>26</v>
      </c>
      <c r="N55" s="209"/>
      <c r="O55" s="209" t="s">
        <v>946</v>
      </c>
      <c r="P55" s="205">
        <f>+F55*M55</f>
        <v>2807.22</v>
      </c>
      <c r="Q55" s="196"/>
    </row>
    <row r="56" spans="1:17" s="8" customFormat="1" ht="15.75" x14ac:dyDescent="0.25">
      <c r="A56" s="106" t="s">
        <v>42</v>
      </c>
      <c r="B56" s="201">
        <v>44193</v>
      </c>
      <c r="C56" s="203" t="s">
        <v>573</v>
      </c>
      <c r="D56" s="203" t="s">
        <v>1122</v>
      </c>
      <c r="E56" s="160"/>
      <c r="F56" s="22">
        <v>169.49</v>
      </c>
      <c r="G56" s="202">
        <f t="shared" si="4"/>
        <v>0</v>
      </c>
      <c r="H56" s="209"/>
      <c r="I56" s="209"/>
      <c r="J56" s="205"/>
      <c r="K56" s="209">
        <f t="shared" ref="K56:K65" si="5">+I56*J56</f>
        <v>0</v>
      </c>
      <c r="L56" s="209">
        <v>2</v>
      </c>
      <c r="M56" s="209">
        <f t="shared" si="0"/>
        <v>-2</v>
      </c>
      <c r="N56" s="209"/>
      <c r="O56" s="209" t="s">
        <v>946</v>
      </c>
      <c r="P56" s="205">
        <f t="shared" si="3"/>
        <v>-338.98</v>
      </c>
      <c r="Q56" s="196"/>
    </row>
    <row r="57" spans="1:17" s="8" customFormat="1" x14ac:dyDescent="0.25">
      <c r="A57" s="106" t="s">
        <v>109</v>
      </c>
      <c r="B57" s="201">
        <v>44193</v>
      </c>
      <c r="C57" s="203" t="s">
        <v>574</v>
      </c>
      <c r="D57" s="203" t="s">
        <v>1122</v>
      </c>
      <c r="E57" s="160"/>
      <c r="F57" s="22">
        <v>76.27</v>
      </c>
      <c r="G57" s="202">
        <f t="shared" si="4"/>
        <v>0</v>
      </c>
      <c r="H57" s="209"/>
      <c r="I57" s="209"/>
      <c r="J57" s="205"/>
      <c r="K57" s="209">
        <f t="shared" si="5"/>
        <v>0</v>
      </c>
      <c r="L57" s="216"/>
      <c r="M57" s="209">
        <f t="shared" si="0"/>
        <v>0</v>
      </c>
      <c r="N57" s="209"/>
      <c r="O57" s="209" t="s">
        <v>946</v>
      </c>
      <c r="P57" s="205">
        <f t="shared" si="3"/>
        <v>0</v>
      </c>
      <c r="Q57" s="196"/>
    </row>
    <row r="58" spans="1:17" s="8" customFormat="1" ht="15.75" x14ac:dyDescent="0.25">
      <c r="A58" s="106" t="s">
        <v>135</v>
      </c>
      <c r="B58" s="201">
        <v>44193</v>
      </c>
      <c r="C58" s="203" t="s">
        <v>575</v>
      </c>
      <c r="D58" s="203" t="s">
        <v>1122</v>
      </c>
      <c r="E58" s="160"/>
      <c r="F58" s="22">
        <v>93.22</v>
      </c>
      <c r="G58" s="202">
        <f t="shared" si="4"/>
        <v>0</v>
      </c>
      <c r="H58" s="209"/>
      <c r="I58" s="209"/>
      <c r="J58" s="205"/>
      <c r="K58" s="209">
        <f t="shared" si="5"/>
        <v>0</v>
      </c>
      <c r="L58" s="209"/>
      <c r="M58" s="209">
        <f t="shared" si="0"/>
        <v>0</v>
      </c>
      <c r="N58" s="209"/>
      <c r="O58" s="209" t="s">
        <v>946</v>
      </c>
      <c r="P58" s="205">
        <f t="shared" si="3"/>
        <v>0</v>
      </c>
      <c r="Q58" s="196"/>
    </row>
    <row r="59" spans="1:17" s="8" customFormat="1" ht="15.75" x14ac:dyDescent="0.25">
      <c r="A59" s="106" t="s">
        <v>43</v>
      </c>
      <c r="B59" s="201">
        <v>44851</v>
      </c>
      <c r="C59" s="203" t="s">
        <v>576</v>
      </c>
      <c r="D59" s="203" t="s">
        <v>1122</v>
      </c>
      <c r="E59" s="160"/>
      <c r="F59" s="22">
        <v>171.69</v>
      </c>
      <c r="G59" s="202">
        <f t="shared" si="4"/>
        <v>0</v>
      </c>
      <c r="H59" s="204">
        <v>44851</v>
      </c>
      <c r="I59" s="209">
        <v>30</v>
      </c>
      <c r="J59" s="205">
        <v>171.69</v>
      </c>
      <c r="K59" s="205">
        <f t="shared" si="5"/>
        <v>5150.7</v>
      </c>
      <c r="L59" s="209">
        <v>2</v>
      </c>
      <c r="M59" s="209">
        <f t="shared" si="0"/>
        <v>28</v>
      </c>
      <c r="N59" s="209"/>
      <c r="O59" s="209" t="s">
        <v>946</v>
      </c>
      <c r="P59" s="205">
        <f t="shared" si="3"/>
        <v>4807.32</v>
      </c>
      <c r="Q59" s="196"/>
    </row>
    <row r="60" spans="1:17" s="8" customFormat="1" ht="15.75" x14ac:dyDescent="0.25">
      <c r="A60" s="106" t="s">
        <v>45</v>
      </c>
      <c r="B60" s="201">
        <v>44453</v>
      </c>
      <c r="C60" s="203" t="s">
        <v>577</v>
      </c>
      <c r="D60" s="203" t="s">
        <v>1122</v>
      </c>
      <c r="E60" s="160">
        <v>0</v>
      </c>
      <c r="F60" s="22">
        <v>3000</v>
      </c>
      <c r="G60" s="202">
        <f t="shared" si="4"/>
        <v>0</v>
      </c>
      <c r="H60" s="209"/>
      <c r="I60" s="209"/>
      <c r="J60" s="205"/>
      <c r="K60" s="209">
        <f t="shared" si="5"/>
        <v>0</v>
      </c>
      <c r="L60" s="209"/>
      <c r="M60" s="209">
        <f t="shared" si="0"/>
        <v>0</v>
      </c>
      <c r="N60" s="209"/>
      <c r="O60" s="209" t="s">
        <v>946</v>
      </c>
      <c r="P60" s="205">
        <f t="shared" si="3"/>
        <v>0</v>
      </c>
      <c r="Q60" s="196"/>
    </row>
    <row r="61" spans="1:17" s="8" customFormat="1" ht="15.75" x14ac:dyDescent="0.25">
      <c r="A61" s="106" t="s">
        <v>46</v>
      </c>
      <c r="B61" s="201">
        <v>44193</v>
      </c>
      <c r="C61" s="203" t="s">
        <v>578</v>
      </c>
      <c r="D61" s="203" t="s">
        <v>1122</v>
      </c>
      <c r="E61" s="160">
        <v>0</v>
      </c>
      <c r="F61" s="22">
        <v>63.56</v>
      </c>
      <c r="G61" s="202">
        <f t="shared" si="4"/>
        <v>0</v>
      </c>
      <c r="H61" s="209"/>
      <c r="I61" s="209"/>
      <c r="J61" s="205"/>
      <c r="K61" s="209">
        <f t="shared" si="5"/>
        <v>0</v>
      </c>
      <c r="L61" s="209"/>
      <c r="M61" s="209">
        <f t="shared" si="0"/>
        <v>0</v>
      </c>
      <c r="N61" s="209"/>
      <c r="O61" s="209" t="s">
        <v>946</v>
      </c>
      <c r="P61" s="205">
        <f t="shared" si="3"/>
        <v>0</v>
      </c>
      <c r="Q61" s="196"/>
    </row>
    <row r="62" spans="1:17" s="8" customFormat="1" ht="15.75" x14ac:dyDescent="0.25">
      <c r="A62" s="106" t="s">
        <v>47</v>
      </c>
      <c r="B62" s="201">
        <v>44193</v>
      </c>
      <c r="C62" s="203" t="s">
        <v>819</v>
      </c>
      <c r="D62" s="203" t="s">
        <v>1122</v>
      </c>
      <c r="E62" s="160">
        <v>2</v>
      </c>
      <c r="F62" s="22"/>
      <c r="G62" s="202"/>
      <c r="H62" s="209"/>
      <c r="I62" s="209"/>
      <c r="J62" s="205"/>
      <c r="K62" s="209">
        <f t="shared" si="5"/>
        <v>0</v>
      </c>
      <c r="L62" s="209"/>
      <c r="M62" s="209">
        <f t="shared" si="0"/>
        <v>2</v>
      </c>
      <c r="N62" s="209"/>
      <c r="O62" s="209" t="s">
        <v>946</v>
      </c>
      <c r="P62" s="205">
        <f t="shared" si="3"/>
        <v>0</v>
      </c>
      <c r="Q62" s="196"/>
    </row>
    <row r="63" spans="1:17" s="8" customFormat="1" ht="15.75" x14ac:dyDescent="0.25">
      <c r="A63" s="106" t="s">
        <v>48</v>
      </c>
      <c r="B63" s="201">
        <v>44193</v>
      </c>
      <c r="C63" s="203" t="s">
        <v>817</v>
      </c>
      <c r="D63" s="203" t="s">
        <v>1122</v>
      </c>
      <c r="E63" s="160">
        <v>7</v>
      </c>
      <c r="F63" s="22"/>
      <c r="G63" s="202"/>
      <c r="H63" s="209"/>
      <c r="I63" s="209"/>
      <c r="J63" s="205"/>
      <c r="K63" s="209">
        <f t="shared" si="5"/>
        <v>0</v>
      </c>
      <c r="L63" s="209"/>
      <c r="M63" s="209">
        <f t="shared" si="0"/>
        <v>7</v>
      </c>
      <c r="N63" s="209"/>
      <c r="O63" s="209" t="s">
        <v>946</v>
      </c>
      <c r="P63" s="205">
        <f t="shared" si="3"/>
        <v>0</v>
      </c>
      <c r="Q63" s="196"/>
    </row>
    <row r="64" spans="1:17" s="8" customFormat="1" ht="15.75" x14ac:dyDescent="0.25">
      <c r="A64" s="106" t="s">
        <v>49</v>
      </c>
      <c r="B64" s="201">
        <v>44193</v>
      </c>
      <c r="C64" s="203" t="s">
        <v>818</v>
      </c>
      <c r="D64" s="203" t="s">
        <v>1122</v>
      </c>
      <c r="E64" s="160">
        <v>8</v>
      </c>
      <c r="F64" s="22"/>
      <c r="G64" s="202"/>
      <c r="H64" s="209"/>
      <c r="I64" s="209"/>
      <c r="J64" s="205"/>
      <c r="K64" s="209">
        <f t="shared" si="5"/>
        <v>0</v>
      </c>
      <c r="L64" s="209"/>
      <c r="M64" s="209">
        <f t="shared" si="0"/>
        <v>8</v>
      </c>
      <c r="N64" s="209"/>
      <c r="O64" s="209" t="s">
        <v>946</v>
      </c>
      <c r="P64" s="205">
        <f t="shared" si="3"/>
        <v>0</v>
      </c>
      <c r="Q64" s="196"/>
    </row>
    <row r="65" spans="1:17" s="8" customFormat="1" ht="15.75" x14ac:dyDescent="0.25">
      <c r="A65" s="106" t="s">
        <v>50</v>
      </c>
      <c r="B65" s="160" t="s">
        <v>116</v>
      </c>
      <c r="C65" s="203" t="s">
        <v>720</v>
      </c>
      <c r="D65" s="203" t="s">
        <v>1122</v>
      </c>
      <c r="E65" s="160">
        <v>1</v>
      </c>
      <c r="F65" s="214">
        <v>3000</v>
      </c>
      <c r="G65" s="202">
        <f>E65*F65</f>
        <v>3000</v>
      </c>
      <c r="H65" s="209"/>
      <c r="I65" s="209"/>
      <c r="J65" s="205"/>
      <c r="K65" s="209">
        <f t="shared" si="5"/>
        <v>0</v>
      </c>
      <c r="L65" s="209">
        <v>2</v>
      </c>
      <c r="M65" s="209">
        <f t="shared" si="0"/>
        <v>-1</v>
      </c>
      <c r="N65" s="209"/>
      <c r="O65" s="209" t="s">
        <v>947</v>
      </c>
      <c r="P65" s="205">
        <f t="shared" si="3"/>
        <v>-3000</v>
      </c>
      <c r="Q65" s="196"/>
    </row>
    <row r="66" spans="1:17" s="8" customFormat="1" ht="15.75" x14ac:dyDescent="0.25">
      <c r="A66" s="106" t="s">
        <v>51</v>
      </c>
      <c r="B66" s="201">
        <v>44193</v>
      </c>
      <c r="C66" s="203" t="s">
        <v>579</v>
      </c>
      <c r="D66" s="203" t="s">
        <v>1122</v>
      </c>
      <c r="E66" s="160">
        <v>0</v>
      </c>
      <c r="F66" s="22">
        <v>35</v>
      </c>
      <c r="G66" s="202">
        <f t="shared" ref="G66:G87" si="6">E66*F66</f>
        <v>0</v>
      </c>
      <c r="H66" s="209"/>
      <c r="I66" s="209"/>
      <c r="J66" s="205"/>
      <c r="K66" s="209"/>
      <c r="L66" s="209"/>
      <c r="M66" s="209">
        <f t="shared" si="0"/>
        <v>0</v>
      </c>
      <c r="N66" s="209"/>
      <c r="O66" s="209" t="s">
        <v>946</v>
      </c>
      <c r="P66" s="205">
        <f t="shared" si="3"/>
        <v>0</v>
      </c>
      <c r="Q66" s="196"/>
    </row>
    <row r="67" spans="1:17" s="8" customFormat="1" ht="15.75" x14ac:dyDescent="0.25">
      <c r="A67" s="106" t="s">
        <v>52</v>
      </c>
      <c r="B67" s="201">
        <v>44193</v>
      </c>
      <c r="C67" s="203" t="s">
        <v>794</v>
      </c>
      <c r="D67" s="203" t="s">
        <v>1122</v>
      </c>
      <c r="E67" s="161">
        <v>1</v>
      </c>
      <c r="F67" s="22">
        <v>97.96</v>
      </c>
      <c r="G67" s="202">
        <f t="shared" si="6"/>
        <v>97.96</v>
      </c>
      <c r="H67" s="209"/>
      <c r="I67" s="209"/>
      <c r="J67" s="205"/>
      <c r="K67" s="209"/>
      <c r="L67" s="209"/>
      <c r="M67" s="217">
        <f t="shared" si="0"/>
        <v>1</v>
      </c>
      <c r="N67" s="209"/>
      <c r="O67" s="209" t="s">
        <v>946</v>
      </c>
      <c r="P67" s="205">
        <f t="shared" si="3"/>
        <v>97.96</v>
      </c>
      <c r="Q67" s="196"/>
    </row>
    <row r="68" spans="1:17" s="8" customFormat="1" ht="15.75" x14ac:dyDescent="0.25">
      <c r="A68" s="106" t="s">
        <v>53</v>
      </c>
      <c r="B68" s="201">
        <v>44193</v>
      </c>
      <c r="C68" s="203" t="s">
        <v>580</v>
      </c>
      <c r="D68" s="203" t="s">
        <v>1122</v>
      </c>
      <c r="E68" s="160">
        <v>225</v>
      </c>
      <c r="F68" s="22">
        <v>18</v>
      </c>
      <c r="G68" s="202">
        <f t="shared" si="6"/>
        <v>4050</v>
      </c>
      <c r="H68" s="209"/>
      <c r="I68" s="209"/>
      <c r="J68" s="205"/>
      <c r="K68" s="209"/>
      <c r="L68" s="209"/>
      <c r="M68" s="209">
        <f t="shared" si="0"/>
        <v>225</v>
      </c>
      <c r="N68" s="209"/>
      <c r="O68" s="209" t="s">
        <v>947</v>
      </c>
      <c r="P68" s="205">
        <f t="shared" si="3"/>
        <v>4050</v>
      </c>
      <c r="Q68" s="196"/>
    </row>
    <row r="69" spans="1:17" s="8" customFormat="1" ht="15.75" x14ac:dyDescent="0.25">
      <c r="A69" s="106" t="s">
        <v>44</v>
      </c>
      <c r="B69" s="201">
        <v>44193</v>
      </c>
      <c r="C69" s="203" t="s">
        <v>581</v>
      </c>
      <c r="D69" s="203" t="s">
        <v>1122</v>
      </c>
      <c r="E69" s="160">
        <v>0</v>
      </c>
      <c r="F69" s="22">
        <v>114</v>
      </c>
      <c r="G69" s="202">
        <f t="shared" si="6"/>
        <v>0</v>
      </c>
      <c r="H69" s="209"/>
      <c r="I69" s="209"/>
      <c r="J69" s="205"/>
      <c r="K69" s="209"/>
      <c r="L69" s="209"/>
      <c r="M69" s="209">
        <f t="shared" si="0"/>
        <v>0</v>
      </c>
      <c r="N69" s="209"/>
      <c r="O69" s="209" t="s">
        <v>947</v>
      </c>
      <c r="P69" s="205">
        <f t="shared" si="3"/>
        <v>0</v>
      </c>
      <c r="Q69" s="196"/>
    </row>
    <row r="70" spans="1:17" s="8" customFormat="1" ht="15.75" x14ac:dyDescent="0.25">
      <c r="A70" s="106" t="s">
        <v>113</v>
      </c>
      <c r="B70" s="201">
        <v>44193</v>
      </c>
      <c r="C70" s="203" t="s">
        <v>582</v>
      </c>
      <c r="D70" s="203" t="s">
        <v>1122</v>
      </c>
      <c r="E70" s="160">
        <v>50</v>
      </c>
      <c r="F70" s="22">
        <v>150</v>
      </c>
      <c r="G70" s="202">
        <f t="shared" si="6"/>
        <v>7500</v>
      </c>
      <c r="H70" s="209"/>
      <c r="I70" s="209"/>
      <c r="J70" s="205"/>
      <c r="K70" s="209"/>
      <c r="L70" s="209"/>
      <c r="M70" s="209">
        <f t="shared" si="0"/>
        <v>50</v>
      </c>
      <c r="N70" s="209"/>
      <c r="O70" s="209" t="s">
        <v>947</v>
      </c>
      <c r="P70" s="205">
        <f t="shared" si="3"/>
        <v>7500</v>
      </c>
      <c r="Q70" s="196"/>
    </row>
    <row r="71" spans="1:17" s="8" customFormat="1" ht="15.75" x14ac:dyDescent="0.25">
      <c r="A71" s="106" t="s">
        <v>136</v>
      </c>
      <c r="B71" s="201">
        <v>44193</v>
      </c>
      <c r="C71" s="203" t="s">
        <v>583</v>
      </c>
      <c r="D71" s="203" t="s">
        <v>1122</v>
      </c>
      <c r="E71" s="160">
        <v>0</v>
      </c>
      <c r="F71" s="22">
        <v>105.93</v>
      </c>
      <c r="G71" s="202">
        <f t="shared" si="6"/>
        <v>0</v>
      </c>
      <c r="H71" s="209"/>
      <c r="I71" s="209"/>
      <c r="J71" s="205"/>
      <c r="K71" s="209"/>
      <c r="L71" s="209"/>
      <c r="M71" s="209">
        <f t="shared" si="0"/>
        <v>0</v>
      </c>
      <c r="N71" s="209"/>
      <c r="O71" s="209" t="s">
        <v>946</v>
      </c>
      <c r="P71" s="205">
        <f t="shared" si="3"/>
        <v>0</v>
      </c>
      <c r="Q71" s="196"/>
    </row>
    <row r="72" spans="1:17" s="8" customFormat="1" ht="15.75" x14ac:dyDescent="0.25">
      <c r="A72" s="106" t="s">
        <v>137</v>
      </c>
      <c r="B72" s="201">
        <v>44193</v>
      </c>
      <c r="C72" s="203" t="s">
        <v>584</v>
      </c>
      <c r="D72" s="203" t="s">
        <v>1122</v>
      </c>
      <c r="E72" s="160">
        <v>1</v>
      </c>
      <c r="F72" s="22">
        <v>762.71</v>
      </c>
      <c r="G72" s="202">
        <f t="shared" si="6"/>
        <v>762.71</v>
      </c>
      <c r="H72" s="209"/>
      <c r="I72" s="209"/>
      <c r="J72" s="205"/>
      <c r="K72" s="209"/>
      <c r="L72" s="209"/>
      <c r="M72" s="209">
        <f t="shared" si="0"/>
        <v>1</v>
      </c>
      <c r="N72" s="209"/>
      <c r="O72" s="209" t="s">
        <v>946</v>
      </c>
      <c r="P72" s="205">
        <f t="shared" si="3"/>
        <v>762.71</v>
      </c>
      <c r="Q72" s="196"/>
    </row>
    <row r="73" spans="1:17" s="8" customFormat="1" ht="15.75" x14ac:dyDescent="0.25">
      <c r="A73" s="106" t="s">
        <v>138</v>
      </c>
      <c r="B73" s="201">
        <v>44193</v>
      </c>
      <c r="C73" s="203" t="s">
        <v>585</v>
      </c>
      <c r="D73" s="203" t="s">
        <v>1122</v>
      </c>
      <c r="E73" s="160">
        <v>0</v>
      </c>
      <c r="F73" s="22">
        <v>338.98</v>
      </c>
      <c r="G73" s="202">
        <f t="shared" si="6"/>
        <v>0</v>
      </c>
      <c r="H73" s="209"/>
      <c r="I73" s="209"/>
      <c r="J73" s="205"/>
      <c r="K73" s="209"/>
      <c r="L73" s="209"/>
      <c r="M73" s="209">
        <f t="shared" ref="M73:M74" si="7">+E73+I73-L73</f>
        <v>0</v>
      </c>
      <c r="N73" s="209"/>
      <c r="O73" s="209" t="s">
        <v>946</v>
      </c>
      <c r="P73" s="205">
        <f t="shared" si="3"/>
        <v>0</v>
      </c>
      <c r="Q73" s="196"/>
    </row>
    <row r="74" spans="1:17" s="8" customFormat="1" ht="15.75" x14ac:dyDescent="0.25">
      <c r="A74" s="106" t="s">
        <v>54</v>
      </c>
      <c r="B74" s="201">
        <v>44193</v>
      </c>
      <c r="C74" s="203" t="s">
        <v>586</v>
      </c>
      <c r="D74" s="203" t="s">
        <v>1122</v>
      </c>
      <c r="E74" s="161">
        <v>8</v>
      </c>
      <c r="F74" s="22">
        <v>17.07</v>
      </c>
      <c r="G74" s="202">
        <f t="shared" si="6"/>
        <v>136.56</v>
      </c>
      <c r="H74" s="209"/>
      <c r="I74" s="209"/>
      <c r="J74" s="205"/>
      <c r="K74" s="209"/>
      <c r="L74" s="209"/>
      <c r="M74" s="209">
        <f t="shared" si="7"/>
        <v>8</v>
      </c>
      <c r="N74" s="209"/>
      <c r="O74" s="209" t="s">
        <v>947</v>
      </c>
      <c r="P74" s="205">
        <f t="shared" si="3"/>
        <v>136.56</v>
      </c>
      <c r="Q74" s="196"/>
    </row>
    <row r="75" spans="1:17" s="92" customFormat="1" x14ac:dyDescent="0.3">
      <c r="A75" s="106" t="s">
        <v>55</v>
      </c>
      <c r="B75" s="201">
        <v>45019</v>
      </c>
      <c r="C75" s="203" t="s">
        <v>587</v>
      </c>
      <c r="D75" s="203" t="s">
        <v>1122</v>
      </c>
      <c r="E75" s="161">
        <v>129</v>
      </c>
      <c r="F75" s="22">
        <v>172.08</v>
      </c>
      <c r="G75" s="202">
        <f t="shared" si="6"/>
        <v>22198.320000000003</v>
      </c>
      <c r="H75" s="204">
        <v>45019</v>
      </c>
      <c r="I75" s="209">
        <f>6*4</f>
        <v>24</v>
      </c>
      <c r="J75" s="205">
        <v>172.08</v>
      </c>
      <c r="K75" s="206">
        <f>+I75*J75</f>
        <v>4129.92</v>
      </c>
      <c r="L75" s="209">
        <v>130</v>
      </c>
      <c r="M75" s="209">
        <f>+E75+I75-L75</f>
        <v>23</v>
      </c>
      <c r="N75" s="209"/>
      <c r="O75" s="209" t="s">
        <v>945</v>
      </c>
      <c r="P75" s="205">
        <f t="shared" si="3"/>
        <v>3957.84</v>
      </c>
      <c r="Q75" s="213"/>
    </row>
    <row r="76" spans="1:17" s="92" customFormat="1" x14ac:dyDescent="0.3">
      <c r="A76" s="106" t="s">
        <v>56</v>
      </c>
      <c r="B76" s="160" t="s">
        <v>106</v>
      </c>
      <c r="C76" s="203" t="s">
        <v>774</v>
      </c>
      <c r="D76" s="203" t="s">
        <v>1122</v>
      </c>
      <c r="E76" s="161">
        <v>67</v>
      </c>
      <c r="F76" s="214">
        <v>50</v>
      </c>
      <c r="G76" s="202">
        <f t="shared" si="6"/>
        <v>3350</v>
      </c>
      <c r="H76" s="209"/>
      <c r="I76" s="209"/>
      <c r="J76" s="205"/>
      <c r="K76" s="209"/>
      <c r="L76" s="209">
        <f>2+4+1+2+1+2+1+1+1+2+1</f>
        <v>18</v>
      </c>
      <c r="M76" s="209">
        <f t="shared" ref="M76:M82" si="8">+E76+I76-L76</f>
        <v>49</v>
      </c>
      <c r="N76" s="209"/>
      <c r="O76" s="209" t="s">
        <v>945</v>
      </c>
      <c r="P76" s="205">
        <f t="shared" si="3"/>
        <v>2450</v>
      </c>
      <c r="Q76" s="213"/>
    </row>
    <row r="77" spans="1:17" s="92" customFormat="1" x14ac:dyDescent="0.3">
      <c r="A77" s="106" t="s">
        <v>100</v>
      </c>
      <c r="B77" s="201">
        <v>44488</v>
      </c>
      <c r="C77" s="203" t="s">
        <v>589</v>
      </c>
      <c r="D77" s="203" t="s">
        <v>1122</v>
      </c>
      <c r="E77" s="161">
        <v>3</v>
      </c>
      <c r="F77" s="22">
        <v>2200</v>
      </c>
      <c r="G77" s="202">
        <f t="shared" si="6"/>
        <v>6600</v>
      </c>
      <c r="H77" s="209"/>
      <c r="I77" s="209"/>
      <c r="J77" s="205"/>
      <c r="K77" s="209"/>
      <c r="L77" s="209"/>
      <c r="M77" s="209">
        <f t="shared" si="8"/>
        <v>3</v>
      </c>
      <c r="N77" s="209"/>
      <c r="O77" s="209" t="s">
        <v>945</v>
      </c>
      <c r="P77" s="205">
        <f t="shared" si="3"/>
        <v>6600</v>
      </c>
      <c r="Q77" s="213"/>
    </row>
    <row r="78" spans="1:17" s="8" customFormat="1" ht="15.75" x14ac:dyDescent="0.25">
      <c r="A78" s="106" t="s">
        <v>57</v>
      </c>
      <c r="B78" s="201">
        <v>44193</v>
      </c>
      <c r="C78" s="203" t="s">
        <v>590</v>
      </c>
      <c r="D78" s="203" t="s">
        <v>1122</v>
      </c>
      <c r="E78" s="161">
        <v>0</v>
      </c>
      <c r="F78" s="22">
        <v>402.54</v>
      </c>
      <c r="G78" s="202">
        <f t="shared" si="6"/>
        <v>0</v>
      </c>
      <c r="H78" s="209"/>
      <c r="I78" s="209"/>
      <c r="J78" s="205"/>
      <c r="K78" s="209"/>
      <c r="L78" s="209"/>
      <c r="M78" s="209">
        <f t="shared" si="8"/>
        <v>0</v>
      </c>
      <c r="N78" s="209"/>
      <c r="O78" s="209" t="s">
        <v>946</v>
      </c>
      <c r="P78" s="205">
        <f t="shared" si="3"/>
        <v>0</v>
      </c>
      <c r="Q78" s="196"/>
    </row>
    <row r="79" spans="1:17" s="8" customFormat="1" ht="15.75" x14ac:dyDescent="0.25">
      <c r="A79" s="106" t="s">
        <v>139</v>
      </c>
      <c r="B79" s="201">
        <v>44193</v>
      </c>
      <c r="C79" s="203" t="s">
        <v>591</v>
      </c>
      <c r="D79" s="203" t="s">
        <v>1122</v>
      </c>
      <c r="E79" s="161">
        <v>11</v>
      </c>
      <c r="F79" s="22">
        <v>37.74</v>
      </c>
      <c r="G79" s="202">
        <f t="shared" si="6"/>
        <v>415.14000000000004</v>
      </c>
      <c r="H79" s="209"/>
      <c r="I79" s="209"/>
      <c r="J79" s="205"/>
      <c r="K79" s="209"/>
      <c r="L79" s="209"/>
      <c r="M79" s="209">
        <f t="shared" si="8"/>
        <v>11</v>
      </c>
      <c r="N79" s="209"/>
      <c r="O79" s="209" t="s">
        <v>946</v>
      </c>
      <c r="P79" s="205">
        <f t="shared" si="3"/>
        <v>415.14000000000004</v>
      </c>
      <c r="Q79" s="196"/>
    </row>
    <row r="80" spans="1:17" s="105" customFormat="1" ht="15.75" x14ac:dyDescent="0.25">
      <c r="A80" s="106" t="s">
        <v>140</v>
      </c>
      <c r="B80" s="201">
        <v>45042</v>
      </c>
      <c r="C80" s="203" t="s">
        <v>592</v>
      </c>
      <c r="D80" s="203" t="s">
        <v>1122</v>
      </c>
      <c r="E80" s="161">
        <v>10</v>
      </c>
      <c r="F80" s="22">
        <v>68.06</v>
      </c>
      <c r="G80" s="202">
        <f t="shared" si="6"/>
        <v>680.6</v>
      </c>
      <c r="H80" s="204">
        <v>45042</v>
      </c>
      <c r="I80" s="209">
        <v>10</v>
      </c>
      <c r="J80" s="205">
        <v>68.06</v>
      </c>
      <c r="K80" s="209">
        <f>+J80*I80</f>
        <v>680.6</v>
      </c>
      <c r="L80" s="209">
        <v>7</v>
      </c>
      <c r="M80" s="209">
        <f t="shared" si="8"/>
        <v>13</v>
      </c>
      <c r="N80" s="209" t="s">
        <v>1037</v>
      </c>
      <c r="O80" s="209" t="s">
        <v>947</v>
      </c>
      <c r="P80" s="205">
        <f>+F80*M80</f>
        <v>884.78</v>
      </c>
      <c r="Q80" s="215"/>
    </row>
    <row r="81" spans="1:17" s="8" customFormat="1" ht="15.75" x14ac:dyDescent="0.25">
      <c r="A81" s="106" t="s">
        <v>141</v>
      </c>
      <c r="B81" s="201">
        <v>44193</v>
      </c>
      <c r="C81" s="203" t="s">
        <v>593</v>
      </c>
      <c r="D81" s="203" t="s">
        <v>1122</v>
      </c>
      <c r="E81" s="161">
        <v>6</v>
      </c>
      <c r="F81" s="22">
        <v>4740</v>
      </c>
      <c r="G81" s="202">
        <f t="shared" si="6"/>
        <v>28440</v>
      </c>
      <c r="H81" s="209"/>
      <c r="I81" s="209"/>
      <c r="J81" s="205"/>
      <c r="K81" s="209"/>
      <c r="L81" s="209"/>
      <c r="M81" s="209">
        <f t="shared" si="8"/>
        <v>6</v>
      </c>
      <c r="N81" s="209"/>
      <c r="O81" s="209" t="s">
        <v>947</v>
      </c>
      <c r="P81" s="205">
        <f t="shared" si="3"/>
        <v>28440</v>
      </c>
      <c r="Q81" s="196"/>
    </row>
    <row r="82" spans="1:17" s="8" customFormat="1" ht="15.75" x14ac:dyDescent="0.25">
      <c r="A82" s="106" t="s">
        <v>58</v>
      </c>
      <c r="B82" s="201">
        <v>44193</v>
      </c>
      <c r="C82" s="203" t="s">
        <v>594</v>
      </c>
      <c r="D82" s="203" t="s">
        <v>1122</v>
      </c>
      <c r="E82" s="161">
        <v>1</v>
      </c>
      <c r="F82" s="22">
        <v>2535</v>
      </c>
      <c r="G82" s="202">
        <f t="shared" si="6"/>
        <v>2535</v>
      </c>
      <c r="H82" s="209"/>
      <c r="I82" s="209"/>
      <c r="J82" s="205"/>
      <c r="K82" s="209"/>
      <c r="L82" s="209">
        <v>1</v>
      </c>
      <c r="M82" s="209">
        <f t="shared" si="8"/>
        <v>0</v>
      </c>
      <c r="N82" s="209"/>
      <c r="O82" s="209" t="s">
        <v>947</v>
      </c>
      <c r="P82" s="205">
        <f t="shared" si="3"/>
        <v>0</v>
      </c>
      <c r="Q82" s="196"/>
    </row>
    <row r="83" spans="1:17" s="8" customFormat="1" ht="15.75" x14ac:dyDescent="0.25">
      <c r="A83" s="106" t="s">
        <v>59</v>
      </c>
      <c r="B83" s="201">
        <v>44193</v>
      </c>
      <c r="C83" s="203" t="s">
        <v>595</v>
      </c>
      <c r="D83" s="203" t="s">
        <v>1122</v>
      </c>
      <c r="E83" s="161">
        <v>0</v>
      </c>
      <c r="F83" s="22">
        <v>211.86</v>
      </c>
      <c r="G83" s="202">
        <f t="shared" si="6"/>
        <v>0</v>
      </c>
      <c r="H83" s="209"/>
      <c r="I83" s="209"/>
      <c r="J83" s="205"/>
      <c r="K83" s="209"/>
      <c r="L83" s="209"/>
      <c r="M83" s="209">
        <f>+E83+I83-L83</f>
        <v>0</v>
      </c>
      <c r="N83" s="209"/>
      <c r="O83" s="209" t="s">
        <v>947</v>
      </c>
      <c r="P83" s="205">
        <f t="shared" si="3"/>
        <v>0</v>
      </c>
      <c r="Q83" s="196"/>
    </row>
    <row r="84" spans="1:17" s="8" customFormat="1" ht="15.75" x14ac:dyDescent="0.25">
      <c r="A84" s="106" t="s">
        <v>60</v>
      </c>
      <c r="B84" s="201">
        <v>44193</v>
      </c>
      <c r="C84" s="203" t="s">
        <v>596</v>
      </c>
      <c r="D84" s="203" t="s">
        <v>1122</v>
      </c>
      <c r="E84" s="161">
        <v>0</v>
      </c>
      <c r="F84" s="22">
        <v>70</v>
      </c>
      <c r="G84" s="202">
        <f t="shared" si="6"/>
        <v>0</v>
      </c>
      <c r="H84" s="209"/>
      <c r="I84" s="209"/>
      <c r="J84" s="205"/>
      <c r="K84" s="209"/>
      <c r="L84" s="209"/>
      <c r="M84" s="209">
        <f t="shared" ref="M84:M96" si="9">+E84+I84-L84</f>
        <v>0</v>
      </c>
      <c r="N84" s="209"/>
      <c r="O84" s="209" t="s">
        <v>947</v>
      </c>
      <c r="P84" s="205">
        <f t="shared" si="3"/>
        <v>0</v>
      </c>
      <c r="Q84" s="196"/>
    </row>
    <row r="85" spans="1:17" s="8" customFormat="1" ht="15.75" x14ac:dyDescent="0.25">
      <c r="A85" s="106" t="s">
        <v>61</v>
      </c>
      <c r="B85" s="201">
        <v>44193</v>
      </c>
      <c r="C85" s="203" t="s">
        <v>597</v>
      </c>
      <c r="D85" s="203" t="s">
        <v>1122</v>
      </c>
      <c r="E85" s="161">
        <v>2</v>
      </c>
      <c r="F85" s="22">
        <v>148.31</v>
      </c>
      <c r="G85" s="202">
        <f t="shared" si="6"/>
        <v>296.62</v>
      </c>
      <c r="H85" s="209"/>
      <c r="I85" s="209"/>
      <c r="J85" s="205"/>
      <c r="K85" s="209"/>
      <c r="L85" s="209"/>
      <c r="M85" s="209">
        <f t="shared" si="9"/>
        <v>2</v>
      </c>
      <c r="N85" s="209"/>
      <c r="O85" s="209" t="s">
        <v>947</v>
      </c>
      <c r="P85" s="205">
        <f t="shared" si="3"/>
        <v>296.62</v>
      </c>
      <c r="Q85" s="196"/>
    </row>
    <row r="86" spans="1:17" s="8" customFormat="1" ht="15.75" x14ac:dyDescent="0.25">
      <c r="A86" s="106" t="s">
        <v>62</v>
      </c>
      <c r="B86" s="201">
        <v>45042</v>
      </c>
      <c r="C86" s="203" t="s">
        <v>598</v>
      </c>
      <c r="D86" s="203" t="s">
        <v>1122</v>
      </c>
      <c r="E86" s="161">
        <v>24</v>
      </c>
      <c r="F86" s="22">
        <v>200</v>
      </c>
      <c r="G86" s="202">
        <f t="shared" si="6"/>
        <v>4800</v>
      </c>
      <c r="H86" s="209"/>
      <c r="I86" s="209">
        <v>5</v>
      </c>
      <c r="J86" s="206">
        <v>259.60000000000002</v>
      </c>
      <c r="K86" s="206">
        <f>+J86*I86</f>
        <v>1298</v>
      </c>
      <c r="L86" s="209">
        <v>25</v>
      </c>
      <c r="M86" s="209">
        <f t="shared" si="9"/>
        <v>4</v>
      </c>
      <c r="N86" s="209"/>
      <c r="O86" s="209" t="s">
        <v>947</v>
      </c>
      <c r="P86" s="205">
        <f t="shared" si="3"/>
        <v>800</v>
      </c>
      <c r="Q86" s="196"/>
    </row>
    <row r="87" spans="1:17" s="105" customFormat="1" ht="15.75" x14ac:dyDescent="0.25">
      <c r="A87" s="106" t="s">
        <v>63</v>
      </c>
      <c r="B87" s="201">
        <v>44852</v>
      </c>
      <c r="C87" s="203" t="s">
        <v>599</v>
      </c>
      <c r="D87" s="203" t="s">
        <v>1122</v>
      </c>
      <c r="E87" s="161">
        <v>0</v>
      </c>
      <c r="F87" s="22">
        <v>65</v>
      </c>
      <c r="G87" s="202">
        <f t="shared" si="6"/>
        <v>0</v>
      </c>
      <c r="H87" s="204">
        <v>44852</v>
      </c>
      <c r="I87" s="209">
        <v>10</v>
      </c>
      <c r="J87" s="205">
        <v>46</v>
      </c>
      <c r="K87" s="206">
        <f>+J87*I87</f>
        <v>460</v>
      </c>
      <c r="L87" s="209">
        <v>10</v>
      </c>
      <c r="M87" s="209">
        <f t="shared" si="9"/>
        <v>0</v>
      </c>
      <c r="N87" s="209" t="s">
        <v>1037</v>
      </c>
      <c r="O87" s="209" t="s">
        <v>947</v>
      </c>
      <c r="P87" s="205">
        <f t="shared" si="3"/>
        <v>0</v>
      </c>
      <c r="Q87" s="215"/>
    </row>
    <row r="88" spans="1:17" s="92" customFormat="1" x14ac:dyDescent="0.3">
      <c r="A88" s="106" t="s">
        <v>64</v>
      </c>
      <c r="B88" s="201">
        <v>44193</v>
      </c>
      <c r="C88" s="203" t="s">
        <v>850</v>
      </c>
      <c r="D88" s="203" t="s">
        <v>1122</v>
      </c>
      <c r="E88" s="161">
        <v>1</v>
      </c>
      <c r="F88" s="22"/>
      <c r="G88" s="202"/>
      <c r="H88" s="209"/>
      <c r="I88" s="209"/>
      <c r="J88" s="205"/>
      <c r="K88" s="209"/>
      <c r="L88" s="209"/>
      <c r="M88" s="209">
        <f t="shared" si="9"/>
        <v>1</v>
      </c>
      <c r="N88" s="209"/>
      <c r="O88" s="209" t="s">
        <v>506</v>
      </c>
      <c r="P88" s="205">
        <f t="shared" si="3"/>
        <v>0</v>
      </c>
      <c r="Q88" s="213"/>
    </row>
    <row r="89" spans="1:17" s="105" customFormat="1" ht="15.75" x14ac:dyDescent="0.25">
      <c r="A89" s="106" t="s">
        <v>65</v>
      </c>
      <c r="B89" s="201">
        <v>44852</v>
      </c>
      <c r="C89" s="203" t="s">
        <v>851</v>
      </c>
      <c r="D89" s="203" t="s">
        <v>1122</v>
      </c>
      <c r="E89" s="161">
        <v>6</v>
      </c>
      <c r="F89" s="22">
        <v>7.09</v>
      </c>
      <c r="G89" s="202">
        <f>E89*F89</f>
        <v>42.54</v>
      </c>
      <c r="H89" s="204">
        <v>44852</v>
      </c>
      <c r="I89" s="209">
        <f>10*12</f>
        <v>120</v>
      </c>
      <c r="J89" s="205">
        <v>7.09</v>
      </c>
      <c r="K89" s="209">
        <f>+J89*I89</f>
        <v>850.8</v>
      </c>
      <c r="L89" s="209"/>
      <c r="M89" s="209">
        <f t="shared" si="9"/>
        <v>126</v>
      </c>
      <c r="N89" s="209" t="s">
        <v>1037</v>
      </c>
      <c r="O89" s="206" t="s">
        <v>947</v>
      </c>
      <c r="P89" s="205">
        <f t="shared" ref="P89:P152" si="10">+F89*M89</f>
        <v>893.34</v>
      </c>
      <c r="Q89" s="215"/>
    </row>
    <row r="90" spans="1:17" s="8" customFormat="1" ht="15.75" x14ac:dyDescent="0.25">
      <c r="A90" s="106" t="s">
        <v>66</v>
      </c>
      <c r="B90" s="201">
        <v>44547</v>
      </c>
      <c r="C90" s="203" t="s">
        <v>775</v>
      </c>
      <c r="D90" s="203" t="s">
        <v>1122</v>
      </c>
      <c r="E90" s="161">
        <v>10</v>
      </c>
      <c r="F90" s="22">
        <v>155</v>
      </c>
      <c r="G90" s="202">
        <f>E90*F90</f>
        <v>1550</v>
      </c>
      <c r="H90" s="209"/>
      <c r="I90" s="209"/>
      <c r="J90" s="205"/>
      <c r="K90" s="209"/>
      <c r="L90" s="209">
        <v>1</v>
      </c>
      <c r="M90" s="209">
        <f t="shared" si="9"/>
        <v>9</v>
      </c>
      <c r="N90" s="209"/>
      <c r="O90" s="209" t="s">
        <v>947</v>
      </c>
      <c r="P90" s="205">
        <f t="shared" si="10"/>
        <v>1395</v>
      </c>
      <c r="Q90" s="196"/>
    </row>
    <row r="91" spans="1:17" s="92" customFormat="1" x14ac:dyDescent="0.3">
      <c r="A91" s="106" t="s">
        <v>68</v>
      </c>
      <c r="B91" s="201">
        <v>44453</v>
      </c>
      <c r="C91" s="203" t="s">
        <v>603</v>
      </c>
      <c r="D91" s="203" t="s">
        <v>1122</v>
      </c>
      <c r="E91" s="160">
        <v>4</v>
      </c>
      <c r="F91" s="22">
        <v>7500</v>
      </c>
      <c r="G91" s="202">
        <f>E91*F91</f>
        <v>30000</v>
      </c>
      <c r="H91" s="209"/>
      <c r="I91" s="209"/>
      <c r="J91" s="205"/>
      <c r="K91" s="209"/>
      <c r="L91" s="209"/>
      <c r="M91" s="209">
        <f t="shared" si="9"/>
        <v>4</v>
      </c>
      <c r="N91" s="209"/>
      <c r="O91" s="209" t="s">
        <v>945</v>
      </c>
      <c r="P91" s="205">
        <f t="shared" si="10"/>
        <v>30000</v>
      </c>
      <c r="Q91" s="213"/>
    </row>
    <row r="92" spans="1:17" s="92" customFormat="1" x14ac:dyDescent="0.3">
      <c r="A92" s="106" t="s">
        <v>67</v>
      </c>
      <c r="B92" s="201">
        <v>44659</v>
      </c>
      <c r="C92" s="203" t="s">
        <v>776</v>
      </c>
      <c r="D92" s="203" t="s">
        <v>1122</v>
      </c>
      <c r="E92" s="160">
        <v>108</v>
      </c>
      <c r="F92" s="22">
        <v>156.66667000000001</v>
      </c>
      <c r="G92" s="202">
        <f>E92*F92</f>
        <v>16920.000360000002</v>
      </c>
      <c r="H92" s="209"/>
      <c r="I92" s="209"/>
      <c r="J92" s="205"/>
      <c r="K92" s="209"/>
      <c r="L92" s="209">
        <f>44+14+19+1+1+1+1+1+2+3+2</f>
        <v>89</v>
      </c>
      <c r="M92" s="209">
        <f t="shared" si="9"/>
        <v>19</v>
      </c>
      <c r="N92" s="209"/>
      <c r="O92" s="209" t="s">
        <v>945</v>
      </c>
      <c r="P92" s="205">
        <f t="shared" si="10"/>
        <v>2976.6667300000004</v>
      </c>
      <c r="Q92" s="213"/>
    </row>
    <row r="93" spans="1:17" s="8" customFormat="1" ht="15.75" x14ac:dyDescent="0.25">
      <c r="A93" s="106" t="s">
        <v>69</v>
      </c>
      <c r="B93" s="201">
        <v>44193</v>
      </c>
      <c r="C93" s="203" t="s">
        <v>844</v>
      </c>
      <c r="D93" s="203" t="s">
        <v>1122</v>
      </c>
      <c r="E93" s="160">
        <v>20</v>
      </c>
      <c r="F93" s="22">
        <v>30.5</v>
      </c>
      <c r="G93" s="202">
        <f>E93*F93</f>
        <v>610</v>
      </c>
      <c r="H93" s="209"/>
      <c r="I93" s="209"/>
      <c r="J93" s="205"/>
      <c r="K93" s="209"/>
      <c r="L93" s="209"/>
      <c r="M93" s="209">
        <f t="shared" si="9"/>
        <v>20</v>
      </c>
      <c r="N93" s="209"/>
      <c r="O93" s="209" t="s">
        <v>946</v>
      </c>
      <c r="P93" s="205">
        <f t="shared" si="10"/>
        <v>610</v>
      </c>
      <c r="Q93" s="196"/>
    </row>
    <row r="94" spans="1:17" s="8" customFormat="1" ht="15.75" x14ac:dyDescent="0.25">
      <c r="A94" s="106" t="s">
        <v>103</v>
      </c>
      <c r="B94" s="201">
        <v>44193</v>
      </c>
      <c r="C94" s="203" t="s">
        <v>789</v>
      </c>
      <c r="D94" s="203" t="s">
        <v>1122</v>
      </c>
      <c r="E94" s="160">
        <f>21+8+14</f>
        <v>43</v>
      </c>
      <c r="F94" s="22">
        <v>11.24</v>
      </c>
      <c r="G94" s="202">
        <f t="shared" ref="G94:G132" si="11">E94*F94</f>
        <v>483.32</v>
      </c>
      <c r="H94" s="209"/>
      <c r="I94" s="209"/>
      <c r="J94" s="205"/>
      <c r="K94" s="209"/>
      <c r="L94" s="209">
        <v>3</v>
      </c>
      <c r="M94" s="209">
        <f t="shared" si="9"/>
        <v>40</v>
      </c>
      <c r="N94" s="209"/>
      <c r="O94" s="209" t="s">
        <v>946</v>
      </c>
      <c r="P94" s="205">
        <f t="shared" si="10"/>
        <v>449.6</v>
      </c>
      <c r="Q94" s="196"/>
    </row>
    <row r="95" spans="1:17" s="8" customFormat="1" ht="15.75" x14ac:dyDescent="0.25">
      <c r="A95" s="106" t="s">
        <v>104</v>
      </c>
      <c r="B95" s="201">
        <v>44193</v>
      </c>
      <c r="C95" s="203" t="s">
        <v>788</v>
      </c>
      <c r="D95" s="203" t="s">
        <v>1122</v>
      </c>
      <c r="E95" s="160">
        <f>16+6+7+2</f>
        <v>31</v>
      </c>
      <c r="F95" s="22">
        <v>11.24</v>
      </c>
      <c r="G95" s="202">
        <f t="shared" si="11"/>
        <v>348.44</v>
      </c>
      <c r="H95" s="209"/>
      <c r="I95" s="209"/>
      <c r="J95" s="205"/>
      <c r="K95" s="209"/>
      <c r="L95" s="209"/>
      <c r="M95" s="209">
        <f t="shared" si="9"/>
        <v>31</v>
      </c>
      <c r="N95" s="209"/>
      <c r="O95" s="209" t="s">
        <v>946</v>
      </c>
      <c r="P95" s="205">
        <f t="shared" si="10"/>
        <v>348.44</v>
      </c>
      <c r="Q95" s="196"/>
    </row>
    <row r="96" spans="1:17" s="8" customFormat="1" ht="15.75" x14ac:dyDescent="0.25">
      <c r="A96" s="106" t="s">
        <v>142</v>
      </c>
      <c r="B96" s="201">
        <v>44193</v>
      </c>
      <c r="C96" s="203" t="s">
        <v>604</v>
      </c>
      <c r="D96" s="203" t="s">
        <v>1122</v>
      </c>
      <c r="E96" s="160">
        <v>28</v>
      </c>
      <c r="F96" s="22">
        <v>45</v>
      </c>
      <c r="G96" s="202">
        <f t="shared" si="11"/>
        <v>1260</v>
      </c>
      <c r="H96" s="209"/>
      <c r="I96" s="209"/>
      <c r="J96" s="205"/>
      <c r="K96" s="209"/>
      <c r="L96" s="209"/>
      <c r="M96" s="209">
        <f t="shared" si="9"/>
        <v>28</v>
      </c>
      <c r="N96" s="209"/>
      <c r="O96" s="209" t="s">
        <v>946</v>
      </c>
      <c r="P96" s="205">
        <f t="shared" si="10"/>
        <v>1260</v>
      </c>
      <c r="Q96" s="196"/>
    </row>
    <row r="97" spans="1:17" s="8" customFormat="1" ht="15.75" x14ac:dyDescent="0.25">
      <c r="A97" s="106" t="s">
        <v>70</v>
      </c>
      <c r="B97" s="201">
        <v>44193</v>
      </c>
      <c r="C97" s="203" t="s">
        <v>605</v>
      </c>
      <c r="D97" s="203" t="s">
        <v>1122</v>
      </c>
      <c r="E97" s="160">
        <v>4</v>
      </c>
      <c r="F97" s="22">
        <v>40</v>
      </c>
      <c r="G97" s="202">
        <f t="shared" si="11"/>
        <v>160</v>
      </c>
      <c r="H97" s="209"/>
      <c r="I97" s="209"/>
      <c r="J97" s="205"/>
      <c r="K97" s="209"/>
      <c r="L97" s="209"/>
      <c r="M97" s="209">
        <f>+E97+I97-L97</f>
        <v>4</v>
      </c>
      <c r="N97" s="209"/>
      <c r="O97" s="209" t="s">
        <v>946</v>
      </c>
      <c r="P97" s="205">
        <f t="shared" si="10"/>
        <v>160</v>
      </c>
      <c r="Q97" s="196"/>
    </row>
    <row r="98" spans="1:17" s="8" customFormat="1" ht="15.75" x14ac:dyDescent="0.25">
      <c r="A98" s="106" t="s">
        <v>71</v>
      </c>
      <c r="B98" s="201">
        <v>44193</v>
      </c>
      <c r="C98" s="203" t="s">
        <v>606</v>
      </c>
      <c r="D98" s="203" t="s">
        <v>1122</v>
      </c>
      <c r="E98" s="160">
        <v>39</v>
      </c>
      <c r="F98" s="22">
        <v>45</v>
      </c>
      <c r="G98" s="202">
        <f t="shared" si="11"/>
        <v>1755</v>
      </c>
      <c r="H98" s="209"/>
      <c r="I98" s="209"/>
      <c r="J98" s="205"/>
      <c r="K98" s="209"/>
      <c r="L98" s="209"/>
      <c r="M98" s="209">
        <f t="shared" ref="M98:M109" si="12">+E98+I98-L98</f>
        <v>39</v>
      </c>
      <c r="N98" s="209"/>
      <c r="O98" s="209" t="s">
        <v>946</v>
      </c>
      <c r="P98" s="205">
        <f t="shared" si="10"/>
        <v>1755</v>
      </c>
      <c r="Q98" s="196"/>
    </row>
    <row r="99" spans="1:17" s="8" customFormat="1" ht="15.75" x14ac:dyDescent="0.25">
      <c r="A99" s="106" t="s">
        <v>72</v>
      </c>
      <c r="B99" s="201">
        <v>44193</v>
      </c>
      <c r="C99" s="203" t="s">
        <v>846</v>
      </c>
      <c r="D99" s="203" t="s">
        <v>1122</v>
      </c>
      <c r="E99" s="160">
        <v>1</v>
      </c>
      <c r="F99" s="22">
        <v>47</v>
      </c>
      <c r="G99" s="202">
        <f t="shared" si="11"/>
        <v>47</v>
      </c>
      <c r="H99" s="209"/>
      <c r="I99" s="209"/>
      <c r="J99" s="205"/>
      <c r="K99" s="209"/>
      <c r="L99" s="209"/>
      <c r="M99" s="209">
        <f t="shared" si="12"/>
        <v>1</v>
      </c>
      <c r="N99" s="209"/>
      <c r="O99" s="209" t="s">
        <v>946</v>
      </c>
      <c r="P99" s="205">
        <f t="shared" si="10"/>
        <v>47</v>
      </c>
      <c r="Q99" s="196"/>
    </row>
    <row r="100" spans="1:17" s="8" customFormat="1" ht="15.75" x14ac:dyDescent="0.25">
      <c r="A100" s="106" t="s">
        <v>73</v>
      </c>
      <c r="B100" s="201">
        <v>44193</v>
      </c>
      <c r="C100" s="203" t="s">
        <v>607</v>
      </c>
      <c r="D100" s="203" t="s">
        <v>1122</v>
      </c>
      <c r="E100" s="160">
        <v>1</v>
      </c>
      <c r="F100" s="22">
        <v>40</v>
      </c>
      <c r="G100" s="202">
        <f t="shared" si="11"/>
        <v>40</v>
      </c>
      <c r="H100" s="209"/>
      <c r="I100" s="209"/>
      <c r="J100" s="205"/>
      <c r="K100" s="209"/>
      <c r="L100" s="209"/>
      <c r="M100" s="209">
        <f t="shared" si="12"/>
        <v>1</v>
      </c>
      <c r="N100" s="209"/>
      <c r="O100" s="209" t="s">
        <v>946</v>
      </c>
      <c r="P100" s="205">
        <f t="shared" si="10"/>
        <v>40</v>
      </c>
      <c r="Q100" s="196"/>
    </row>
    <row r="101" spans="1:17" s="8" customFormat="1" ht="15.75" x14ac:dyDescent="0.25">
      <c r="A101" s="106" t="s">
        <v>74</v>
      </c>
      <c r="B101" s="201">
        <v>44193</v>
      </c>
      <c r="C101" s="203" t="s">
        <v>608</v>
      </c>
      <c r="D101" s="203" t="s">
        <v>1122</v>
      </c>
      <c r="E101" s="160">
        <v>2</v>
      </c>
      <c r="F101" s="22">
        <v>12.21</v>
      </c>
      <c r="G101" s="202">
        <f t="shared" si="11"/>
        <v>24.42</v>
      </c>
      <c r="H101" s="209"/>
      <c r="I101" s="209"/>
      <c r="J101" s="205"/>
      <c r="K101" s="209"/>
      <c r="L101" s="209"/>
      <c r="M101" s="209">
        <f t="shared" si="12"/>
        <v>2</v>
      </c>
      <c r="N101" s="209"/>
      <c r="O101" s="209" t="s">
        <v>946</v>
      </c>
      <c r="P101" s="205">
        <f t="shared" si="10"/>
        <v>24.42</v>
      </c>
      <c r="Q101" s="196"/>
    </row>
    <row r="102" spans="1:17" s="8" customFormat="1" ht="15.75" x14ac:dyDescent="0.25">
      <c r="A102" s="106" t="s">
        <v>101</v>
      </c>
      <c r="B102" s="201">
        <v>44193</v>
      </c>
      <c r="C102" s="203" t="s">
        <v>609</v>
      </c>
      <c r="D102" s="203" t="s">
        <v>1122</v>
      </c>
      <c r="E102" s="160">
        <v>0</v>
      </c>
      <c r="F102" s="22">
        <v>4</v>
      </c>
      <c r="G102" s="202">
        <f t="shared" si="11"/>
        <v>0</v>
      </c>
      <c r="H102" s="209"/>
      <c r="I102" s="209"/>
      <c r="J102" s="205"/>
      <c r="K102" s="209"/>
      <c r="L102" s="209"/>
      <c r="M102" s="209">
        <f t="shared" si="12"/>
        <v>0</v>
      </c>
      <c r="N102" s="209"/>
      <c r="O102" s="209" t="s">
        <v>946</v>
      </c>
      <c r="P102" s="205">
        <f t="shared" si="10"/>
        <v>0</v>
      </c>
      <c r="Q102" s="196"/>
    </row>
    <row r="103" spans="1:17" s="8" customFormat="1" ht="15.75" x14ac:dyDescent="0.25">
      <c r="A103" s="106" t="s">
        <v>75</v>
      </c>
      <c r="B103" s="201">
        <v>44193</v>
      </c>
      <c r="C103" s="203" t="s">
        <v>610</v>
      </c>
      <c r="D103" s="203" t="s">
        <v>1122</v>
      </c>
      <c r="E103" s="160">
        <f>13+7+29</f>
        <v>49</v>
      </c>
      <c r="F103" s="22">
        <v>5.05</v>
      </c>
      <c r="G103" s="202">
        <f t="shared" si="11"/>
        <v>247.45</v>
      </c>
      <c r="H103" s="209"/>
      <c r="I103" s="209"/>
      <c r="J103" s="205"/>
      <c r="K103" s="209"/>
      <c r="L103" s="209"/>
      <c r="M103" s="209">
        <f t="shared" si="12"/>
        <v>49</v>
      </c>
      <c r="N103" s="209"/>
      <c r="O103" s="209" t="s">
        <v>946</v>
      </c>
      <c r="P103" s="205">
        <f t="shared" si="10"/>
        <v>247.45</v>
      </c>
      <c r="Q103" s="196"/>
    </row>
    <row r="104" spans="1:17" s="8" customFormat="1" ht="15.75" x14ac:dyDescent="0.25">
      <c r="A104" s="106" t="s">
        <v>102</v>
      </c>
      <c r="B104" s="201">
        <v>44193</v>
      </c>
      <c r="C104" s="203" t="s">
        <v>611</v>
      </c>
      <c r="D104" s="203" t="s">
        <v>1122</v>
      </c>
      <c r="E104" s="160">
        <v>0</v>
      </c>
      <c r="F104" s="22">
        <v>42.95</v>
      </c>
      <c r="G104" s="202">
        <f t="shared" si="11"/>
        <v>0</v>
      </c>
      <c r="H104" s="209"/>
      <c r="I104" s="209"/>
      <c r="J104" s="205"/>
      <c r="K104" s="209"/>
      <c r="L104" s="209"/>
      <c r="M104" s="209">
        <f t="shared" si="12"/>
        <v>0</v>
      </c>
      <c r="N104" s="209"/>
      <c r="O104" s="209" t="s">
        <v>946</v>
      </c>
      <c r="P104" s="205">
        <f t="shared" si="10"/>
        <v>0</v>
      </c>
      <c r="Q104" s="196"/>
    </row>
    <row r="105" spans="1:17" s="8" customFormat="1" ht="15.75" x14ac:dyDescent="0.25">
      <c r="A105" s="106" t="s">
        <v>143</v>
      </c>
      <c r="B105" s="201">
        <v>44193</v>
      </c>
      <c r="C105" s="203" t="s">
        <v>612</v>
      </c>
      <c r="D105" s="203" t="s">
        <v>1122</v>
      </c>
      <c r="E105" s="161">
        <v>11</v>
      </c>
      <c r="F105" s="22">
        <v>19.95</v>
      </c>
      <c r="G105" s="202">
        <f t="shared" si="11"/>
        <v>219.45</v>
      </c>
      <c r="H105" s="209"/>
      <c r="I105" s="209"/>
      <c r="J105" s="205"/>
      <c r="K105" s="209"/>
      <c r="L105" s="209"/>
      <c r="M105" s="209">
        <f t="shared" si="12"/>
        <v>11</v>
      </c>
      <c r="N105" s="209"/>
      <c r="O105" s="209" t="s">
        <v>946</v>
      </c>
      <c r="P105" s="205">
        <f t="shared" si="10"/>
        <v>219.45</v>
      </c>
      <c r="Q105" s="196"/>
    </row>
    <row r="106" spans="1:17" s="8" customFormat="1" ht="15.75" x14ac:dyDescent="0.25">
      <c r="A106" s="106" t="s">
        <v>334</v>
      </c>
      <c r="B106" s="201">
        <v>44193</v>
      </c>
      <c r="C106" s="203" t="s">
        <v>613</v>
      </c>
      <c r="D106" s="203" t="s">
        <v>1122</v>
      </c>
      <c r="E106" s="161">
        <f>6+7</f>
        <v>13</v>
      </c>
      <c r="F106" s="22">
        <v>5.78</v>
      </c>
      <c r="G106" s="202">
        <f t="shared" si="11"/>
        <v>75.14</v>
      </c>
      <c r="H106" s="209"/>
      <c r="I106" s="209"/>
      <c r="J106" s="205"/>
      <c r="K106" s="209"/>
      <c r="L106" s="209"/>
      <c r="M106" s="209">
        <f t="shared" si="12"/>
        <v>13</v>
      </c>
      <c r="N106" s="209"/>
      <c r="O106" s="209" t="s">
        <v>946</v>
      </c>
      <c r="P106" s="205">
        <f t="shared" si="10"/>
        <v>75.14</v>
      </c>
      <c r="Q106" s="196"/>
    </row>
    <row r="107" spans="1:17" s="8" customFormat="1" ht="15.75" x14ac:dyDescent="0.25">
      <c r="A107" s="106" t="s">
        <v>335</v>
      </c>
      <c r="B107" s="201">
        <v>44193</v>
      </c>
      <c r="C107" s="203" t="s">
        <v>849</v>
      </c>
      <c r="D107" s="203" t="s">
        <v>1122</v>
      </c>
      <c r="E107" s="161">
        <v>1</v>
      </c>
      <c r="F107" s="22"/>
      <c r="G107" s="202">
        <f t="shared" si="11"/>
        <v>0</v>
      </c>
      <c r="H107" s="209"/>
      <c r="I107" s="209"/>
      <c r="J107" s="205"/>
      <c r="K107" s="209"/>
      <c r="L107" s="209"/>
      <c r="M107" s="209">
        <f t="shared" si="12"/>
        <v>1</v>
      </c>
      <c r="N107" s="209"/>
      <c r="O107" s="209" t="s">
        <v>946</v>
      </c>
      <c r="P107" s="205">
        <f t="shared" si="10"/>
        <v>0</v>
      </c>
      <c r="Q107" s="196"/>
    </row>
    <row r="108" spans="1:17" s="8" customFormat="1" ht="15.75" x14ac:dyDescent="0.25">
      <c r="A108" s="106" t="s">
        <v>336</v>
      </c>
      <c r="B108" s="201">
        <v>44193</v>
      </c>
      <c r="C108" s="203" t="s">
        <v>821</v>
      </c>
      <c r="D108" s="203" t="s">
        <v>1122</v>
      </c>
      <c r="E108" s="161">
        <v>9</v>
      </c>
      <c r="F108" s="22">
        <v>77.540000000000006</v>
      </c>
      <c r="G108" s="202">
        <f t="shared" si="11"/>
        <v>697.86</v>
      </c>
      <c r="H108" s="209"/>
      <c r="I108" s="209"/>
      <c r="J108" s="205"/>
      <c r="K108" s="209"/>
      <c r="L108" s="209"/>
      <c r="M108" s="209">
        <f t="shared" si="12"/>
        <v>9</v>
      </c>
      <c r="N108" s="209"/>
      <c r="O108" s="209" t="s">
        <v>946</v>
      </c>
      <c r="P108" s="205">
        <f t="shared" si="10"/>
        <v>697.86</v>
      </c>
      <c r="Q108" s="196"/>
    </row>
    <row r="109" spans="1:17" s="8" customFormat="1" ht="15.75" x14ac:dyDescent="0.25">
      <c r="A109" s="106" t="s">
        <v>337</v>
      </c>
      <c r="B109" s="201">
        <v>44193</v>
      </c>
      <c r="C109" s="203" t="s">
        <v>820</v>
      </c>
      <c r="D109" s="203" t="s">
        <v>1122</v>
      </c>
      <c r="E109" s="161">
        <v>21</v>
      </c>
      <c r="F109" s="22">
        <v>719.2</v>
      </c>
      <c r="G109" s="202">
        <f t="shared" si="11"/>
        <v>15103.2</v>
      </c>
      <c r="H109" s="209"/>
      <c r="I109" s="209"/>
      <c r="J109" s="205"/>
      <c r="K109" s="209"/>
      <c r="L109" s="209"/>
      <c r="M109" s="209">
        <f t="shared" si="12"/>
        <v>21</v>
      </c>
      <c r="N109" s="209"/>
      <c r="O109" s="209" t="s">
        <v>946</v>
      </c>
      <c r="P109" s="205">
        <f t="shared" si="10"/>
        <v>15103.2</v>
      </c>
      <c r="Q109" s="196"/>
    </row>
    <row r="110" spans="1:17" s="8" customFormat="1" ht="15.75" x14ac:dyDescent="0.25">
      <c r="A110" s="106" t="s">
        <v>338</v>
      </c>
      <c r="B110" s="201">
        <v>44193</v>
      </c>
      <c r="C110" s="203" t="s">
        <v>823</v>
      </c>
      <c r="D110" s="203" t="s">
        <v>1122</v>
      </c>
      <c r="E110" s="161">
        <v>3</v>
      </c>
      <c r="F110" s="22">
        <v>51</v>
      </c>
      <c r="G110" s="202">
        <f t="shared" si="11"/>
        <v>153</v>
      </c>
      <c r="H110" s="209"/>
      <c r="I110" s="209"/>
      <c r="J110" s="205"/>
      <c r="K110" s="209"/>
      <c r="L110" s="209"/>
      <c r="M110" s="209">
        <f>+E110+I110-L110</f>
        <v>3</v>
      </c>
      <c r="N110" s="209"/>
      <c r="O110" s="209" t="s">
        <v>946</v>
      </c>
      <c r="P110" s="205">
        <f t="shared" si="10"/>
        <v>153</v>
      </c>
      <c r="Q110" s="196"/>
    </row>
    <row r="111" spans="1:17" s="8" customFormat="1" ht="15.75" x14ac:dyDescent="0.25">
      <c r="A111" s="106" t="s">
        <v>339</v>
      </c>
      <c r="B111" s="201">
        <v>44193</v>
      </c>
      <c r="C111" s="203" t="s">
        <v>822</v>
      </c>
      <c r="D111" s="203" t="s">
        <v>1122</v>
      </c>
      <c r="E111" s="161">
        <v>12</v>
      </c>
      <c r="F111" s="22">
        <v>66.11</v>
      </c>
      <c r="G111" s="202">
        <f t="shared" si="11"/>
        <v>793.31999999999994</v>
      </c>
      <c r="H111" s="209"/>
      <c r="I111" s="209"/>
      <c r="J111" s="205"/>
      <c r="K111" s="209"/>
      <c r="L111" s="209"/>
      <c r="M111" s="209">
        <f t="shared" ref="M111:M175" si="13">+E111+I111-L111</f>
        <v>12</v>
      </c>
      <c r="N111" s="209"/>
      <c r="O111" s="209" t="s">
        <v>946</v>
      </c>
      <c r="P111" s="205">
        <f t="shared" si="10"/>
        <v>793.31999999999994</v>
      </c>
      <c r="Q111" s="196"/>
    </row>
    <row r="112" spans="1:17" s="8" customFormat="1" ht="15.75" x14ac:dyDescent="0.25">
      <c r="A112" s="106" t="s">
        <v>340</v>
      </c>
      <c r="B112" s="201">
        <v>44193</v>
      </c>
      <c r="C112" s="203" t="s">
        <v>802</v>
      </c>
      <c r="D112" s="203" t="s">
        <v>1122</v>
      </c>
      <c r="E112" s="161">
        <v>2</v>
      </c>
      <c r="F112" s="22">
        <v>70</v>
      </c>
      <c r="G112" s="202">
        <f t="shared" si="11"/>
        <v>140</v>
      </c>
      <c r="H112" s="209"/>
      <c r="I112" s="209"/>
      <c r="J112" s="205"/>
      <c r="K112" s="209"/>
      <c r="L112" s="209"/>
      <c r="M112" s="209">
        <f t="shared" si="13"/>
        <v>2</v>
      </c>
      <c r="N112" s="209"/>
      <c r="O112" s="209" t="s">
        <v>946</v>
      </c>
      <c r="P112" s="205">
        <f t="shared" si="10"/>
        <v>140</v>
      </c>
      <c r="Q112" s="196"/>
    </row>
    <row r="113" spans="1:17" s="8" customFormat="1" ht="15.75" x14ac:dyDescent="0.25">
      <c r="A113" s="106" t="s">
        <v>341</v>
      </c>
      <c r="B113" s="201">
        <v>44193</v>
      </c>
      <c r="C113" s="203" t="s">
        <v>804</v>
      </c>
      <c r="D113" s="203" t="s">
        <v>1122</v>
      </c>
      <c r="E113" s="161">
        <v>6</v>
      </c>
      <c r="F113" s="22">
        <v>450</v>
      </c>
      <c r="G113" s="202">
        <f t="shared" si="11"/>
        <v>2700</v>
      </c>
      <c r="H113" s="209"/>
      <c r="I113" s="209"/>
      <c r="J113" s="205"/>
      <c r="K113" s="209"/>
      <c r="L113" s="209">
        <v>1</v>
      </c>
      <c r="M113" s="209">
        <f t="shared" si="13"/>
        <v>5</v>
      </c>
      <c r="N113" s="209"/>
      <c r="O113" s="209" t="s">
        <v>946</v>
      </c>
      <c r="P113" s="205">
        <f t="shared" si="10"/>
        <v>2250</v>
      </c>
      <c r="Q113" s="196"/>
    </row>
    <row r="114" spans="1:17" s="8" customFormat="1" ht="15.75" x14ac:dyDescent="0.25">
      <c r="A114" s="106" t="s">
        <v>342</v>
      </c>
      <c r="B114" s="201">
        <v>44193</v>
      </c>
      <c r="C114" s="203" t="s">
        <v>801</v>
      </c>
      <c r="D114" s="203" t="s">
        <v>1122</v>
      </c>
      <c r="E114" s="161">
        <v>2</v>
      </c>
      <c r="F114" s="22">
        <v>719.2</v>
      </c>
      <c r="G114" s="202">
        <f t="shared" si="11"/>
        <v>1438.4</v>
      </c>
      <c r="H114" s="209"/>
      <c r="I114" s="209"/>
      <c r="J114" s="205"/>
      <c r="K114" s="209"/>
      <c r="L114" s="209">
        <v>2</v>
      </c>
      <c r="M114" s="209">
        <f t="shared" si="13"/>
        <v>0</v>
      </c>
      <c r="N114" s="209"/>
      <c r="O114" s="209" t="s">
        <v>946</v>
      </c>
      <c r="P114" s="205">
        <f t="shared" si="10"/>
        <v>0</v>
      </c>
      <c r="Q114" s="196"/>
    </row>
    <row r="115" spans="1:17" s="8" customFormat="1" ht="15.75" x14ac:dyDescent="0.25">
      <c r="A115" s="106" t="s">
        <v>343</v>
      </c>
      <c r="B115" s="201">
        <v>44193</v>
      </c>
      <c r="C115" s="203" t="s">
        <v>616</v>
      </c>
      <c r="D115" s="203" t="s">
        <v>1122</v>
      </c>
      <c r="E115" s="160">
        <v>0</v>
      </c>
      <c r="F115" s="22">
        <v>2950</v>
      </c>
      <c r="G115" s="202">
        <f t="shared" si="11"/>
        <v>0</v>
      </c>
      <c r="H115" s="209"/>
      <c r="I115" s="209"/>
      <c r="J115" s="205"/>
      <c r="K115" s="209"/>
      <c r="L115" s="209"/>
      <c r="M115" s="209">
        <f t="shared" si="13"/>
        <v>0</v>
      </c>
      <c r="N115" s="209"/>
      <c r="O115" s="209" t="s">
        <v>946</v>
      </c>
      <c r="P115" s="205">
        <f t="shared" si="10"/>
        <v>0</v>
      </c>
      <c r="Q115" s="196"/>
    </row>
    <row r="116" spans="1:17" s="8" customFormat="1" ht="15.75" x14ac:dyDescent="0.25">
      <c r="A116" s="106" t="s">
        <v>344</v>
      </c>
      <c r="B116" s="201">
        <v>44193</v>
      </c>
      <c r="C116" s="203" t="s">
        <v>617</v>
      </c>
      <c r="D116" s="203" t="s">
        <v>1122</v>
      </c>
      <c r="E116" s="160">
        <v>5</v>
      </c>
      <c r="F116" s="22">
        <v>29</v>
      </c>
      <c r="G116" s="202">
        <f t="shared" si="11"/>
        <v>145</v>
      </c>
      <c r="H116" s="209"/>
      <c r="I116" s="209"/>
      <c r="J116" s="205"/>
      <c r="K116" s="209"/>
      <c r="L116" s="209">
        <v>4</v>
      </c>
      <c r="M116" s="209">
        <f t="shared" si="13"/>
        <v>1</v>
      </c>
      <c r="N116" s="209"/>
      <c r="O116" s="209" t="s">
        <v>946</v>
      </c>
      <c r="P116" s="205">
        <f t="shared" si="10"/>
        <v>29</v>
      </c>
      <c r="Q116" s="196"/>
    </row>
    <row r="117" spans="1:17" s="8" customFormat="1" ht="15.75" x14ac:dyDescent="0.25">
      <c r="A117" s="106" t="s">
        <v>345</v>
      </c>
      <c r="B117" s="201">
        <v>45042</v>
      </c>
      <c r="C117" s="203" t="s">
        <v>1283</v>
      </c>
      <c r="D117" s="203" t="s">
        <v>1122</v>
      </c>
      <c r="E117" s="161">
        <f>12*4</f>
        <v>48</v>
      </c>
      <c r="F117" s="214">
        <v>22</v>
      </c>
      <c r="G117" s="202">
        <f t="shared" si="11"/>
        <v>1056</v>
      </c>
      <c r="H117" s="209"/>
      <c r="I117" s="209"/>
      <c r="J117" s="205"/>
      <c r="K117" s="209"/>
      <c r="L117" s="209">
        <f>1+4</f>
        <v>5</v>
      </c>
      <c r="M117" s="209">
        <f t="shared" si="13"/>
        <v>43</v>
      </c>
      <c r="N117" s="209"/>
      <c r="O117" s="209" t="s">
        <v>947</v>
      </c>
      <c r="P117" s="205">
        <f t="shared" si="10"/>
        <v>946</v>
      </c>
      <c r="Q117" s="196"/>
    </row>
    <row r="118" spans="1:17" s="92" customFormat="1" x14ac:dyDescent="0.3">
      <c r="A118" s="106" t="s">
        <v>346</v>
      </c>
      <c r="B118" s="201">
        <v>44193</v>
      </c>
      <c r="C118" s="203" t="s">
        <v>619</v>
      </c>
      <c r="D118" s="203" t="s">
        <v>1122</v>
      </c>
      <c r="E118" s="160">
        <v>12</v>
      </c>
      <c r="F118" s="22">
        <v>155</v>
      </c>
      <c r="G118" s="202">
        <f t="shared" si="11"/>
        <v>1860</v>
      </c>
      <c r="H118" s="209"/>
      <c r="I118" s="209"/>
      <c r="J118" s="205"/>
      <c r="K118" s="209"/>
      <c r="L118" s="209">
        <f>2+1+1+1+1+1+1+1+3</f>
        <v>12</v>
      </c>
      <c r="M118" s="209">
        <f t="shared" si="13"/>
        <v>0</v>
      </c>
      <c r="N118" s="209"/>
      <c r="O118" s="209" t="s">
        <v>945</v>
      </c>
      <c r="P118" s="205">
        <f t="shared" si="10"/>
        <v>0</v>
      </c>
      <c r="Q118" s="213"/>
    </row>
    <row r="119" spans="1:17" s="92" customFormat="1" x14ac:dyDescent="0.3">
      <c r="A119" s="106" t="s">
        <v>347</v>
      </c>
      <c r="B119" s="201">
        <v>44777</v>
      </c>
      <c r="C119" s="203" t="s">
        <v>620</v>
      </c>
      <c r="D119" s="203" t="s">
        <v>1122</v>
      </c>
      <c r="E119" s="160">
        <v>90</v>
      </c>
      <c r="F119" s="22">
        <v>71.95</v>
      </c>
      <c r="G119" s="202">
        <f t="shared" si="11"/>
        <v>6475.5</v>
      </c>
      <c r="H119" s="209"/>
      <c r="I119" s="209"/>
      <c r="J119" s="205"/>
      <c r="K119" s="209"/>
      <c r="L119" s="209">
        <v>90</v>
      </c>
      <c r="M119" s="209">
        <f t="shared" si="13"/>
        <v>0</v>
      </c>
      <c r="N119" s="209"/>
      <c r="O119" s="209" t="s">
        <v>945</v>
      </c>
      <c r="P119" s="205">
        <f t="shared" si="10"/>
        <v>0</v>
      </c>
      <c r="Q119" s="213"/>
    </row>
    <row r="120" spans="1:17" s="8" customFormat="1" ht="15.75" x14ac:dyDescent="0.25">
      <c r="A120" s="106" t="s">
        <v>348</v>
      </c>
      <c r="B120" s="201">
        <v>44193</v>
      </c>
      <c r="C120" s="203" t="s">
        <v>626</v>
      </c>
      <c r="D120" s="203" t="s">
        <v>1122</v>
      </c>
      <c r="E120" s="160">
        <v>0</v>
      </c>
      <c r="F120" s="22">
        <v>190.68</v>
      </c>
      <c r="G120" s="202">
        <f t="shared" si="11"/>
        <v>0</v>
      </c>
      <c r="H120" s="209"/>
      <c r="I120" s="209"/>
      <c r="J120" s="205"/>
      <c r="K120" s="209"/>
      <c r="L120" s="209"/>
      <c r="M120" s="209">
        <f t="shared" si="13"/>
        <v>0</v>
      </c>
      <c r="N120" s="209"/>
      <c r="O120" s="209" t="s">
        <v>946</v>
      </c>
      <c r="P120" s="205">
        <f t="shared" si="10"/>
        <v>0</v>
      </c>
      <c r="Q120" s="196"/>
    </row>
    <row r="121" spans="1:17" s="92" customFormat="1" x14ac:dyDescent="0.3">
      <c r="A121" s="106" t="s">
        <v>349</v>
      </c>
      <c r="B121" s="201">
        <v>44851</v>
      </c>
      <c r="C121" s="203" t="s">
        <v>621</v>
      </c>
      <c r="D121" s="203" t="s">
        <v>1122</v>
      </c>
      <c r="E121" s="160">
        <v>1</v>
      </c>
      <c r="F121" s="22">
        <v>1187.08</v>
      </c>
      <c r="G121" s="202">
        <f t="shared" si="11"/>
        <v>1187.08</v>
      </c>
      <c r="H121" s="204">
        <v>44851</v>
      </c>
      <c r="I121" s="209">
        <v>20</v>
      </c>
      <c r="J121" s="205">
        <v>1187.08</v>
      </c>
      <c r="K121" s="206">
        <f>+I121*J121</f>
        <v>23741.599999999999</v>
      </c>
      <c r="L121" s="209">
        <v>12</v>
      </c>
      <c r="M121" s="209">
        <f t="shared" si="13"/>
        <v>9</v>
      </c>
      <c r="N121" s="209"/>
      <c r="O121" s="209" t="s">
        <v>945</v>
      </c>
      <c r="P121" s="205">
        <f t="shared" si="10"/>
        <v>10683.72</v>
      </c>
      <c r="Q121" s="213"/>
    </row>
    <row r="122" spans="1:17" s="92" customFormat="1" x14ac:dyDescent="0.3">
      <c r="A122" s="106" t="s">
        <v>350</v>
      </c>
      <c r="B122" s="201">
        <v>44193</v>
      </c>
      <c r="C122" s="203" t="s">
        <v>622</v>
      </c>
      <c r="D122" s="203" t="s">
        <v>1122</v>
      </c>
      <c r="E122" s="160">
        <v>0</v>
      </c>
      <c r="F122" s="22">
        <v>1400</v>
      </c>
      <c r="G122" s="202">
        <f t="shared" si="11"/>
        <v>0</v>
      </c>
      <c r="H122" s="209"/>
      <c r="I122" s="209"/>
      <c r="J122" s="205"/>
      <c r="K122" s="209"/>
      <c r="L122" s="209"/>
      <c r="M122" s="209">
        <f t="shared" si="13"/>
        <v>0</v>
      </c>
      <c r="N122" s="209"/>
      <c r="O122" s="209" t="s">
        <v>945</v>
      </c>
      <c r="P122" s="205">
        <f t="shared" si="10"/>
        <v>0</v>
      </c>
      <c r="Q122" s="213"/>
    </row>
    <row r="123" spans="1:17" s="92" customFormat="1" x14ac:dyDescent="0.3">
      <c r="A123" s="106" t="s">
        <v>351</v>
      </c>
      <c r="B123" s="201">
        <v>44456</v>
      </c>
      <c r="C123" s="203" t="s">
        <v>623</v>
      </c>
      <c r="D123" s="203" t="s">
        <v>1122</v>
      </c>
      <c r="E123" s="160">
        <v>13</v>
      </c>
      <c r="F123" s="22">
        <v>1099</v>
      </c>
      <c r="G123" s="202">
        <f t="shared" si="11"/>
        <v>14287</v>
      </c>
      <c r="H123" s="209"/>
      <c r="I123" s="209"/>
      <c r="J123" s="205"/>
      <c r="K123" s="209"/>
      <c r="L123" s="209">
        <v>7</v>
      </c>
      <c r="M123" s="209">
        <f t="shared" si="13"/>
        <v>6</v>
      </c>
      <c r="N123" s="209"/>
      <c r="O123" s="209" t="s">
        <v>945</v>
      </c>
      <c r="P123" s="205">
        <f t="shared" si="10"/>
        <v>6594</v>
      </c>
      <c r="Q123" s="213"/>
    </row>
    <row r="124" spans="1:17" s="92" customFormat="1" x14ac:dyDescent="0.3">
      <c r="A124" s="106" t="s">
        <v>352</v>
      </c>
      <c r="B124" s="201">
        <v>44456</v>
      </c>
      <c r="C124" s="203" t="s">
        <v>767</v>
      </c>
      <c r="D124" s="203" t="s">
        <v>1122</v>
      </c>
      <c r="E124" s="160">
        <v>18</v>
      </c>
      <c r="F124" s="22">
        <v>4000</v>
      </c>
      <c r="G124" s="202">
        <f t="shared" si="11"/>
        <v>72000</v>
      </c>
      <c r="H124" s="209"/>
      <c r="I124" s="209"/>
      <c r="J124" s="205"/>
      <c r="K124" s="209"/>
      <c r="L124" s="209">
        <f>4+4+3</f>
        <v>11</v>
      </c>
      <c r="M124" s="209">
        <f t="shared" si="13"/>
        <v>7</v>
      </c>
      <c r="N124" s="209"/>
      <c r="O124" s="209" t="s">
        <v>945</v>
      </c>
      <c r="P124" s="205">
        <f t="shared" si="10"/>
        <v>28000</v>
      </c>
      <c r="Q124" s="213"/>
    </row>
    <row r="125" spans="1:17" s="92" customFormat="1" x14ac:dyDescent="0.3">
      <c r="A125" s="106" t="s">
        <v>353</v>
      </c>
      <c r="B125" s="201">
        <v>44193</v>
      </c>
      <c r="C125" s="203" t="s">
        <v>625</v>
      </c>
      <c r="D125" s="203" t="s">
        <v>1122</v>
      </c>
      <c r="E125" s="160">
        <v>5</v>
      </c>
      <c r="F125" s="22">
        <v>1400</v>
      </c>
      <c r="G125" s="202">
        <f t="shared" si="11"/>
        <v>7000</v>
      </c>
      <c r="H125" s="209"/>
      <c r="I125" s="209"/>
      <c r="J125" s="205"/>
      <c r="K125" s="209"/>
      <c r="L125" s="209"/>
      <c r="M125" s="209">
        <f t="shared" si="13"/>
        <v>5</v>
      </c>
      <c r="N125" s="209"/>
      <c r="O125" s="209" t="s">
        <v>945</v>
      </c>
      <c r="P125" s="205">
        <f t="shared" si="10"/>
        <v>7000</v>
      </c>
      <c r="Q125" s="213"/>
    </row>
    <row r="126" spans="1:17" s="8" customFormat="1" ht="15.75" x14ac:dyDescent="0.25">
      <c r="A126" s="106" t="s">
        <v>354</v>
      </c>
      <c r="B126" s="160" t="s">
        <v>106</v>
      </c>
      <c r="C126" s="207" t="s">
        <v>627</v>
      </c>
      <c r="D126" s="203" t="s">
        <v>1122</v>
      </c>
      <c r="E126" s="208">
        <v>100</v>
      </c>
      <c r="F126" s="22">
        <v>28</v>
      </c>
      <c r="G126" s="202">
        <f t="shared" si="11"/>
        <v>2800</v>
      </c>
      <c r="H126" s="209"/>
      <c r="I126" s="209"/>
      <c r="J126" s="205"/>
      <c r="K126" s="209"/>
      <c r="L126" s="209"/>
      <c r="M126" s="209">
        <f t="shared" si="13"/>
        <v>100</v>
      </c>
      <c r="N126" s="209"/>
      <c r="O126" s="209" t="s">
        <v>947</v>
      </c>
      <c r="P126" s="205">
        <f t="shared" si="10"/>
        <v>2800</v>
      </c>
      <c r="Q126" s="196"/>
    </row>
    <row r="127" spans="1:17" s="8" customFormat="1" ht="15.75" x14ac:dyDescent="0.25">
      <c r="A127" s="106" t="s">
        <v>355</v>
      </c>
      <c r="B127" s="160" t="s">
        <v>114</v>
      </c>
      <c r="C127" s="203" t="s">
        <v>80</v>
      </c>
      <c r="D127" s="203" t="s">
        <v>1122</v>
      </c>
      <c r="E127" s="160">
        <v>0</v>
      </c>
      <c r="F127" s="214">
        <v>85</v>
      </c>
      <c r="G127" s="202">
        <f t="shared" si="11"/>
        <v>0</v>
      </c>
      <c r="H127" s="209"/>
      <c r="I127" s="209"/>
      <c r="J127" s="205"/>
      <c r="K127" s="209"/>
      <c r="L127" s="209"/>
      <c r="M127" s="209">
        <f t="shared" si="13"/>
        <v>0</v>
      </c>
      <c r="N127" s="209"/>
      <c r="O127" s="209" t="s">
        <v>946</v>
      </c>
      <c r="P127" s="205">
        <f t="shared" si="10"/>
        <v>0</v>
      </c>
      <c r="Q127" s="196"/>
    </row>
    <row r="128" spans="1:17" s="8" customFormat="1" ht="15.75" x14ac:dyDescent="0.25">
      <c r="A128" s="106" t="s">
        <v>356</v>
      </c>
      <c r="B128" s="201">
        <v>44193</v>
      </c>
      <c r="C128" s="203" t="s">
        <v>628</v>
      </c>
      <c r="D128" s="203" t="s">
        <v>1122</v>
      </c>
      <c r="E128" s="160">
        <v>1</v>
      </c>
      <c r="F128" s="22">
        <v>550</v>
      </c>
      <c r="G128" s="202">
        <f t="shared" si="11"/>
        <v>550</v>
      </c>
      <c r="H128" s="209"/>
      <c r="I128" s="209"/>
      <c r="J128" s="205"/>
      <c r="K128" s="209"/>
      <c r="L128" s="209"/>
      <c r="M128" s="209">
        <f t="shared" si="13"/>
        <v>1</v>
      </c>
      <c r="N128" s="209"/>
      <c r="O128" s="209" t="s">
        <v>946</v>
      </c>
      <c r="P128" s="205">
        <f t="shared" si="10"/>
        <v>550</v>
      </c>
      <c r="Q128" s="196"/>
    </row>
    <row r="129" spans="1:17" s="92" customFormat="1" x14ac:dyDescent="0.3">
      <c r="A129" s="106" t="s">
        <v>357</v>
      </c>
      <c r="B129" s="201">
        <v>44193</v>
      </c>
      <c r="C129" s="203" t="s">
        <v>629</v>
      </c>
      <c r="D129" s="203" t="s">
        <v>1122</v>
      </c>
      <c r="E129" s="160">
        <v>0</v>
      </c>
      <c r="F129" s="22">
        <v>60</v>
      </c>
      <c r="G129" s="202">
        <f t="shared" si="11"/>
        <v>0</v>
      </c>
      <c r="H129" s="209"/>
      <c r="I129" s="209"/>
      <c r="J129" s="205"/>
      <c r="K129" s="209"/>
      <c r="L129" s="209"/>
      <c r="M129" s="209">
        <f t="shared" si="13"/>
        <v>0</v>
      </c>
      <c r="N129" s="209"/>
      <c r="O129" s="209" t="s">
        <v>945</v>
      </c>
      <c r="P129" s="205">
        <f t="shared" si="10"/>
        <v>0</v>
      </c>
      <c r="Q129" s="213"/>
    </row>
    <row r="130" spans="1:17" s="92" customFormat="1" x14ac:dyDescent="0.3">
      <c r="A130" s="106" t="s">
        <v>358</v>
      </c>
      <c r="B130" s="201">
        <v>45019</v>
      </c>
      <c r="C130" s="203" t="s">
        <v>631</v>
      </c>
      <c r="D130" s="203" t="s">
        <v>1122</v>
      </c>
      <c r="E130" s="160">
        <f>7*12</f>
        <v>84</v>
      </c>
      <c r="F130" s="22">
        <v>115.53</v>
      </c>
      <c r="G130" s="202">
        <f t="shared" si="11"/>
        <v>9704.52</v>
      </c>
      <c r="H130" s="209"/>
      <c r="I130" s="209"/>
      <c r="J130" s="205"/>
      <c r="K130" s="209"/>
      <c r="L130" s="209">
        <f>2+1+2+1+1+1+1+1+1</f>
        <v>11</v>
      </c>
      <c r="M130" s="209">
        <f>+E130+I130-L130</f>
        <v>73</v>
      </c>
      <c r="N130" s="209"/>
      <c r="O130" s="209" t="s">
        <v>945</v>
      </c>
      <c r="P130" s="205">
        <f t="shared" si="10"/>
        <v>8433.69</v>
      </c>
      <c r="Q130" s="213"/>
    </row>
    <row r="131" spans="1:17" s="92" customFormat="1" x14ac:dyDescent="0.3">
      <c r="A131" s="106" t="s">
        <v>359</v>
      </c>
      <c r="B131" s="201">
        <v>44656</v>
      </c>
      <c r="C131" s="203" t="s">
        <v>632</v>
      </c>
      <c r="D131" s="203" t="s">
        <v>1122</v>
      </c>
      <c r="E131" s="160">
        <v>12</v>
      </c>
      <c r="F131" s="22">
        <v>128.62</v>
      </c>
      <c r="G131" s="202">
        <f t="shared" si="11"/>
        <v>1543.44</v>
      </c>
      <c r="H131" s="209"/>
      <c r="I131" s="209"/>
      <c r="J131" s="205"/>
      <c r="K131" s="209"/>
      <c r="L131" s="209">
        <v>12</v>
      </c>
      <c r="M131" s="209">
        <f t="shared" si="13"/>
        <v>0</v>
      </c>
      <c r="N131" s="209"/>
      <c r="O131" s="209" t="s">
        <v>945</v>
      </c>
      <c r="P131" s="205">
        <f t="shared" si="10"/>
        <v>0</v>
      </c>
      <c r="Q131" s="213"/>
    </row>
    <row r="132" spans="1:17" s="92" customFormat="1" x14ac:dyDescent="0.3">
      <c r="A132" s="106" t="s">
        <v>360</v>
      </c>
      <c r="B132" s="201">
        <v>44659</v>
      </c>
      <c r="C132" s="203" t="s">
        <v>633</v>
      </c>
      <c r="D132" s="203" t="s">
        <v>1122</v>
      </c>
      <c r="E132" s="160">
        <v>41</v>
      </c>
      <c r="F132" s="22">
        <v>325</v>
      </c>
      <c r="G132" s="202">
        <f t="shared" si="11"/>
        <v>13325</v>
      </c>
      <c r="H132" s="209"/>
      <c r="I132" s="209"/>
      <c r="J132" s="205"/>
      <c r="K132" s="209"/>
      <c r="L132" s="209"/>
      <c r="M132" s="209">
        <f t="shared" si="13"/>
        <v>41</v>
      </c>
      <c r="N132" s="209"/>
      <c r="O132" s="209" t="s">
        <v>945</v>
      </c>
      <c r="P132" s="205">
        <f t="shared" si="10"/>
        <v>13325</v>
      </c>
      <c r="Q132" s="213"/>
    </row>
    <row r="133" spans="1:17" s="8" customFormat="1" ht="15.75" x14ac:dyDescent="0.25">
      <c r="A133" s="106" t="s">
        <v>361</v>
      </c>
      <c r="B133" s="201"/>
      <c r="C133" s="203" t="s">
        <v>861</v>
      </c>
      <c r="D133" s="203" t="s">
        <v>1122</v>
      </c>
      <c r="E133" s="161">
        <f>8+48</f>
        <v>56</v>
      </c>
      <c r="F133" s="22"/>
      <c r="G133" s="202">
        <f t="shared" ref="G133:G138" si="14">+E133*F133</f>
        <v>0</v>
      </c>
      <c r="H133" s="209"/>
      <c r="I133" s="209"/>
      <c r="J133" s="205"/>
      <c r="K133" s="209"/>
      <c r="L133" s="209"/>
      <c r="M133" s="209">
        <f t="shared" si="13"/>
        <v>56</v>
      </c>
      <c r="N133" s="209"/>
      <c r="O133" s="209" t="s">
        <v>947</v>
      </c>
      <c r="P133" s="205">
        <f t="shared" si="10"/>
        <v>0</v>
      </c>
      <c r="Q133" s="196"/>
    </row>
    <row r="134" spans="1:17" s="8" customFormat="1" ht="15.75" x14ac:dyDescent="0.25">
      <c r="A134" s="106" t="s">
        <v>362</v>
      </c>
      <c r="B134" s="201"/>
      <c r="C134" s="203" t="s">
        <v>862</v>
      </c>
      <c r="D134" s="203" t="s">
        <v>1122</v>
      </c>
      <c r="E134" s="161">
        <v>74</v>
      </c>
      <c r="F134" s="22"/>
      <c r="G134" s="202">
        <f t="shared" si="14"/>
        <v>0</v>
      </c>
      <c r="H134" s="209"/>
      <c r="I134" s="209"/>
      <c r="J134" s="205"/>
      <c r="K134" s="209"/>
      <c r="L134" s="209"/>
      <c r="M134" s="209">
        <f t="shared" si="13"/>
        <v>74</v>
      </c>
      <c r="N134" s="209"/>
      <c r="O134" s="209" t="s">
        <v>947</v>
      </c>
      <c r="P134" s="205">
        <f t="shared" si="10"/>
        <v>0</v>
      </c>
      <c r="Q134" s="196"/>
    </row>
    <row r="135" spans="1:17" s="8" customFormat="1" ht="15.75" x14ac:dyDescent="0.25">
      <c r="A135" s="106" t="s">
        <v>363</v>
      </c>
      <c r="B135" s="201"/>
      <c r="C135" s="203" t="s">
        <v>863</v>
      </c>
      <c r="D135" s="203" t="s">
        <v>1122</v>
      </c>
      <c r="E135" s="161">
        <f>79+33+106</f>
        <v>218</v>
      </c>
      <c r="F135" s="22"/>
      <c r="G135" s="202">
        <f t="shared" si="14"/>
        <v>0</v>
      </c>
      <c r="H135" s="209"/>
      <c r="I135" s="209"/>
      <c r="J135" s="205"/>
      <c r="K135" s="209"/>
      <c r="L135" s="209"/>
      <c r="M135" s="209">
        <f t="shared" si="13"/>
        <v>218</v>
      </c>
      <c r="N135" s="209"/>
      <c r="O135" s="209" t="s">
        <v>947</v>
      </c>
      <c r="P135" s="205">
        <f t="shared" si="10"/>
        <v>0</v>
      </c>
      <c r="Q135" s="196"/>
    </row>
    <row r="136" spans="1:17" s="8" customFormat="1" ht="15.75" x14ac:dyDescent="0.25">
      <c r="A136" s="106" t="s">
        <v>364</v>
      </c>
      <c r="B136" s="201"/>
      <c r="C136" s="203" t="s">
        <v>864</v>
      </c>
      <c r="D136" s="203" t="s">
        <v>1122</v>
      </c>
      <c r="E136" s="161">
        <v>46</v>
      </c>
      <c r="F136" s="22"/>
      <c r="G136" s="202">
        <f t="shared" si="14"/>
        <v>0</v>
      </c>
      <c r="H136" s="209"/>
      <c r="I136" s="209"/>
      <c r="J136" s="205"/>
      <c r="K136" s="209"/>
      <c r="L136" s="209"/>
      <c r="M136" s="209">
        <f t="shared" si="13"/>
        <v>46</v>
      </c>
      <c r="N136" s="209"/>
      <c r="O136" s="209" t="s">
        <v>947</v>
      </c>
      <c r="P136" s="205">
        <f t="shared" si="10"/>
        <v>0</v>
      </c>
      <c r="Q136" s="196"/>
    </row>
    <row r="137" spans="1:17" s="8" customFormat="1" ht="15.75" x14ac:dyDescent="0.25">
      <c r="A137" s="106" t="s">
        <v>365</v>
      </c>
      <c r="B137" s="201"/>
      <c r="C137" s="203" t="s">
        <v>865</v>
      </c>
      <c r="D137" s="203" t="s">
        <v>1122</v>
      </c>
      <c r="E137" s="161">
        <v>41</v>
      </c>
      <c r="F137" s="22"/>
      <c r="G137" s="202">
        <f t="shared" si="14"/>
        <v>0</v>
      </c>
      <c r="H137" s="209"/>
      <c r="I137" s="209"/>
      <c r="J137" s="205"/>
      <c r="K137" s="209"/>
      <c r="L137" s="209"/>
      <c r="M137" s="209">
        <f t="shared" si="13"/>
        <v>41</v>
      </c>
      <c r="N137" s="209"/>
      <c r="O137" s="209" t="s">
        <v>947</v>
      </c>
      <c r="P137" s="205">
        <f t="shared" si="10"/>
        <v>0</v>
      </c>
      <c r="Q137" s="196"/>
    </row>
    <row r="138" spans="1:17" s="8" customFormat="1" ht="15.75" x14ac:dyDescent="0.25">
      <c r="A138" s="106" t="s">
        <v>366</v>
      </c>
      <c r="B138" s="201"/>
      <c r="C138" s="203" t="s">
        <v>866</v>
      </c>
      <c r="D138" s="203" t="s">
        <v>1122</v>
      </c>
      <c r="E138" s="161">
        <f>34+1</f>
        <v>35</v>
      </c>
      <c r="F138" s="22"/>
      <c r="G138" s="202">
        <f t="shared" si="14"/>
        <v>0</v>
      </c>
      <c r="H138" s="209"/>
      <c r="I138" s="209"/>
      <c r="J138" s="205"/>
      <c r="K138" s="209"/>
      <c r="L138" s="209"/>
      <c r="M138" s="209">
        <f t="shared" si="13"/>
        <v>35</v>
      </c>
      <c r="N138" s="209"/>
      <c r="O138" s="209" t="s">
        <v>947</v>
      </c>
      <c r="P138" s="205">
        <f t="shared" si="10"/>
        <v>0</v>
      </c>
      <c r="Q138" s="196"/>
    </row>
    <row r="139" spans="1:17" s="92" customFormat="1" x14ac:dyDescent="0.3">
      <c r="A139" s="106" t="s">
        <v>367</v>
      </c>
      <c r="B139" s="201">
        <v>44748</v>
      </c>
      <c r="C139" s="203" t="s">
        <v>719</v>
      </c>
      <c r="D139" s="203" t="s">
        <v>1122</v>
      </c>
      <c r="E139" s="160"/>
      <c r="F139" s="214">
        <v>161.66999999999999</v>
      </c>
      <c r="G139" s="202">
        <f>E139*F139</f>
        <v>0</v>
      </c>
      <c r="H139" s="204">
        <v>44748</v>
      </c>
      <c r="I139" s="205">
        <f>3*6</f>
        <v>18</v>
      </c>
      <c r="J139" s="205">
        <v>161.66666666666666</v>
      </c>
      <c r="K139" s="206">
        <f>+I139*J139</f>
        <v>2910</v>
      </c>
      <c r="L139" s="209">
        <v>18</v>
      </c>
      <c r="M139" s="209">
        <f t="shared" si="13"/>
        <v>0</v>
      </c>
      <c r="N139" s="209"/>
      <c r="O139" s="209" t="s">
        <v>945</v>
      </c>
      <c r="P139" s="205">
        <f t="shared" si="10"/>
        <v>0</v>
      </c>
      <c r="Q139" s="213"/>
    </row>
    <row r="140" spans="1:17" s="8" customFormat="1" ht="15.75" x14ac:dyDescent="0.25">
      <c r="A140" s="106" t="s">
        <v>368</v>
      </c>
      <c r="B140" s="201">
        <v>44193</v>
      </c>
      <c r="C140" s="203" t="s">
        <v>813</v>
      </c>
      <c r="D140" s="203" t="s">
        <v>1122</v>
      </c>
      <c r="E140" s="160">
        <v>8</v>
      </c>
      <c r="F140" s="22">
        <v>1375</v>
      </c>
      <c r="G140" s="202">
        <f>E140*F140</f>
        <v>11000</v>
      </c>
      <c r="H140" s="209"/>
      <c r="I140" s="209"/>
      <c r="J140" s="205"/>
      <c r="K140" s="209"/>
      <c r="L140" s="209"/>
      <c r="M140" s="209">
        <f t="shared" si="13"/>
        <v>8</v>
      </c>
      <c r="N140" s="209"/>
      <c r="O140" s="209" t="s">
        <v>946</v>
      </c>
      <c r="P140" s="205">
        <f t="shared" si="10"/>
        <v>11000</v>
      </c>
      <c r="Q140" s="196"/>
    </row>
    <row r="141" spans="1:17" s="8" customFormat="1" ht="15.75" x14ac:dyDescent="0.25">
      <c r="A141" s="106" t="s">
        <v>369</v>
      </c>
      <c r="B141" s="160" t="s">
        <v>114</v>
      </c>
      <c r="C141" s="203" t="s">
        <v>642</v>
      </c>
      <c r="D141" s="203" t="s">
        <v>1122</v>
      </c>
      <c r="E141" s="160">
        <v>8</v>
      </c>
      <c r="F141" s="22">
        <v>1375</v>
      </c>
      <c r="G141" s="202">
        <f>E141*F141</f>
        <v>11000</v>
      </c>
      <c r="H141" s="209"/>
      <c r="I141" s="209"/>
      <c r="J141" s="205"/>
      <c r="K141" s="209"/>
      <c r="L141" s="209">
        <v>1</v>
      </c>
      <c r="M141" s="209">
        <f t="shared" si="13"/>
        <v>7</v>
      </c>
      <c r="N141" s="209"/>
      <c r="O141" s="209" t="s">
        <v>946</v>
      </c>
      <c r="P141" s="205">
        <f t="shared" si="10"/>
        <v>9625</v>
      </c>
      <c r="Q141" s="196"/>
    </row>
    <row r="142" spans="1:17" s="8" customFormat="1" ht="15.75" x14ac:dyDescent="0.25">
      <c r="A142" s="106" t="s">
        <v>370</v>
      </c>
      <c r="B142" s="201"/>
      <c r="C142" s="203" t="s">
        <v>833</v>
      </c>
      <c r="D142" s="203" t="s">
        <v>1122</v>
      </c>
      <c r="E142" s="160">
        <v>7</v>
      </c>
      <c r="F142" s="22"/>
      <c r="G142" s="202"/>
      <c r="H142" s="209"/>
      <c r="I142" s="209"/>
      <c r="J142" s="205"/>
      <c r="K142" s="209"/>
      <c r="L142" s="209"/>
      <c r="M142" s="209">
        <f t="shared" si="13"/>
        <v>7</v>
      </c>
      <c r="N142" s="209"/>
      <c r="O142" s="209" t="s">
        <v>946</v>
      </c>
      <c r="P142" s="205">
        <f t="shared" si="10"/>
        <v>0</v>
      </c>
      <c r="Q142" s="196"/>
    </row>
    <row r="143" spans="1:17" s="8" customFormat="1" ht="15.75" x14ac:dyDescent="0.25">
      <c r="A143" s="106" t="s">
        <v>371</v>
      </c>
      <c r="B143" s="201">
        <v>44193</v>
      </c>
      <c r="C143" s="203" t="s">
        <v>643</v>
      </c>
      <c r="D143" s="203" t="s">
        <v>1122</v>
      </c>
      <c r="E143" s="160">
        <v>4</v>
      </c>
      <c r="F143" s="22">
        <v>1375</v>
      </c>
      <c r="G143" s="202">
        <f>E143*F143</f>
        <v>5500</v>
      </c>
      <c r="H143" s="209"/>
      <c r="I143" s="209"/>
      <c r="J143" s="205"/>
      <c r="K143" s="209"/>
      <c r="L143" s="209"/>
      <c r="M143" s="209">
        <f t="shared" si="13"/>
        <v>4</v>
      </c>
      <c r="N143" s="209"/>
      <c r="O143" s="209" t="s">
        <v>946</v>
      </c>
      <c r="P143" s="205">
        <f t="shared" si="10"/>
        <v>5500</v>
      </c>
      <c r="Q143" s="196"/>
    </row>
    <row r="144" spans="1:17" s="8" customFormat="1" ht="15.75" x14ac:dyDescent="0.25">
      <c r="A144" s="106" t="s">
        <v>372</v>
      </c>
      <c r="B144" s="160"/>
      <c r="C144" s="203" t="s">
        <v>816</v>
      </c>
      <c r="D144" s="203" t="s">
        <v>1122</v>
      </c>
      <c r="E144" s="160">
        <v>2</v>
      </c>
      <c r="F144" s="22"/>
      <c r="G144" s="202"/>
      <c r="H144" s="209"/>
      <c r="I144" s="209"/>
      <c r="J144" s="205"/>
      <c r="K144" s="209"/>
      <c r="L144" s="209"/>
      <c r="M144" s="209">
        <f t="shared" si="13"/>
        <v>2</v>
      </c>
      <c r="N144" s="209"/>
      <c r="O144" s="209" t="s">
        <v>946</v>
      </c>
      <c r="P144" s="205">
        <f t="shared" si="10"/>
        <v>0</v>
      </c>
      <c r="Q144" s="196"/>
    </row>
    <row r="145" spans="1:17" s="8" customFormat="1" ht="15.75" x14ac:dyDescent="0.25">
      <c r="A145" s="106" t="s">
        <v>373</v>
      </c>
      <c r="B145" s="201"/>
      <c r="C145" s="203" t="s">
        <v>829</v>
      </c>
      <c r="D145" s="203" t="s">
        <v>1122</v>
      </c>
      <c r="E145" s="160">
        <v>2</v>
      </c>
      <c r="F145" s="22"/>
      <c r="G145" s="202"/>
      <c r="H145" s="209"/>
      <c r="I145" s="209"/>
      <c r="J145" s="205"/>
      <c r="K145" s="209"/>
      <c r="L145" s="209"/>
      <c r="M145" s="209">
        <f t="shared" si="13"/>
        <v>2</v>
      </c>
      <c r="N145" s="209"/>
      <c r="O145" s="209" t="s">
        <v>946</v>
      </c>
      <c r="P145" s="205">
        <f t="shared" si="10"/>
        <v>0</v>
      </c>
      <c r="Q145" s="196"/>
    </row>
    <row r="146" spans="1:17" s="8" customFormat="1" ht="15.75" x14ac:dyDescent="0.25">
      <c r="A146" s="106" t="s">
        <v>374</v>
      </c>
      <c r="B146" s="160" t="s">
        <v>106</v>
      </c>
      <c r="C146" s="203" t="s">
        <v>635</v>
      </c>
      <c r="D146" s="203" t="s">
        <v>1122</v>
      </c>
      <c r="E146" s="160">
        <v>8</v>
      </c>
      <c r="F146" s="22">
        <v>1375</v>
      </c>
      <c r="G146" s="202">
        <f>E146*F146</f>
        <v>11000</v>
      </c>
      <c r="H146" s="209"/>
      <c r="I146" s="209"/>
      <c r="J146" s="205"/>
      <c r="K146" s="209"/>
      <c r="L146" s="209">
        <v>2</v>
      </c>
      <c r="M146" s="209">
        <f t="shared" si="13"/>
        <v>6</v>
      </c>
      <c r="N146" s="209"/>
      <c r="O146" s="209" t="s">
        <v>946</v>
      </c>
      <c r="P146" s="205">
        <f t="shared" si="10"/>
        <v>8250</v>
      </c>
      <c r="Q146" s="196"/>
    </row>
    <row r="147" spans="1:17" s="8" customFormat="1" ht="15.75" x14ac:dyDescent="0.25">
      <c r="A147" s="106" t="s">
        <v>375</v>
      </c>
      <c r="B147" s="201">
        <v>45020</v>
      </c>
      <c r="C147" s="203" t="s">
        <v>636</v>
      </c>
      <c r="D147" s="203" t="s">
        <v>1122</v>
      </c>
      <c r="E147" s="160">
        <v>30</v>
      </c>
      <c r="F147" s="22">
        <v>436.6</v>
      </c>
      <c r="G147" s="202">
        <f>E147*F147</f>
        <v>13098</v>
      </c>
      <c r="H147" s="209"/>
      <c r="I147" s="209"/>
      <c r="J147" s="205"/>
      <c r="K147" s="209"/>
      <c r="L147" s="209">
        <v>8</v>
      </c>
      <c r="M147" s="209">
        <f t="shared" si="13"/>
        <v>22</v>
      </c>
      <c r="N147" s="209"/>
      <c r="O147" s="209" t="s">
        <v>946</v>
      </c>
      <c r="P147" s="205">
        <f t="shared" si="10"/>
        <v>9605.2000000000007</v>
      </c>
      <c r="Q147" s="196"/>
    </row>
    <row r="148" spans="1:17" s="8" customFormat="1" ht="15.75" x14ac:dyDescent="0.25">
      <c r="A148" s="106" t="s">
        <v>376</v>
      </c>
      <c r="B148" s="201"/>
      <c r="C148" s="203" t="s">
        <v>831</v>
      </c>
      <c r="D148" s="203" t="s">
        <v>1122</v>
      </c>
      <c r="E148" s="160">
        <f>25+28</f>
        <v>53</v>
      </c>
      <c r="F148" s="22"/>
      <c r="G148" s="202"/>
      <c r="H148" s="209"/>
      <c r="I148" s="209"/>
      <c r="J148" s="205"/>
      <c r="K148" s="209"/>
      <c r="L148" s="209">
        <v>10</v>
      </c>
      <c r="M148" s="209">
        <f t="shared" si="13"/>
        <v>43</v>
      </c>
      <c r="N148" s="209"/>
      <c r="O148" s="209" t="s">
        <v>946</v>
      </c>
      <c r="P148" s="205">
        <f t="shared" si="10"/>
        <v>0</v>
      </c>
      <c r="Q148" s="196"/>
    </row>
    <row r="149" spans="1:17" s="8" customFormat="1" ht="15.75" x14ac:dyDescent="0.25">
      <c r="A149" s="106" t="s">
        <v>377</v>
      </c>
      <c r="B149" s="201"/>
      <c r="C149" s="203" t="s">
        <v>832</v>
      </c>
      <c r="D149" s="203" t="s">
        <v>1122</v>
      </c>
      <c r="E149" s="160">
        <v>5</v>
      </c>
      <c r="F149" s="22"/>
      <c r="G149" s="202"/>
      <c r="H149" s="209"/>
      <c r="I149" s="209"/>
      <c r="J149" s="205"/>
      <c r="K149" s="209"/>
      <c r="L149" s="209"/>
      <c r="M149" s="209">
        <f t="shared" si="13"/>
        <v>5</v>
      </c>
      <c r="N149" s="209"/>
      <c r="O149" s="209" t="s">
        <v>946</v>
      </c>
      <c r="P149" s="205">
        <f t="shared" si="10"/>
        <v>0</v>
      </c>
      <c r="Q149" s="196"/>
    </row>
    <row r="150" spans="1:17" s="8" customFormat="1" ht="15.75" x14ac:dyDescent="0.25">
      <c r="A150" s="106" t="s">
        <v>378</v>
      </c>
      <c r="B150" s="160" t="s">
        <v>106</v>
      </c>
      <c r="C150" s="203" t="s">
        <v>812</v>
      </c>
      <c r="D150" s="203" t="s">
        <v>1122</v>
      </c>
      <c r="E150" s="160">
        <v>3</v>
      </c>
      <c r="F150" s="22">
        <v>1180</v>
      </c>
      <c r="G150" s="202">
        <f>E150*F150</f>
        <v>3540</v>
      </c>
      <c r="H150" s="209"/>
      <c r="I150" s="209"/>
      <c r="J150" s="205"/>
      <c r="K150" s="209"/>
      <c r="L150" s="209"/>
      <c r="M150" s="209">
        <f t="shared" si="13"/>
        <v>3</v>
      </c>
      <c r="N150" s="209"/>
      <c r="O150" s="209" t="s">
        <v>946</v>
      </c>
      <c r="P150" s="205">
        <f t="shared" si="10"/>
        <v>3540</v>
      </c>
      <c r="Q150" s="196"/>
    </row>
    <row r="151" spans="1:17" s="8" customFormat="1" ht="15.75" x14ac:dyDescent="0.25">
      <c r="A151" s="106" t="s">
        <v>379</v>
      </c>
      <c r="B151" s="201">
        <v>44193</v>
      </c>
      <c r="C151" s="203" t="s">
        <v>637</v>
      </c>
      <c r="D151" s="203" t="s">
        <v>1122</v>
      </c>
      <c r="E151" s="160">
        <v>9</v>
      </c>
      <c r="F151" s="22">
        <v>1180</v>
      </c>
      <c r="G151" s="202">
        <f>E151*F151</f>
        <v>10620</v>
      </c>
      <c r="H151" s="209"/>
      <c r="I151" s="209"/>
      <c r="J151" s="205"/>
      <c r="K151" s="209"/>
      <c r="L151" s="209"/>
      <c r="M151" s="209">
        <f t="shared" si="13"/>
        <v>9</v>
      </c>
      <c r="N151" s="209"/>
      <c r="O151" s="209" t="s">
        <v>946</v>
      </c>
      <c r="P151" s="205">
        <f t="shared" si="10"/>
        <v>10620</v>
      </c>
      <c r="Q151" s="196"/>
    </row>
    <row r="152" spans="1:17" s="8" customFormat="1" ht="15.75" x14ac:dyDescent="0.25">
      <c r="A152" s="106" t="s">
        <v>380</v>
      </c>
      <c r="B152" s="201"/>
      <c r="C152" s="203" t="s">
        <v>834</v>
      </c>
      <c r="D152" s="203" t="s">
        <v>1122</v>
      </c>
      <c r="E152" s="160">
        <v>1</v>
      </c>
      <c r="F152" s="22"/>
      <c r="G152" s="202"/>
      <c r="H152" s="209"/>
      <c r="I152" s="209"/>
      <c r="J152" s="205"/>
      <c r="K152" s="209"/>
      <c r="L152" s="209"/>
      <c r="M152" s="209">
        <f t="shared" si="13"/>
        <v>1</v>
      </c>
      <c r="N152" s="209"/>
      <c r="O152" s="209" t="s">
        <v>946</v>
      </c>
      <c r="P152" s="205">
        <f t="shared" si="10"/>
        <v>0</v>
      </c>
      <c r="Q152" s="196"/>
    </row>
    <row r="153" spans="1:17" s="8" customFormat="1" ht="15.75" x14ac:dyDescent="0.25">
      <c r="A153" s="106" t="s">
        <v>381</v>
      </c>
      <c r="B153" s="160" t="s">
        <v>106</v>
      </c>
      <c r="C153" s="203" t="s">
        <v>639</v>
      </c>
      <c r="D153" s="203" t="s">
        <v>1122</v>
      </c>
      <c r="E153" s="160">
        <v>8</v>
      </c>
      <c r="F153" s="214">
        <v>1375</v>
      </c>
      <c r="G153" s="202">
        <f t="shared" ref="G153:G165" si="15">E153*F153</f>
        <v>11000</v>
      </c>
      <c r="H153" s="209"/>
      <c r="I153" s="209"/>
      <c r="J153" s="205"/>
      <c r="K153" s="209"/>
      <c r="L153" s="209"/>
      <c r="M153" s="209">
        <f t="shared" si="13"/>
        <v>8</v>
      </c>
      <c r="N153" s="209"/>
      <c r="O153" s="209" t="s">
        <v>946</v>
      </c>
      <c r="P153" s="205">
        <f t="shared" ref="P153:P216" si="16">+F153*M153</f>
        <v>11000</v>
      </c>
      <c r="Q153" s="196"/>
    </row>
    <row r="154" spans="1:17" s="8" customFormat="1" ht="15.75" x14ac:dyDescent="0.25">
      <c r="A154" s="106" t="s">
        <v>382</v>
      </c>
      <c r="B154" s="201">
        <v>44193</v>
      </c>
      <c r="C154" s="203" t="s">
        <v>638</v>
      </c>
      <c r="D154" s="203" t="s">
        <v>1122</v>
      </c>
      <c r="E154" s="160">
        <v>4</v>
      </c>
      <c r="F154" s="22">
        <v>1294.3699999999999</v>
      </c>
      <c r="G154" s="202">
        <f t="shared" si="15"/>
        <v>5177.4799999999996</v>
      </c>
      <c r="H154" s="209"/>
      <c r="I154" s="209"/>
      <c r="J154" s="205"/>
      <c r="K154" s="209"/>
      <c r="L154" s="209"/>
      <c r="M154" s="209">
        <f t="shared" si="13"/>
        <v>4</v>
      </c>
      <c r="N154" s="209"/>
      <c r="O154" s="209" t="s">
        <v>946</v>
      </c>
      <c r="P154" s="205">
        <f t="shared" si="16"/>
        <v>5177.4799999999996</v>
      </c>
      <c r="Q154" s="196"/>
    </row>
    <row r="155" spans="1:17" s="8" customFormat="1" ht="15.75" x14ac:dyDescent="0.25">
      <c r="A155" s="106" t="s">
        <v>383</v>
      </c>
      <c r="B155" s="160" t="s">
        <v>114</v>
      </c>
      <c r="C155" s="203" t="s">
        <v>640</v>
      </c>
      <c r="D155" s="203" t="s">
        <v>1122</v>
      </c>
      <c r="E155" s="160">
        <v>4</v>
      </c>
      <c r="F155" s="22">
        <v>2600</v>
      </c>
      <c r="G155" s="202">
        <f t="shared" si="15"/>
        <v>10400</v>
      </c>
      <c r="H155" s="209"/>
      <c r="I155" s="209"/>
      <c r="J155" s="205"/>
      <c r="K155" s="209"/>
      <c r="L155" s="209"/>
      <c r="M155" s="209">
        <f t="shared" si="13"/>
        <v>4</v>
      </c>
      <c r="N155" s="209"/>
      <c r="O155" s="209" t="s">
        <v>946</v>
      </c>
      <c r="P155" s="205">
        <f t="shared" si="16"/>
        <v>10400</v>
      </c>
      <c r="Q155" s="196"/>
    </row>
    <row r="156" spans="1:17" s="8" customFormat="1" ht="15.75" x14ac:dyDescent="0.25">
      <c r="A156" s="106" t="s">
        <v>384</v>
      </c>
      <c r="B156" s="201">
        <v>44193</v>
      </c>
      <c r="C156" s="203" t="s">
        <v>830</v>
      </c>
      <c r="D156" s="203" t="s">
        <v>1122</v>
      </c>
      <c r="E156" s="160">
        <v>2</v>
      </c>
      <c r="F156" s="22">
        <v>2600</v>
      </c>
      <c r="G156" s="202">
        <f t="shared" si="15"/>
        <v>5200</v>
      </c>
      <c r="H156" s="209"/>
      <c r="I156" s="209"/>
      <c r="J156" s="205"/>
      <c r="K156" s="209"/>
      <c r="L156" s="209">
        <v>2</v>
      </c>
      <c r="M156" s="209">
        <f t="shared" si="13"/>
        <v>0</v>
      </c>
      <c r="N156" s="209"/>
      <c r="O156" s="209" t="s">
        <v>946</v>
      </c>
      <c r="P156" s="205">
        <f t="shared" si="16"/>
        <v>0</v>
      </c>
      <c r="Q156" s="196"/>
    </row>
    <row r="157" spans="1:17" s="105" customFormat="1" ht="15.75" x14ac:dyDescent="0.25">
      <c r="A157" s="106" t="s">
        <v>385</v>
      </c>
      <c r="B157" s="201">
        <v>44852</v>
      </c>
      <c r="C157" s="203" t="s">
        <v>951</v>
      </c>
      <c r="D157" s="203" t="s">
        <v>1122</v>
      </c>
      <c r="E157" s="160">
        <v>46</v>
      </c>
      <c r="F157" s="22">
        <v>5.07</v>
      </c>
      <c r="G157" s="202">
        <f t="shared" si="15"/>
        <v>233.22000000000003</v>
      </c>
      <c r="H157" s="204">
        <v>44852</v>
      </c>
      <c r="I157" s="209">
        <f>10*100</f>
        <v>1000</v>
      </c>
      <c r="J157" s="205">
        <v>5.07</v>
      </c>
      <c r="K157" s="206">
        <f>+I157*J157</f>
        <v>5070</v>
      </c>
      <c r="L157" s="209">
        <f>12+100+15+819</f>
        <v>946</v>
      </c>
      <c r="M157" s="209">
        <f t="shared" si="13"/>
        <v>100</v>
      </c>
      <c r="N157" s="209" t="s">
        <v>1037</v>
      </c>
      <c r="O157" s="209" t="s">
        <v>947</v>
      </c>
      <c r="P157" s="205">
        <f t="shared" si="16"/>
        <v>507</v>
      </c>
      <c r="Q157" s="215"/>
    </row>
    <row r="158" spans="1:17" s="8" customFormat="1" ht="15.75" x14ac:dyDescent="0.25">
      <c r="A158" s="106" t="s">
        <v>386</v>
      </c>
      <c r="B158" s="201">
        <v>44193</v>
      </c>
      <c r="C158" s="203" t="s">
        <v>647</v>
      </c>
      <c r="D158" s="203" t="s">
        <v>1122</v>
      </c>
      <c r="E158" s="160">
        <v>15</v>
      </c>
      <c r="F158" s="22">
        <v>4.55</v>
      </c>
      <c r="G158" s="202">
        <f t="shared" si="15"/>
        <v>68.25</v>
      </c>
      <c r="H158" s="209"/>
      <c r="I158" s="209"/>
      <c r="J158" s="205"/>
      <c r="K158" s="209"/>
      <c r="L158" s="209"/>
      <c r="M158" s="209">
        <f t="shared" si="13"/>
        <v>15</v>
      </c>
      <c r="N158" s="209"/>
      <c r="O158" s="209" t="s">
        <v>947</v>
      </c>
      <c r="P158" s="205">
        <f t="shared" si="16"/>
        <v>68.25</v>
      </c>
      <c r="Q158" s="196"/>
    </row>
    <row r="159" spans="1:17" s="8" customFormat="1" ht="15.75" x14ac:dyDescent="0.25">
      <c r="A159" s="106" t="s">
        <v>387</v>
      </c>
      <c r="B159" s="201">
        <v>44193</v>
      </c>
      <c r="C159" s="203" t="s">
        <v>645</v>
      </c>
      <c r="D159" s="203" t="s">
        <v>1122</v>
      </c>
      <c r="E159" s="160">
        <v>820</v>
      </c>
      <c r="F159" s="22">
        <v>7.5</v>
      </c>
      <c r="G159" s="202">
        <f t="shared" si="15"/>
        <v>6150</v>
      </c>
      <c r="H159" s="209"/>
      <c r="I159" s="209"/>
      <c r="J159" s="205"/>
      <c r="K159" s="209"/>
      <c r="L159" s="209"/>
      <c r="M159" s="209">
        <f t="shared" si="13"/>
        <v>820</v>
      </c>
      <c r="N159" s="209"/>
      <c r="O159" s="209" t="s">
        <v>947</v>
      </c>
      <c r="P159" s="205">
        <f t="shared" si="16"/>
        <v>6150</v>
      </c>
      <c r="Q159" s="196"/>
    </row>
    <row r="160" spans="1:17" s="92" customFormat="1" x14ac:dyDescent="0.3">
      <c r="A160" s="106" t="s">
        <v>388</v>
      </c>
      <c r="B160" s="201">
        <v>44659</v>
      </c>
      <c r="C160" s="203" t="s">
        <v>854</v>
      </c>
      <c r="D160" s="203" t="s">
        <v>1122</v>
      </c>
      <c r="E160" s="161">
        <f>30*100</f>
        <v>3000</v>
      </c>
      <c r="F160" s="22">
        <v>3.4</v>
      </c>
      <c r="G160" s="202">
        <f t="shared" si="15"/>
        <v>10200</v>
      </c>
      <c r="H160" s="209"/>
      <c r="I160" s="209"/>
      <c r="J160" s="205"/>
      <c r="K160" s="209"/>
      <c r="L160" s="209">
        <v>3000</v>
      </c>
      <c r="M160" s="209">
        <f t="shared" si="13"/>
        <v>0</v>
      </c>
      <c r="N160" s="209"/>
      <c r="O160" s="209" t="s">
        <v>945</v>
      </c>
      <c r="P160" s="205">
        <f t="shared" si="16"/>
        <v>0</v>
      </c>
      <c r="Q160" s="213"/>
    </row>
    <row r="161" spans="1:17" s="92" customFormat="1" x14ac:dyDescent="0.3">
      <c r="A161" s="106" t="s">
        <v>389</v>
      </c>
      <c r="B161" s="201">
        <v>45019</v>
      </c>
      <c r="C161" s="203" t="s">
        <v>648</v>
      </c>
      <c r="D161" s="203" t="s">
        <v>1122</v>
      </c>
      <c r="E161" s="161">
        <v>100</v>
      </c>
      <c r="F161" s="22">
        <v>4.01</v>
      </c>
      <c r="G161" s="202">
        <f t="shared" si="15"/>
        <v>401</v>
      </c>
      <c r="H161" s="204">
        <v>45130</v>
      </c>
      <c r="I161" s="209">
        <f>20*100</f>
        <v>2000</v>
      </c>
      <c r="J161" s="205">
        <v>3.72</v>
      </c>
      <c r="K161" s="209">
        <f>+I161*J161</f>
        <v>7440</v>
      </c>
      <c r="L161" s="209">
        <f>100+100</f>
        <v>200</v>
      </c>
      <c r="M161" s="218">
        <f>+E161+I161-L161</f>
        <v>1900</v>
      </c>
      <c r="N161" s="209"/>
      <c r="O161" s="209" t="s">
        <v>945</v>
      </c>
      <c r="P161" s="205">
        <f t="shared" si="16"/>
        <v>7619</v>
      </c>
      <c r="Q161" s="213"/>
    </row>
    <row r="162" spans="1:17" s="92" customFormat="1" x14ac:dyDescent="0.3">
      <c r="A162" s="106" t="s">
        <v>390</v>
      </c>
      <c r="B162" s="201">
        <v>44778</v>
      </c>
      <c r="C162" s="203" t="s">
        <v>855</v>
      </c>
      <c r="D162" s="203" t="s">
        <v>1122</v>
      </c>
      <c r="E162" s="161">
        <f>25*100</f>
        <v>2500</v>
      </c>
      <c r="F162" s="22">
        <v>4.8899999999999997</v>
      </c>
      <c r="G162" s="202">
        <f t="shared" si="15"/>
        <v>12225</v>
      </c>
      <c r="H162" s="204">
        <v>44778</v>
      </c>
      <c r="I162" s="219">
        <f>10*100</f>
        <v>1000</v>
      </c>
      <c r="J162" s="205">
        <v>4.8899999999999997</v>
      </c>
      <c r="K162" s="206">
        <f>+I162*J162</f>
        <v>4890</v>
      </c>
      <c r="L162" s="209">
        <v>3500</v>
      </c>
      <c r="M162" s="209">
        <f t="shared" si="13"/>
        <v>0</v>
      </c>
      <c r="N162" s="209" t="s">
        <v>943</v>
      </c>
      <c r="O162" s="209" t="s">
        <v>945</v>
      </c>
      <c r="P162" s="205">
        <f t="shared" si="16"/>
        <v>0</v>
      </c>
      <c r="Q162" s="213"/>
    </row>
    <row r="163" spans="1:17" s="92" customFormat="1" x14ac:dyDescent="0.3">
      <c r="A163" s="106" t="s">
        <v>391</v>
      </c>
      <c r="B163" s="201">
        <v>45019</v>
      </c>
      <c r="C163" s="203" t="s">
        <v>651</v>
      </c>
      <c r="D163" s="203" t="s">
        <v>1122</v>
      </c>
      <c r="E163" s="161">
        <f>60*100</f>
        <v>6000</v>
      </c>
      <c r="F163" s="22">
        <v>9.56</v>
      </c>
      <c r="G163" s="202">
        <f t="shared" si="15"/>
        <v>57360</v>
      </c>
      <c r="H163" s="204">
        <v>45019</v>
      </c>
      <c r="I163" s="219">
        <v>700</v>
      </c>
      <c r="J163" s="205">
        <v>9.56</v>
      </c>
      <c r="K163" s="206">
        <f t="shared" ref="K163:K166" si="17">+I163*J163</f>
        <v>6692</v>
      </c>
      <c r="L163" s="209">
        <f>100+100+100+3600+100+200+200+100+100</f>
        <v>4600</v>
      </c>
      <c r="M163" s="219">
        <f t="shared" si="13"/>
        <v>2100</v>
      </c>
      <c r="N163" s="209"/>
      <c r="O163" s="209" t="s">
        <v>945</v>
      </c>
      <c r="P163" s="205">
        <f t="shared" si="16"/>
        <v>20076</v>
      </c>
      <c r="Q163" s="213"/>
    </row>
    <row r="164" spans="1:17" s="92" customFormat="1" x14ac:dyDescent="0.3">
      <c r="A164" s="106" t="s">
        <v>392</v>
      </c>
      <c r="B164" s="201">
        <v>45019</v>
      </c>
      <c r="C164" s="203" t="s">
        <v>652</v>
      </c>
      <c r="D164" s="203" t="s">
        <v>1122</v>
      </c>
      <c r="E164" s="161">
        <v>3700</v>
      </c>
      <c r="F164" s="22">
        <v>10.51</v>
      </c>
      <c r="G164" s="202">
        <f t="shared" si="15"/>
        <v>38887</v>
      </c>
      <c r="H164" s="204">
        <v>45127</v>
      </c>
      <c r="I164" s="219">
        <v>1000</v>
      </c>
      <c r="J164" s="205">
        <v>10.51</v>
      </c>
      <c r="K164" s="206">
        <f t="shared" si="17"/>
        <v>10510</v>
      </c>
      <c r="L164" s="209">
        <v>3100</v>
      </c>
      <c r="M164" s="209">
        <f t="shared" si="13"/>
        <v>1600</v>
      </c>
      <c r="N164" s="209"/>
      <c r="O164" s="209" t="s">
        <v>945</v>
      </c>
      <c r="P164" s="205">
        <f t="shared" si="16"/>
        <v>16816</v>
      </c>
      <c r="Q164" s="213"/>
    </row>
    <row r="165" spans="1:17" s="92" customFormat="1" x14ac:dyDescent="0.3">
      <c r="A165" s="106" t="s">
        <v>393</v>
      </c>
      <c r="B165" s="201">
        <v>44193</v>
      </c>
      <c r="C165" s="203" t="s">
        <v>786</v>
      </c>
      <c r="D165" s="203" t="s">
        <v>1122</v>
      </c>
      <c r="E165" s="160">
        <f>4+8</f>
        <v>12</v>
      </c>
      <c r="F165" s="22">
        <v>150</v>
      </c>
      <c r="G165" s="202">
        <f t="shared" si="15"/>
        <v>1800</v>
      </c>
      <c r="H165" s="209"/>
      <c r="I165" s="219"/>
      <c r="J165" s="205"/>
      <c r="K165" s="206">
        <f t="shared" si="17"/>
        <v>0</v>
      </c>
      <c r="L165" s="209">
        <v>5</v>
      </c>
      <c r="M165" s="209">
        <f t="shared" si="13"/>
        <v>7</v>
      </c>
      <c r="N165" s="209"/>
      <c r="O165" s="209" t="s">
        <v>945</v>
      </c>
      <c r="P165" s="205">
        <f t="shared" si="16"/>
        <v>1050</v>
      </c>
      <c r="Q165" s="213"/>
    </row>
    <row r="166" spans="1:17" s="8" customFormat="1" ht="15.75" x14ac:dyDescent="0.25">
      <c r="A166" s="106" t="s">
        <v>394</v>
      </c>
      <c r="B166" s="201"/>
      <c r="C166" s="203" t="s">
        <v>827</v>
      </c>
      <c r="D166" s="203" t="s">
        <v>1122</v>
      </c>
      <c r="E166" s="161">
        <v>2</v>
      </c>
      <c r="F166" s="22"/>
      <c r="G166" s="202"/>
      <c r="H166" s="209"/>
      <c r="I166" s="219">
        <v>10</v>
      </c>
      <c r="J166" s="205"/>
      <c r="K166" s="206">
        <f t="shared" si="17"/>
        <v>0</v>
      </c>
      <c r="L166" s="209"/>
      <c r="M166" s="209">
        <f t="shared" si="13"/>
        <v>12</v>
      </c>
      <c r="N166" s="209"/>
      <c r="O166" s="209" t="s">
        <v>946</v>
      </c>
      <c r="P166" s="205">
        <f t="shared" si="16"/>
        <v>0</v>
      </c>
      <c r="Q166" s="196"/>
    </row>
    <row r="167" spans="1:17" s="8" customFormat="1" ht="15.75" x14ac:dyDescent="0.25">
      <c r="A167" s="106" t="s">
        <v>395</v>
      </c>
      <c r="B167" s="201"/>
      <c r="C167" s="203" t="s">
        <v>828</v>
      </c>
      <c r="D167" s="203" t="s">
        <v>1122</v>
      </c>
      <c r="E167" s="161">
        <v>1</v>
      </c>
      <c r="F167" s="22"/>
      <c r="G167" s="202"/>
      <c r="H167" s="209"/>
      <c r="I167" s="219"/>
      <c r="J167" s="205"/>
      <c r="K167" s="209"/>
      <c r="L167" s="209"/>
      <c r="M167" s="209">
        <f t="shared" si="13"/>
        <v>1</v>
      </c>
      <c r="N167" s="209"/>
      <c r="O167" s="209" t="s">
        <v>946</v>
      </c>
      <c r="P167" s="205">
        <f t="shared" si="16"/>
        <v>0</v>
      </c>
      <c r="Q167" s="196"/>
    </row>
    <row r="168" spans="1:17" s="92" customFormat="1" x14ac:dyDescent="0.3">
      <c r="A168" s="106" t="s">
        <v>396</v>
      </c>
      <c r="B168" s="201">
        <v>44193</v>
      </c>
      <c r="C168" s="203" t="s">
        <v>653</v>
      </c>
      <c r="D168" s="203" t="s">
        <v>1122</v>
      </c>
      <c r="E168" s="161">
        <v>50</v>
      </c>
      <c r="F168" s="22">
        <v>575</v>
      </c>
      <c r="G168" s="202">
        <f t="shared" ref="G168:G198" si="18">E168*F168</f>
        <v>28750</v>
      </c>
      <c r="H168" s="209"/>
      <c r="I168" s="219"/>
      <c r="J168" s="205"/>
      <c r="K168" s="209"/>
      <c r="L168" s="209">
        <f>1+1</f>
        <v>2</v>
      </c>
      <c r="M168" s="209">
        <f t="shared" si="13"/>
        <v>48</v>
      </c>
      <c r="N168" s="209"/>
      <c r="O168" s="209" t="s">
        <v>945</v>
      </c>
      <c r="P168" s="205">
        <f t="shared" si="16"/>
        <v>27600</v>
      </c>
      <c r="Q168" s="213"/>
    </row>
    <row r="169" spans="1:17" s="105" customFormat="1" ht="15.75" x14ac:dyDescent="0.25">
      <c r="A169" s="106" t="s">
        <v>397</v>
      </c>
      <c r="B169" s="201">
        <v>45042</v>
      </c>
      <c r="C169" s="203" t="s">
        <v>655</v>
      </c>
      <c r="D169" s="203" t="s">
        <v>1122</v>
      </c>
      <c r="E169" s="160">
        <v>20</v>
      </c>
      <c r="F169" s="22">
        <v>8.08</v>
      </c>
      <c r="G169" s="202">
        <f t="shared" si="18"/>
        <v>161.6</v>
      </c>
      <c r="H169" s="204">
        <v>44851</v>
      </c>
      <c r="I169" s="219">
        <v>5.56</v>
      </c>
      <c r="J169" s="205">
        <v>8.08</v>
      </c>
      <c r="K169" s="205">
        <f>+J169*I169</f>
        <v>44.924799999999998</v>
      </c>
      <c r="L169" s="209">
        <v>3</v>
      </c>
      <c r="M169" s="218">
        <f>+E169+I169-L169</f>
        <v>22.56</v>
      </c>
      <c r="N169" s="209" t="s">
        <v>1037</v>
      </c>
      <c r="O169" s="209" t="s">
        <v>947</v>
      </c>
      <c r="P169" s="205">
        <f t="shared" si="16"/>
        <v>182.28479999999999</v>
      </c>
      <c r="Q169" s="215"/>
    </row>
    <row r="170" spans="1:17" s="8" customFormat="1" ht="15.75" x14ac:dyDescent="0.25">
      <c r="A170" s="106" t="s">
        <v>398</v>
      </c>
      <c r="B170" s="201">
        <v>45022</v>
      </c>
      <c r="C170" s="203" t="s">
        <v>1241</v>
      </c>
      <c r="D170" s="203" t="s">
        <v>1122</v>
      </c>
      <c r="E170" s="160">
        <v>15</v>
      </c>
      <c r="F170" s="22">
        <v>275</v>
      </c>
      <c r="G170" s="202">
        <f t="shared" si="18"/>
        <v>4125</v>
      </c>
      <c r="H170" s="204">
        <v>45022</v>
      </c>
      <c r="I170" s="219">
        <v>10</v>
      </c>
      <c r="J170" s="205">
        <v>168</v>
      </c>
      <c r="K170" s="205">
        <f t="shared" ref="K170:K173" si="19">+J170*I170</f>
        <v>1680</v>
      </c>
      <c r="L170" s="209">
        <f>17+1+1</f>
        <v>19</v>
      </c>
      <c r="M170" s="209">
        <f t="shared" si="13"/>
        <v>6</v>
      </c>
      <c r="N170" s="209"/>
      <c r="O170" s="209" t="s">
        <v>947</v>
      </c>
      <c r="P170" s="205">
        <f t="shared" si="16"/>
        <v>1650</v>
      </c>
      <c r="Q170" s="196"/>
    </row>
    <row r="171" spans="1:17" s="8" customFormat="1" ht="15.75" x14ac:dyDescent="0.25">
      <c r="A171" s="106" t="s">
        <v>399</v>
      </c>
      <c r="B171" s="201">
        <v>44193</v>
      </c>
      <c r="C171" s="203" t="s">
        <v>658</v>
      </c>
      <c r="D171" s="203" t="s">
        <v>1122</v>
      </c>
      <c r="E171" s="161">
        <v>2</v>
      </c>
      <c r="F171" s="22">
        <v>50</v>
      </c>
      <c r="G171" s="202">
        <f t="shared" si="18"/>
        <v>100</v>
      </c>
      <c r="H171" s="209"/>
      <c r="I171" s="219"/>
      <c r="J171" s="205"/>
      <c r="K171" s="205">
        <f t="shared" si="19"/>
        <v>0</v>
      </c>
      <c r="L171" s="209">
        <v>1</v>
      </c>
      <c r="M171" s="209">
        <f t="shared" si="13"/>
        <v>1</v>
      </c>
      <c r="N171" s="209"/>
      <c r="O171" s="209" t="s">
        <v>947</v>
      </c>
      <c r="P171" s="205">
        <f t="shared" si="16"/>
        <v>50</v>
      </c>
      <c r="Q171" s="196"/>
    </row>
    <row r="172" spans="1:17" s="8" customFormat="1" ht="15.75" x14ac:dyDescent="0.25">
      <c r="A172" s="106" t="s">
        <v>400</v>
      </c>
      <c r="B172" s="201">
        <v>45042</v>
      </c>
      <c r="C172" s="203" t="s">
        <v>657</v>
      </c>
      <c r="D172" s="203" t="s">
        <v>1122</v>
      </c>
      <c r="E172" s="161">
        <f>20+9</f>
        <v>29</v>
      </c>
      <c r="F172" s="22">
        <v>50</v>
      </c>
      <c r="G172" s="202">
        <f t="shared" si="18"/>
        <v>1450</v>
      </c>
      <c r="H172" s="204">
        <v>45042</v>
      </c>
      <c r="I172" s="219">
        <v>10</v>
      </c>
      <c r="J172" s="205">
        <v>44.55</v>
      </c>
      <c r="K172" s="205">
        <f t="shared" si="19"/>
        <v>445.5</v>
      </c>
      <c r="L172" s="209">
        <v>14</v>
      </c>
      <c r="M172" s="209">
        <f t="shared" si="13"/>
        <v>25</v>
      </c>
      <c r="N172" s="209"/>
      <c r="O172" s="209" t="s">
        <v>947</v>
      </c>
      <c r="P172" s="205">
        <f t="shared" si="16"/>
        <v>1250</v>
      </c>
      <c r="Q172" s="196"/>
    </row>
    <row r="173" spans="1:17" s="92" customFormat="1" x14ac:dyDescent="0.3">
      <c r="A173" s="106" t="s">
        <v>401</v>
      </c>
      <c r="B173" s="201">
        <v>44193</v>
      </c>
      <c r="C173" s="203" t="s">
        <v>660</v>
      </c>
      <c r="D173" s="203" t="s">
        <v>1122</v>
      </c>
      <c r="E173" s="161">
        <v>35</v>
      </c>
      <c r="F173" s="22">
        <v>7</v>
      </c>
      <c r="G173" s="202">
        <f t="shared" si="18"/>
        <v>245</v>
      </c>
      <c r="H173" s="209"/>
      <c r="I173" s="219"/>
      <c r="J173" s="205"/>
      <c r="K173" s="205">
        <f t="shared" si="19"/>
        <v>0</v>
      </c>
      <c r="L173" s="209"/>
      <c r="M173" s="209">
        <f t="shared" si="13"/>
        <v>35</v>
      </c>
      <c r="N173" s="209"/>
      <c r="O173" s="209" t="s">
        <v>945</v>
      </c>
      <c r="P173" s="205">
        <f t="shared" si="16"/>
        <v>245</v>
      </c>
      <c r="Q173" s="213"/>
    </row>
    <row r="174" spans="1:17" s="92" customFormat="1" x14ac:dyDescent="0.3">
      <c r="A174" s="106" t="s">
        <v>402</v>
      </c>
      <c r="B174" s="201">
        <v>44193</v>
      </c>
      <c r="C174" s="203" t="s">
        <v>659</v>
      </c>
      <c r="D174" s="203" t="s">
        <v>1122</v>
      </c>
      <c r="E174" s="161">
        <v>34</v>
      </c>
      <c r="F174" s="22">
        <v>125</v>
      </c>
      <c r="G174" s="202">
        <f t="shared" si="18"/>
        <v>4250</v>
      </c>
      <c r="H174" s="209"/>
      <c r="I174" s="219"/>
      <c r="J174" s="205"/>
      <c r="K174" s="209"/>
      <c r="L174" s="209">
        <v>1</v>
      </c>
      <c r="M174" s="209">
        <f t="shared" si="13"/>
        <v>33</v>
      </c>
      <c r="N174" s="209"/>
      <c r="O174" s="209" t="s">
        <v>945</v>
      </c>
      <c r="P174" s="205">
        <f t="shared" si="16"/>
        <v>4125</v>
      </c>
      <c r="Q174" s="213"/>
    </row>
    <row r="175" spans="1:17" s="92" customFormat="1" x14ac:dyDescent="0.3">
      <c r="A175" s="106" t="s">
        <v>403</v>
      </c>
      <c r="B175" s="201">
        <v>44193</v>
      </c>
      <c r="C175" s="203" t="s">
        <v>661</v>
      </c>
      <c r="D175" s="203" t="s">
        <v>1122</v>
      </c>
      <c r="E175" s="161">
        <v>106</v>
      </c>
      <c r="F175" s="22">
        <v>7</v>
      </c>
      <c r="G175" s="202">
        <f t="shared" si="18"/>
        <v>742</v>
      </c>
      <c r="H175" s="209"/>
      <c r="I175" s="219"/>
      <c r="J175" s="205"/>
      <c r="K175" s="209"/>
      <c r="L175" s="209">
        <v>5</v>
      </c>
      <c r="M175" s="209">
        <f t="shared" si="13"/>
        <v>101</v>
      </c>
      <c r="N175" s="209"/>
      <c r="O175" s="209" t="s">
        <v>945</v>
      </c>
      <c r="P175" s="205">
        <f t="shared" si="16"/>
        <v>707</v>
      </c>
      <c r="Q175" s="213"/>
    </row>
    <row r="176" spans="1:17" s="92" customFormat="1" x14ac:dyDescent="0.3">
      <c r="A176" s="106" t="s">
        <v>404</v>
      </c>
      <c r="B176" s="201">
        <v>44456</v>
      </c>
      <c r="C176" s="203" t="s">
        <v>662</v>
      </c>
      <c r="D176" s="203" t="s">
        <v>1122</v>
      </c>
      <c r="E176" s="161">
        <v>27</v>
      </c>
      <c r="F176" s="22">
        <v>7</v>
      </c>
      <c r="G176" s="202">
        <f t="shared" si="18"/>
        <v>189</v>
      </c>
      <c r="H176" s="209"/>
      <c r="I176" s="219"/>
      <c r="J176" s="205"/>
      <c r="K176" s="209"/>
      <c r="L176" s="209"/>
      <c r="M176" s="209">
        <f t="shared" ref="M176:M239" si="20">+E176+I176-L176</f>
        <v>27</v>
      </c>
      <c r="N176" s="209"/>
      <c r="O176" s="209" t="s">
        <v>945</v>
      </c>
      <c r="P176" s="205">
        <f t="shared" si="16"/>
        <v>189</v>
      </c>
      <c r="Q176" s="213"/>
    </row>
    <row r="177" spans="1:17" s="8" customFormat="1" ht="15.75" x14ac:dyDescent="0.25">
      <c r="A177" s="106" t="s">
        <v>405</v>
      </c>
      <c r="B177" s="201">
        <v>44193</v>
      </c>
      <c r="C177" s="203" t="s">
        <v>800</v>
      </c>
      <c r="D177" s="203" t="s">
        <v>1122</v>
      </c>
      <c r="E177" s="160">
        <f>6+6</f>
        <v>12</v>
      </c>
      <c r="F177" s="22">
        <v>135</v>
      </c>
      <c r="G177" s="202">
        <f t="shared" si="18"/>
        <v>1620</v>
      </c>
      <c r="H177" s="209"/>
      <c r="I177" s="219"/>
      <c r="J177" s="205"/>
      <c r="K177" s="209"/>
      <c r="L177" s="209"/>
      <c r="M177" s="209">
        <f t="shared" si="20"/>
        <v>12</v>
      </c>
      <c r="N177" s="209"/>
      <c r="O177" s="209" t="s">
        <v>946</v>
      </c>
      <c r="P177" s="205">
        <f t="shared" si="16"/>
        <v>1620</v>
      </c>
      <c r="Q177" s="196"/>
    </row>
    <row r="178" spans="1:17" s="8" customFormat="1" ht="15.75" x14ac:dyDescent="0.25">
      <c r="A178" s="106" t="s">
        <v>406</v>
      </c>
      <c r="B178" s="201">
        <v>44193</v>
      </c>
      <c r="C178" s="203" t="s">
        <v>663</v>
      </c>
      <c r="D178" s="203" t="s">
        <v>1122</v>
      </c>
      <c r="E178" s="160">
        <v>42</v>
      </c>
      <c r="F178" s="22">
        <v>115</v>
      </c>
      <c r="G178" s="202">
        <f t="shared" si="18"/>
        <v>4830</v>
      </c>
      <c r="H178" s="209"/>
      <c r="I178" s="219"/>
      <c r="J178" s="205"/>
      <c r="K178" s="209"/>
      <c r="L178" s="209"/>
      <c r="M178" s="209">
        <f t="shared" si="20"/>
        <v>42</v>
      </c>
      <c r="N178" s="209"/>
      <c r="O178" s="209" t="s">
        <v>946</v>
      </c>
      <c r="P178" s="205">
        <f t="shared" si="16"/>
        <v>4830</v>
      </c>
      <c r="Q178" s="196"/>
    </row>
    <row r="179" spans="1:17" s="92" customFormat="1" x14ac:dyDescent="0.3">
      <c r="A179" s="106" t="s">
        <v>407</v>
      </c>
      <c r="B179" s="201">
        <v>44903</v>
      </c>
      <c r="C179" s="203" t="s">
        <v>768</v>
      </c>
      <c r="D179" s="203" t="s">
        <v>1122</v>
      </c>
      <c r="E179" s="160">
        <v>104</v>
      </c>
      <c r="F179" s="22">
        <v>154.58000000000001</v>
      </c>
      <c r="G179" s="202">
        <f t="shared" si="18"/>
        <v>16076.320000000002</v>
      </c>
      <c r="H179" s="204">
        <v>44903</v>
      </c>
      <c r="I179" s="219">
        <f>20*4</f>
        <v>80</v>
      </c>
      <c r="J179" s="205">
        <v>154.58000000000001</v>
      </c>
      <c r="K179" s="206">
        <f>+I179*J179</f>
        <v>12366.400000000001</v>
      </c>
      <c r="L179" s="209">
        <f>13+4</f>
        <v>17</v>
      </c>
      <c r="M179" s="209">
        <f t="shared" si="20"/>
        <v>167</v>
      </c>
      <c r="N179" s="209"/>
      <c r="O179" s="209" t="s">
        <v>945</v>
      </c>
      <c r="P179" s="205">
        <f t="shared" si="16"/>
        <v>25814.86</v>
      </c>
      <c r="Q179" s="213"/>
    </row>
    <row r="180" spans="1:17" s="92" customFormat="1" x14ac:dyDescent="0.3">
      <c r="A180" s="106" t="s">
        <v>408</v>
      </c>
      <c r="B180" s="201">
        <v>45019</v>
      </c>
      <c r="C180" s="203" t="s">
        <v>769</v>
      </c>
      <c r="D180" s="203" t="s">
        <v>1173</v>
      </c>
      <c r="E180" s="160">
        <v>132</v>
      </c>
      <c r="F180" s="22">
        <v>139.04</v>
      </c>
      <c r="G180" s="202">
        <f t="shared" si="18"/>
        <v>18353.28</v>
      </c>
      <c r="H180" s="204">
        <v>45019</v>
      </c>
      <c r="I180" s="219">
        <f>10*6</f>
        <v>60</v>
      </c>
      <c r="J180" s="205">
        <v>139.04</v>
      </c>
      <c r="K180" s="206">
        <f>+I180*J180</f>
        <v>8342.4</v>
      </c>
      <c r="L180" s="209">
        <f>10+1+2+3+1+1+2+1</f>
        <v>21</v>
      </c>
      <c r="M180" s="209">
        <f>+E180+I180-L180</f>
        <v>171</v>
      </c>
      <c r="N180" s="209"/>
      <c r="O180" s="209" t="s">
        <v>945</v>
      </c>
      <c r="P180" s="205">
        <f t="shared" si="16"/>
        <v>23775.84</v>
      </c>
      <c r="Q180" s="213"/>
    </row>
    <row r="181" spans="1:17" s="8" customFormat="1" ht="15.75" x14ac:dyDescent="0.25">
      <c r="A181" s="106" t="s">
        <v>409</v>
      </c>
      <c r="B181" s="201">
        <v>44193</v>
      </c>
      <c r="C181" s="203" t="s">
        <v>796</v>
      </c>
      <c r="D181" s="203" t="s">
        <v>1122</v>
      </c>
      <c r="E181" s="161">
        <v>3</v>
      </c>
      <c r="F181" s="22">
        <v>352</v>
      </c>
      <c r="G181" s="202">
        <f t="shared" si="18"/>
        <v>1056</v>
      </c>
      <c r="H181" s="209"/>
      <c r="I181" s="219"/>
      <c r="J181" s="205"/>
      <c r="K181" s="209"/>
      <c r="L181" s="209"/>
      <c r="M181" s="209">
        <f t="shared" si="20"/>
        <v>3</v>
      </c>
      <c r="N181" s="209"/>
      <c r="O181" s="209" t="s">
        <v>946</v>
      </c>
      <c r="P181" s="205">
        <f t="shared" si="16"/>
        <v>1056</v>
      </c>
      <c r="Q181" s="196"/>
    </row>
    <row r="182" spans="1:17" s="8" customFormat="1" ht="15.75" x14ac:dyDescent="0.25">
      <c r="A182" s="106" t="s">
        <v>410</v>
      </c>
      <c r="B182" s="201">
        <v>44193</v>
      </c>
      <c r="C182" s="203" t="s">
        <v>670</v>
      </c>
      <c r="D182" s="203" t="s">
        <v>1122</v>
      </c>
      <c r="E182" s="160">
        <f>38+19</f>
        <v>57</v>
      </c>
      <c r="F182" s="22">
        <v>67.8</v>
      </c>
      <c r="G182" s="202">
        <f t="shared" si="18"/>
        <v>3864.6</v>
      </c>
      <c r="H182" s="209"/>
      <c r="I182" s="219"/>
      <c r="J182" s="205"/>
      <c r="K182" s="209"/>
      <c r="L182" s="209"/>
      <c r="M182" s="209">
        <f t="shared" si="20"/>
        <v>57</v>
      </c>
      <c r="N182" s="209"/>
      <c r="O182" s="209" t="s">
        <v>946</v>
      </c>
      <c r="P182" s="205">
        <f t="shared" si="16"/>
        <v>3864.6</v>
      </c>
      <c r="Q182" s="196"/>
    </row>
    <row r="183" spans="1:17" s="8" customFormat="1" ht="15.75" x14ac:dyDescent="0.25">
      <c r="A183" s="106" t="s">
        <v>411</v>
      </c>
      <c r="B183" s="201">
        <v>44193</v>
      </c>
      <c r="C183" s="203" t="s">
        <v>671</v>
      </c>
      <c r="D183" s="203" t="s">
        <v>1122</v>
      </c>
      <c r="E183" s="160">
        <f>19+19</f>
        <v>38</v>
      </c>
      <c r="F183" s="22">
        <v>67.8</v>
      </c>
      <c r="G183" s="202">
        <f t="shared" si="18"/>
        <v>2576.4</v>
      </c>
      <c r="H183" s="209"/>
      <c r="I183" s="219"/>
      <c r="J183" s="205"/>
      <c r="K183" s="209"/>
      <c r="L183" s="209"/>
      <c r="M183" s="209">
        <f t="shared" si="20"/>
        <v>38</v>
      </c>
      <c r="N183" s="209"/>
      <c r="O183" s="209" t="s">
        <v>946</v>
      </c>
      <c r="P183" s="205">
        <f t="shared" si="16"/>
        <v>2576.4</v>
      </c>
      <c r="Q183" s="196"/>
    </row>
    <row r="184" spans="1:17" s="8" customFormat="1" ht="15.75" x14ac:dyDescent="0.25">
      <c r="A184" s="106" t="s">
        <v>412</v>
      </c>
      <c r="B184" s="201">
        <v>44193</v>
      </c>
      <c r="C184" s="203" t="s">
        <v>669</v>
      </c>
      <c r="D184" s="203" t="s">
        <v>1122</v>
      </c>
      <c r="E184" s="160">
        <v>0</v>
      </c>
      <c r="F184" s="22">
        <v>67.8</v>
      </c>
      <c r="G184" s="202">
        <f t="shared" si="18"/>
        <v>0</v>
      </c>
      <c r="H184" s="209"/>
      <c r="I184" s="219"/>
      <c r="J184" s="205"/>
      <c r="K184" s="209"/>
      <c r="L184" s="209"/>
      <c r="M184" s="209">
        <f t="shared" si="20"/>
        <v>0</v>
      </c>
      <c r="N184" s="209"/>
      <c r="O184" s="209" t="s">
        <v>946</v>
      </c>
      <c r="P184" s="205">
        <f t="shared" si="16"/>
        <v>0</v>
      </c>
      <c r="Q184" s="196"/>
    </row>
    <row r="185" spans="1:17" s="8" customFormat="1" ht="15.75" x14ac:dyDescent="0.25">
      <c r="A185" s="106" t="s">
        <v>413</v>
      </c>
      <c r="B185" s="201">
        <v>44193</v>
      </c>
      <c r="C185" s="203" t="s">
        <v>672</v>
      </c>
      <c r="D185" s="203" t="s">
        <v>1122</v>
      </c>
      <c r="E185" s="160">
        <v>50</v>
      </c>
      <c r="F185" s="22">
        <v>170.69</v>
      </c>
      <c r="G185" s="202">
        <f t="shared" si="18"/>
        <v>8534.5</v>
      </c>
      <c r="H185" s="209"/>
      <c r="I185" s="219"/>
      <c r="J185" s="205"/>
      <c r="K185" s="209"/>
      <c r="L185" s="209"/>
      <c r="M185" s="209">
        <f t="shared" si="20"/>
        <v>50</v>
      </c>
      <c r="N185" s="209"/>
      <c r="O185" s="209" t="s">
        <v>947</v>
      </c>
      <c r="P185" s="205">
        <f t="shared" si="16"/>
        <v>8534.5</v>
      </c>
      <c r="Q185" s="196"/>
    </row>
    <row r="186" spans="1:17" s="8" customFormat="1" ht="15.75" x14ac:dyDescent="0.25">
      <c r="A186" s="106" t="s">
        <v>414</v>
      </c>
      <c r="B186" s="201">
        <v>44193</v>
      </c>
      <c r="C186" s="203" t="s">
        <v>673</v>
      </c>
      <c r="D186" s="203" t="s">
        <v>1122</v>
      </c>
      <c r="E186" s="160">
        <v>1040</v>
      </c>
      <c r="F186" s="22">
        <v>170.69</v>
      </c>
      <c r="G186" s="202">
        <f t="shared" si="18"/>
        <v>177517.6</v>
      </c>
      <c r="H186" s="209"/>
      <c r="I186" s="219"/>
      <c r="J186" s="205"/>
      <c r="K186" s="209"/>
      <c r="L186" s="209"/>
      <c r="M186" s="209">
        <f t="shared" si="20"/>
        <v>1040</v>
      </c>
      <c r="N186" s="209"/>
      <c r="O186" s="209" t="s">
        <v>947</v>
      </c>
      <c r="P186" s="205">
        <f t="shared" si="16"/>
        <v>177517.6</v>
      </c>
      <c r="Q186" s="196"/>
    </row>
    <row r="187" spans="1:17" s="8" customFormat="1" ht="15.75" x14ac:dyDescent="0.25">
      <c r="A187" s="106" t="s">
        <v>415</v>
      </c>
      <c r="B187" s="201">
        <v>44193</v>
      </c>
      <c r="C187" s="203" t="s">
        <v>674</v>
      </c>
      <c r="D187" s="203" t="s">
        <v>1122</v>
      </c>
      <c r="E187" s="161">
        <v>1</v>
      </c>
      <c r="F187" s="22">
        <v>170.69</v>
      </c>
      <c r="G187" s="202">
        <f t="shared" si="18"/>
        <v>170.69</v>
      </c>
      <c r="H187" s="209"/>
      <c r="I187" s="219"/>
      <c r="J187" s="205"/>
      <c r="K187" s="209"/>
      <c r="L187" s="209"/>
      <c r="M187" s="209">
        <f t="shared" si="20"/>
        <v>1</v>
      </c>
      <c r="N187" s="209"/>
      <c r="O187" s="209" t="s">
        <v>947</v>
      </c>
      <c r="P187" s="205">
        <f t="shared" si="16"/>
        <v>170.69</v>
      </c>
      <c r="Q187" s="196"/>
    </row>
    <row r="188" spans="1:17" s="8" customFormat="1" ht="15.75" x14ac:dyDescent="0.25">
      <c r="A188" s="106" t="s">
        <v>416</v>
      </c>
      <c r="B188" s="201">
        <v>44193</v>
      </c>
      <c r="C188" s="203" t="s">
        <v>675</v>
      </c>
      <c r="D188" s="203" t="s">
        <v>1122</v>
      </c>
      <c r="E188" s="161">
        <v>300</v>
      </c>
      <c r="F188" s="22">
        <v>6.5</v>
      </c>
      <c r="G188" s="202">
        <f t="shared" si="18"/>
        <v>1950</v>
      </c>
      <c r="H188" s="209"/>
      <c r="I188" s="219"/>
      <c r="J188" s="205"/>
      <c r="K188" s="209"/>
      <c r="L188" s="209">
        <v>5</v>
      </c>
      <c r="M188" s="209">
        <f t="shared" si="20"/>
        <v>295</v>
      </c>
      <c r="N188" s="209"/>
      <c r="O188" s="209" t="s">
        <v>947</v>
      </c>
      <c r="P188" s="205">
        <f t="shared" si="16"/>
        <v>1917.5</v>
      </c>
      <c r="Q188" s="196"/>
    </row>
    <row r="189" spans="1:17" s="8" customFormat="1" ht="15.75" x14ac:dyDescent="0.25">
      <c r="A189" s="106" t="s">
        <v>417</v>
      </c>
      <c r="B189" s="201">
        <v>44193</v>
      </c>
      <c r="C189" s="203" t="s">
        <v>676</v>
      </c>
      <c r="D189" s="203" t="s">
        <v>1122</v>
      </c>
      <c r="E189" s="161">
        <v>2</v>
      </c>
      <c r="F189" s="22">
        <v>3.5</v>
      </c>
      <c r="G189" s="202">
        <f t="shared" si="18"/>
        <v>7</v>
      </c>
      <c r="H189" s="209"/>
      <c r="I189" s="219"/>
      <c r="J189" s="205"/>
      <c r="K189" s="209"/>
      <c r="L189" s="209"/>
      <c r="M189" s="209">
        <f t="shared" si="20"/>
        <v>2</v>
      </c>
      <c r="N189" s="209"/>
      <c r="O189" s="209" t="s">
        <v>947</v>
      </c>
      <c r="P189" s="205">
        <f t="shared" si="16"/>
        <v>7</v>
      </c>
      <c r="Q189" s="196"/>
    </row>
    <row r="190" spans="1:17" s="8" customFormat="1" ht="15.75" x14ac:dyDescent="0.25">
      <c r="A190" s="106" t="s">
        <v>418</v>
      </c>
      <c r="B190" s="201">
        <v>44193</v>
      </c>
      <c r="C190" s="203" t="s">
        <v>678</v>
      </c>
      <c r="D190" s="203" t="s">
        <v>1122</v>
      </c>
      <c r="E190" s="161">
        <v>5</v>
      </c>
      <c r="F190" s="22">
        <v>5000</v>
      </c>
      <c r="G190" s="202">
        <f t="shared" si="18"/>
        <v>25000</v>
      </c>
      <c r="H190" s="209"/>
      <c r="I190" s="219"/>
      <c r="J190" s="205"/>
      <c r="K190" s="209"/>
      <c r="L190" s="209"/>
      <c r="M190" s="209">
        <f t="shared" si="20"/>
        <v>5</v>
      </c>
      <c r="N190" s="209"/>
      <c r="O190" s="209" t="s">
        <v>946</v>
      </c>
      <c r="P190" s="205">
        <f t="shared" si="16"/>
        <v>25000</v>
      </c>
      <c r="Q190" s="196"/>
    </row>
    <row r="191" spans="1:17" s="8" customFormat="1" ht="15.75" x14ac:dyDescent="0.25">
      <c r="A191" s="106" t="s">
        <v>419</v>
      </c>
      <c r="B191" s="201">
        <v>44193</v>
      </c>
      <c r="C191" s="203" t="s">
        <v>677</v>
      </c>
      <c r="D191" s="203" t="s">
        <v>1122</v>
      </c>
      <c r="E191" s="161">
        <v>2</v>
      </c>
      <c r="F191" s="22">
        <v>10800</v>
      </c>
      <c r="G191" s="202">
        <f t="shared" si="18"/>
        <v>21600</v>
      </c>
      <c r="H191" s="209"/>
      <c r="I191" s="219"/>
      <c r="J191" s="205"/>
      <c r="K191" s="209"/>
      <c r="L191" s="209"/>
      <c r="M191" s="209">
        <f t="shared" si="20"/>
        <v>2</v>
      </c>
      <c r="N191" s="209"/>
      <c r="O191" s="209" t="s">
        <v>946</v>
      </c>
      <c r="P191" s="205">
        <f t="shared" si="16"/>
        <v>21600</v>
      </c>
      <c r="Q191" s="196"/>
    </row>
    <row r="192" spans="1:17" s="8" customFormat="1" ht="15.75" x14ac:dyDescent="0.25">
      <c r="A192" s="106" t="s">
        <v>420</v>
      </c>
      <c r="B192" s="201">
        <v>44193</v>
      </c>
      <c r="C192" s="203" t="s">
        <v>679</v>
      </c>
      <c r="D192" s="203" t="s">
        <v>1122</v>
      </c>
      <c r="E192" s="161">
        <v>29</v>
      </c>
      <c r="F192" s="22">
        <v>33</v>
      </c>
      <c r="G192" s="202">
        <f t="shared" si="18"/>
        <v>957</v>
      </c>
      <c r="H192" s="209"/>
      <c r="I192" s="219"/>
      <c r="J192" s="205"/>
      <c r="K192" s="209"/>
      <c r="L192" s="209"/>
      <c r="M192" s="209">
        <f t="shared" si="20"/>
        <v>29</v>
      </c>
      <c r="N192" s="209"/>
      <c r="O192" s="209" t="s">
        <v>947</v>
      </c>
      <c r="P192" s="205">
        <f t="shared" si="16"/>
        <v>957</v>
      </c>
      <c r="Q192" s="196"/>
    </row>
    <row r="193" spans="1:17" s="8" customFormat="1" ht="15.75" x14ac:dyDescent="0.25">
      <c r="A193" s="106" t="s">
        <v>421</v>
      </c>
      <c r="B193" s="201">
        <v>45042</v>
      </c>
      <c r="C193" s="203" t="s">
        <v>1035</v>
      </c>
      <c r="D193" s="203" t="s">
        <v>1122</v>
      </c>
      <c r="E193" s="161">
        <f>8*12</f>
        <v>96</v>
      </c>
      <c r="F193" s="22">
        <v>15</v>
      </c>
      <c r="G193" s="202">
        <f t="shared" si="18"/>
        <v>1440</v>
      </c>
      <c r="H193" s="204">
        <v>45042</v>
      </c>
      <c r="I193" s="219">
        <f>20*12</f>
        <v>240</v>
      </c>
      <c r="J193" s="205">
        <v>11.51</v>
      </c>
      <c r="K193" s="205">
        <f>+J193*I193</f>
        <v>2762.4</v>
      </c>
      <c r="L193" s="209">
        <f>12+6+12+12+12+12+12+24</f>
        <v>102</v>
      </c>
      <c r="M193" s="209">
        <f t="shared" si="20"/>
        <v>234</v>
      </c>
      <c r="N193" s="209"/>
      <c r="O193" s="209" t="s">
        <v>947</v>
      </c>
      <c r="P193" s="205">
        <f t="shared" si="16"/>
        <v>3510</v>
      </c>
      <c r="Q193" s="196"/>
    </row>
    <row r="194" spans="1:17" s="8" customFormat="1" ht="15.75" x14ac:dyDescent="0.25">
      <c r="A194" s="106" t="s">
        <v>422</v>
      </c>
      <c r="B194" s="201">
        <v>44547</v>
      </c>
      <c r="C194" s="203" t="s">
        <v>777</v>
      </c>
      <c r="D194" s="203" t="s">
        <v>1122</v>
      </c>
      <c r="E194" s="161">
        <v>27</v>
      </c>
      <c r="F194" s="22">
        <v>8.34</v>
      </c>
      <c r="G194" s="202">
        <f t="shared" si="18"/>
        <v>225.18</v>
      </c>
      <c r="H194" s="209"/>
      <c r="I194" s="219"/>
      <c r="J194" s="205"/>
      <c r="K194" s="209"/>
      <c r="L194" s="209"/>
      <c r="M194" s="209">
        <f t="shared" si="20"/>
        <v>27</v>
      </c>
      <c r="N194" s="209"/>
      <c r="O194" s="209" t="s">
        <v>947</v>
      </c>
      <c r="P194" s="205">
        <f t="shared" si="16"/>
        <v>225.18</v>
      </c>
      <c r="Q194" s="196"/>
    </row>
    <row r="195" spans="1:17" s="8" customFormat="1" ht="15.75" x14ac:dyDescent="0.25">
      <c r="A195" s="106" t="s">
        <v>423</v>
      </c>
      <c r="B195" s="201">
        <v>44193</v>
      </c>
      <c r="C195" s="203" t="s">
        <v>1222</v>
      </c>
      <c r="D195" s="203" t="s">
        <v>1122</v>
      </c>
      <c r="E195" s="161">
        <f>12+8</f>
        <v>20</v>
      </c>
      <c r="F195" s="22">
        <v>8.34</v>
      </c>
      <c r="G195" s="202">
        <f t="shared" si="18"/>
        <v>166.8</v>
      </c>
      <c r="H195" s="209"/>
      <c r="I195" s="219">
        <v>12</v>
      </c>
      <c r="J195" s="205"/>
      <c r="K195" s="209"/>
      <c r="L195" s="209">
        <v>12</v>
      </c>
      <c r="M195" s="209">
        <f t="shared" si="20"/>
        <v>20</v>
      </c>
      <c r="N195" s="209"/>
      <c r="O195" s="209" t="s">
        <v>947</v>
      </c>
      <c r="P195" s="205">
        <f t="shared" si="16"/>
        <v>166.8</v>
      </c>
      <c r="Q195" s="196"/>
    </row>
    <row r="196" spans="1:17" s="8" customFormat="1" ht="15.75" x14ac:dyDescent="0.25">
      <c r="A196" s="106" t="s">
        <v>424</v>
      </c>
      <c r="B196" s="201">
        <v>45042</v>
      </c>
      <c r="C196" s="203" t="s">
        <v>681</v>
      </c>
      <c r="D196" s="203" t="s">
        <v>1122</v>
      </c>
      <c r="E196" s="161">
        <v>139</v>
      </c>
      <c r="F196" s="22">
        <v>5.6</v>
      </c>
      <c r="G196" s="202">
        <f t="shared" si="18"/>
        <v>778.4</v>
      </c>
      <c r="H196" s="209"/>
      <c r="I196" s="219">
        <f>20*12</f>
        <v>240</v>
      </c>
      <c r="J196" s="205">
        <v>4.43</v>
      </c>
      <c r="K196" s="205">
        <f>+J196*I196</f>
        <v>1063.1999999999998</v>
      </c>
      <c r="L196" s="209">
        <f>188+3+12+4+12+12</f>
        <v>231</v>
      </c>
      <c r="M196" s="209">
        <f t="shared" si="20"/>
        <v>148</v>
      </c>
      <c r="N196" s="209"/>
      <c r="O196" s="209" t="s">
        <v>947</v>
      </c>
      <c r="P196" s="205">
        <f t="shared" si="16"/>
        <v>828.8</v>
      </c>
      <c r="Q196" s="196"/>
    </row>
    <row r="197" spans="1:17" s="92" customFormat="1" x14ac:dyDescent="0.3">
      <c r="A197" s="106" t="s">
        <v>425</v>
      </c>
      <c r="B197" s="201">
        <v>44193</v>
      </c>
      <c r="C197" s="203" t="s">
        <v>684</v>
      </c>
      <c r="D197" s="203" t="s">
        <v>1122</v>
      </c>
      <c r="E197" s="161">
        <v>79</v>
      </c>
      <c r="F197" s="22">
        <v>160</v>
      </c>
      <c r="G197" s="202">
        <f t="shared" si="18"/>
        <v>12640</v>
      </c>
      <c r="H197" s="209"/>
      <c r="I197" s="219"/>
      <c r="J197" s="205"/>
      <c r="K197" s="209"/>
      <c r="L197" s="209">
        <v>1</v>
      </c>
      <c r="M197" s="209">
        <f t="shared" si="20"/>
        <v>78</v>
      </c>
      <c r="N197" s="209"/>
      <c r="O197" s="209" t="s">
        <v>945</v>
      </c>
      <c r="P197" s="205">
        <f t="shared" si="16"/>
        <v>12480</v>
      </c>
      <c r="Q197" s="213"/>
    </row>
    <row r="198" spans="1:17" s="105" customFormat="1" ht="15.75" x14ac:dyDescent="0.25">
      <c r="A198" s="106" t="s">
        <v>426</v>
      </c>
      <c r="B198" s="201">
        <v>45042</v>
      </c>
      <c r="C198" s="203" t="s">
        <v>787</v>
      </c>
      <c r="D198" s="203" t="s">
        <v>1122</v>
      </c>
      <c r="E198" s="161">
        <v>18</v>
      </c>
      <c r="F198" s="22">
        <v>38.65</v>
      </c>
      <c r="G198" s="202">
        <f t="shared" si="18"/>
        <v>695.69999999999993</v>
      </c>
      <c r="H198" s="204"/>
      <c r="I198" s="219">
        <v>10</v>
      </c>
      <c r="J198" s="205">
        <v>58</v>
      </c>
      <c r="K198" s="209">
        <f>+J198*I198</f>
        <v>580</v>
      </c>
      <c r="L198" s="209">
        <v>3</v>
      </c>
      <c r="M198" s="209">
        <f t="shared" si="20"/>
        <v>25</v>
      </c>
      <c r="N198" s="209" t="s">
        <v>1037</v>
      </c>
      <c r="O198" s="209" t="s">
        <v>947</v>
      </c>
      <c r="P198" s="205">
        <f t="shared" si="16"/>
        <v>966.25</v>
      </c>
      <c r="Q198" s="215"/>
    </row>
    <row r="199" spans="1:17" s="8" customFormat="1" ht="15.75" x14ac:dyDescent="0.25">
      <c r="A199" s="106" t="s">
        <v>427</v>
      </c>
      <c r="B199" s="201"/>
      <c r="C199" s="203" t="s">
        <v>1224</v>
      </c>
      <c r="D199" s="203" t="s">
        <v>1122</v>
      </c>
      <c r="E199" s="161">
        <v>56</v>
      </c>
      <c r="F199" s="22"/>
      <c r="G199" s="202"/>
      <c r="H199" s="209"/>
      <c r="I199" s="219"/>
      <c r="J199" s="205"/>
      <c r="K199" s="209"/>
      <c r="L199" s="209"/>
      <c r="M199" s="209">
        <f t="shared" si="20"/>
        <v>56</v>
      </c>
      <c r="N199" s="209"/>
      <c r="O199" s="209" t="s">
        <v>947</v>
      </c>
      <c r="P199" s="205">
        <f t="shared" si="16"/>
        <v>0</v>
      </c>
      <c r="Q199" s="196"/>
    </row>
    <row r="200" spans="1:17" s="105" customFormat="1" ht="15.75" x14ac:dyDescent="0.25">
      <c r="A200" s="106" t="s">
        <v>428</v>
      </c>
      <c r="B200" s="201">
        <v>45042</v>
      </c>
      <c r="C200" s="203" t="s">
        <v>780</v>
      </c>
      <c r="D200" s="203" t="s">
        <v>1122</v>
      </c>
      <c r="E200" s="161">
        <v>8</v>
      </c>
      <c r="F200" s="214">
        <v>310.33999999999997</v>
      </c>
      <c r="G200" s="202">
        <f>E200*F200</f>
        <v>2482.7199999999998</v>
      </c>
      <c r="H200" s="204">
        <v>45042</v>
      </c>
      <c r="I200" s="219">
        <v>10</v>
      </c>
      <c r="J200" s="205">
        <v>310.33999999999997</v>
      </c>
      <c r="K200" s="205">
        <f>+J200*I200</f>
        <v>3103.3999999999996</v>
      </c>
      <c r="L200" s="209">
        <v>2</v>
      </c>
      <c r="M200" s="209">
        <f t="shared" si="20"/>
        <v>16</v>
      </c>
      <c r="N200" s="209" t="s">
        <v>1037</v>
      </c>
      <c r="O200" s="209" t="s">
        <v>947</v>
      </c>
      <c r="P200" s="205">
        <f t="shared" si="16"/>
        <v>4965.4399999999996</v>
      </c>
      <c r="Q200" s="215"/>
    </row>
    <row r="201" spans="1:17" s="8" customFormat="1" ht="15.75" x14ac:dyDescent="0.25">
      <c r="A201" s="106" t="s">
        <v>429</v>
      </c>
      <c r="B201" s="201"/>
      <c r="C201" s="203" t="s">
        <v>783</v>
      </c>
      <c r="D201" s="203" t="s">
        <v>1122</v>
      </c>
      <c r="E201" s="161">
        <v>15</v>
      </c>
      <c r="F201" s="22"/>
      <c r="G201" s="202"/>
      <c r="H201" s="209"/>
      <c r="I201" s="219"/>
      <c r="J201" s="205"/>
      <c r="K201" s="209"/>
      <c r="L201" s="209"/>
      <c r="M201" s="209">
        <f t="shared" si="20"/>
        <v>15</v>
      </c>
      <c r="N201" s="209"/>
      <c r="O201" s="209" t="s">
        <v>947</v>
      </c>
      <c r="P201" s="205">
        <f t="shared" si="16"/>
        <v>0</v>
      </c>
      <c r="Q201" s="196"/>
    </row>
    <row r="202" spans="1:17" s="8" customFormat="1" ht="15.75" x14ac:dyDescent="0.25">
      <c r="A202" s="106" t="s">
        <v>430</v>
      </c>
      <c r="B202" s="201">
        <v>44193</v>
      </c>
      <c r="C202" s="203" t="s">
        <v>687</v>
      </c>
      <c r="D202" s="203" t="s">
        <v>1122</v>
      </c>
      <c r="E202" s="160">
        <v>2</v>
      </c>
      <c r="F202" s="22">
        <v>175</v>
      </c>
      <c r="G202" s="202">
        <f t="shared" ref="G202:G260" si="21">E202*F202</f>
        <v>350</v>
      </c>
      <c r="H202" s="209"/>
      <c r="I202" s="219"/>
      <c r="J202" s="205"/>
      <c r="K202" s="209"/>
      <c r="L202" s="209"/>
      <c r="M202" s="209">
        <f t="shared" si="20"/>
        <v>2</v>
      </c>
      <c r="N202" s="209"/>
      <c r="O202" s="209" t="s">
        <v>947</v>
      </c>
      <c r="P202" s="205">
        <f t="shared" si="16"/>
        <v>350</v>
      </c>
      <c r="Q202" s="196"/>
    </row>
    <row r="203" spans="1:17" s="8" customFormat="1" ht="15.75" x14ac:dyDescent="0.25">
      <c r="A203" s="106" t="s">
        <v>431</v>
      </c>
      <c r="B203" s="201">
        <v>44193</v>
      </c>
      <c r="C203" s="203" t="s">
        <v>695</v>
      </c>
      <c r="D203" s="203" t="s">
        <v>1122</v>
      </c>
      <c r="E203" s="161">
        <v>1</v>
      </c>
      <c r="F203" s="22">
        <v>270.55</v>
      </c>
      <c r="G203" s="202">
        <f t="shared" si="21"/>
        <v>270.55</v>
      </c>
      <c r="H203" s="209"/>
      <c r="I203" s="219"/>
      <c r="J203" s="205"/>
      <c r="K203" s="209"/>
      <c r="L203" s="209"/>
      <c r="M203" s="209">
        <f t="shared" si="20"/>
        <v>1</v>
      </c>
      <c r="N203" s="209"/>
      <c r="O203" s="209" t="s">
        <v>946</v>
      </c>
      <c r="P203" s="205">
        <f t="shared" si="16"/>
        <v>270.55</v>
      </c>
      <c r="Q203" s="196"/>
    </row>
    <row r="204" spans="1:17" s="8" customFormat="1" ht="15.75" x14ac:dyDescent="0.25">
      <c r="A204" s="106" t="s">
        <v>432</v>
      </c>
      <c r="B204" s="201">
        <v>44193</v>
      </c>
      <c r="C204" s="203" t="s">
        <v>688</v>
      </c>
      <c r="D204" s="203" t="s">
        <v>1122</v>
      </c>
      <c r="E204" s="160">
        <v>3</v>
      </c>
      <c r="F204" s="22">
        <v>79.8</v>
      </c>
      <c r="G204" s="202">
        <f t="shared" si="21"/>
        <v>239.39999999999998</v>
      </c>
      <c r="H204" s="209"/>
      <c r="I204" s="219"/>
      <c r="J204" s="205"/>
      <c r="K204" s="209"/>
      <c r="L204" s="209"/>
      <c r="M204" s="209">
        <f t="shared" si="20"/>
        <v>3</v>
      </c>
      <c r="N204" s="209"/>
      <c r="O204" s="209" t="s">
        <v>946</v>
      </c>
      <c r="P204" s="205">
        <f t="shared" si="16"/>
        <v>239.39999999999998</v>
      </c>
      <c r="Q204" s="196"/>
    </row>
    <row r="205" spans="1:17" s="8" customFormat="1" ht="15.75" x14ac:dyDescent="0.25">
      <c r="A205" s="106" t="s">
        <v>433</v>
      </c>
      <c r="B205" s="201">
        <v>44193</v>
      </c>
      <c r="C205" s="203" t="s">
        <v>689</v>
      </c>
      <c r="D205" s="203" t="s">
        <v>1122</v>
      </c>
      <c r="E205" s="160">
        <v>7</v>
      </c>
      <c r="F205" s="22">
        <v>79.8</v>
      </c>
      <c r="G205" s="202">
        <f t="shared" si="21"/>
        <v>558.6</v>
      </c>
      <c r="H205" s="209"/>
      <c r="I205" s="219"/>
      <c r="J205" s="205"/>
      <c r="K205" s="209"/>
      <c r="L205" s="209"/>
      <c r="M205" s="209">
        <f t="shared" si="20"/>
        <v>7</v>
      </c>
      <c r="N205" s="209"/>
      <c r="O205" s="209" t="s">
        <v>946</v>
      </c>
      <c r="P205" s="205">
        <f t="shared" si="16"/>
        <v>558.6</v>
      </c>
      <c r="Q205" s="196"/>
    </row>
    <row r="206" spans="1:17" s="8" customFormat="1" ht="15.75" x14ac:dyDescent="0.25">
      <c r="A206" s="106" t="s">
        <v>434</v>
      </c>
      <c r="B206" s="201">
        <v>44193</v>
      </c>
      <c r="C206" s="203" t="s">
        <v>690</v>
      </c>
      <c r="D206" s="203" t="s">
        <v>1122</v>
      </c>
      <c r="E206" s="161">
        <v>7</v>
      </c>
      <c r="F206" s="22">
        <v>62.93</v>
      </c>
      <c r="G206" s="202">
        <f t="shared" si="21"/>
        <v>440.51</v>
      </c>
      <c r="H206" s="209"/>
      <c r="I206" s="219"/>
      <c r="J206" s="205"/>
      <c r="K206" s="209"/>
      <c r="L206" s="209"/>
      <c r="M206" s="209">
        <f t="shared" si="20"/>
        <v>7</v>
      </c>
      <c r="N206" s="209"/>
      <c r="O206" s="209" t="s">
        <v>946</v>
      </c>
      <c r="P206" s="205">
        <f t="shared" si="16"/>
        <v>440.51</v>
      </c>
      <c r="Q206" s="196"/>
    </row>
    <row r="207" spans="1:17" s="8" customFormat="1" ht="15.75" x14ac:dyDescent="0.25">
      <c r="A207" s="106" t="s">
        <v>435</v>
      </c>
      <c r="B207" s="201">
        <v>44193</v>
      </c>
      <c r="C207" s="203" t="s">
        <v>691</v>
      </c>
      <c r="D207" s="203" t="s">
        <v>1122</v>
      </c>
      <c r="E207" s="161">
        <v>21</v>
      </c>
      <c r="F207" s="22">
        <v>165</v>
      </c>
      <c r="G207" s="202">
        <f t="shared" si="21"/>
        <v>3465</v>
      </c>
      <c r="H207" s="209"/>
      <c r="I207" s="219"/>
      <c r="J207" s="205"/>
      <c r="K207" s="209"/>
      <c r="L207" s="209"/>
      <c r="M207" s="209">
        <f t="shared" si="20"/>
        <v>21</v>
      </c>
      <c r="N207" s="209"/>
      <c r="O207" s="209" t="s">
        <v>946</v>
      </c>
      <c r="P207" s="205">
        <f t="shared" si="16"/>
        <v>3465</v>
      </c>
      <c r="Q207" s="196"/>
    </row>
    <row r="208" spans="1:17" s="8" customFormat="1" ht="15.75" x14ac:dyDescent="0.25">
      <c r="A208" s="106" t="s">
        <v>436</v>
      </c>
      <c r="B208" s="201">
        <v>44193</v>
      </c>
      <c r="C208" s="203" t="s">
        <v>791</v>
      </c>
      <c r="D208" s="203" t="s">
        <v>1122</v>
      </c>
      <c r="E208" s="161">
        <v>18</v>
      </c>
      <c r="F208" s="22">
        <v>52</v>
      </c>
      <c r="G208" s="202">
        <f t="shared" si="21"/>
        <v>936</v>
      </c>
      <c r="H208" s="209"/>
      <c r="I208" s="219"/>
      <c r="J208" s="205"/>
      <c r="K208" s="209"/>
      <c r="L208" s="209">
        <v>1</v>
      </c>
      <c r="M208" s="209">
        <f t="shared" si="20"/>
        <v>17</v>
      </c>
      <c r="N208" s="209"/>
      <c r="O208" s="209" t="s">
        <v>946</v>
      </c>
      <c r="P208" s="205">
        <f t="shared" si="16"/>
        <v>884</v>
      </c>
      <c r="Q208" s="196"/>
    </row>
    <row r="209" spans="1:17" s="8" customFormat="1" ht="15.75" x14ac:dyDescent="0.25">
      <c r="A209" s="106" t="s">
        <v>437</v>
      </c>
      <c r="B209" s="201">
        <v>44193</v>
      </c>
      <c r="C209" s="203" t="s">
        <v>790</v>
      </c>
      <c r="D209" s="203" t="s">
        <v>1122</v>
      </c>
      <c r="E209" s="161">
        <v>11</v>
      </c>
      <c r="F209" s="22">
        <v>79.8</v>
      </c>
      <c r="G209" s="202">
        <f t="shared" si="21"/>
        <v>877.8</v>
      </c>
      <c r="H209" s="209"/>
      <c r="I209" s="219"/>
      <c r="J209" s="205"/>
      <c r="K209" s="209"/>
      <c r="L209" s="209"/>
      <c r="M209" s="209">
        <f t="shared" si="20"/>
        <v>11</v>
      </c>
      <c r="N209" s="209"/>
      <c r="O209" s="209" t="s">
        <v>946</v>
      </c>
      <c r="P209" s="205">
        <f t="shared" si="16"/>
        <v>877.8</v>
      </c>
      <c r="Q209" s="196"/>
    </row>
    <row r="210" spans="1:17" s="8" customFormat="1" ht="15.75" x14ac:dyDescent="0.25">
      <c r="A210" s="106" t="s">
        <v>438</v>
      </c>
      <c r="B210" s="201">
        <v>44193</v>
      </c>
      <c r="C210" s="203" t="s">
        <v>693</v>
      </c>
      <c r="D210" s="203" t="s">
        <v>1122</v>
      </c>
      <c r="E210" s="161">
        <v>1</v>
      </c>
      <c r="F210" s="22">
        <v>2075</v>
      </c>
      <c r="G210" s="202">
        <f t="shared" si="21"/>
        <v>2075</v>
      </c>
      <c r="H210" s="209"/>
      <c r="I210" s="219"/>
      <c r="J210" s="205"/>
      <c r="K210" s="209"/>
      <c r="L210" s="209"/>
      <c r="M210" s="209">
        <f t="shared" si="20"/>
        <v>1</v>
      </c>
      <c r="N210" s="209"/>
      <c r="O210" s="209" t="s">
        <v>946</v>
      </c>
      <c r="P210" s="205">
        <f t="shared" si="16"/>
        <v>2075</v>
      </c>
      <c r="Q210" s="196"/>
    </row>
    <row r="211" spans="1:17" s="8" customFormat="1" ht="15.75" x14ac:dyDescent="0.25">
      <c r="A211" s="106" t="s">
        <v>439</v>
      </c>
      <c r="B211" s="201">
        <v>44193</v>
      </c>
      <c r="C211" s="203" t="s">
        <v>692</v>
      </c>
      <c r="D211" s="203" t="s">
        <v>1122</v>
      </c>
      <c r="E211" s="161">
        <v>18</v>
      </c>
      <c r="F211" s="22">
        <v>165</v>
      </c>
      <c r="G211" s="202">
        <f t="shared" si="21"/>
        <v>2970</v>
      </c>
      <c r="H211" s="209"/>
      <c r="I211" s="219"/>
      <c r="J211" s="205"/>
      <c r="K211" s="209"/>
      <c r="L211" s="209"/>
      <c r="M211" s="209">
        <f t="shared" si="20"/>
        <v>18</v>
      </c>
      <c r="N211" s="209"/>
      <c r="O211" s="209" t="s">
        <v>946</v>
      </c>
      <c r="P211" s="205">
        <f t="shared" si="16"/>
        <v>2970</v>
      </c>
      <c r="Q211" s="196"/>
    </row>
    <row r="212" spans="1:17" s="8" customFormat="1" ht="15.75" x14ac:dyDescent="0.25">
      <c r="A212" s="106" t="s">
        <v>440</v>
      </c>
      <c r="B212" s="201">
        <v>44193</v>
      </c>
      <c r="C212" s="203" t="s">
        <v>697</v>
      </c>
      <c r="D212" s="203" t="s">
        <v>1122</v>
      </c>
      <c r="E212" s="161">
        <v>20</v>
      </c>
      <c r="F212" s="22">
        <v>79.8</v>
      </c>
      <c r="G212" s="202">
        <f t="shared" si="21"/>
        <v>1596</v>
      </c>
      <c r="H212" s="209"/>
      <c r="I212" s="219"/>
      <c r="J212" s="205"/>
      <c r="K212" s="209"/>
      <c r="L212" s="209"/>
      <c r="M212" s="209">
        <f t="shared" si="20"/>
        <v>20</v>
      </c>
      <c r="N212" s="209"/>
      <c r="O212" s="209" t="s">
        <v>946</v>
      </c>
      <c r="P212" s="205">
        <f t="shared" si="16"/>
        <v>1596</v>
      </c>
      <c r="Q212" s="196"/>
    </row>
    <row r="213" spans="1:17" s="8" customFormat="1" ht="15.75" x14ac:dyDescent="0.25">
      <c r="A213" s="106" t="s">
        <v>441</v>
      </c>
      <c r="B213" s="201">
        <v>44193</v>
      </c>
      <c r="C213" s="203" t="s">
        <v>696</v>
      </c>
      <c r="D213" s="203" t="s">
        <v>1122</v>
      </c>
      <c r="E213" s="161">
        <v>9</v>
      </c>
      <c r="F213" s="22">
        <v>79.8</v>
      </c>
      <c r="G213" s="202">
        <f t="shared" si="21"/>
        <v>718.19999999999993</v>
      </c>
      <c r="H213" s="209"/>
      <c r="I213" s="219"/>
      <c r="J213" s="205"/>
      <c r="K213" s="209"/>
      <c r="L213" s="209">
        <v>1</v>
      </c>
      <c r="M213" s="209">
        <f t="shared" si="20"/>
        <v>8</v>
      </c>
      <c r="N213" s="209"/>
      <c r="O213" s="209" t="s">
        <v>946</v>
      </c>
      <c r="P213" s="205">
        <f t="shared" si="16"/>
        <v>638.4</v>
      </c>
      <c r="Q213" s="196"/>
    </row>
    <row r="214" spans="1:17" s="8" customFormat="1" ht="15.75" x14ac:dyDescent="0.25">
      <c r="A214" s="106" t="s">
        <v>442</v>
      </c>
      <c r="B214" s="201"/>
      <c r="C214" s="203" t="s">
        <v>808</v>
      </c>
      <c r="D214" s="203" t="s">
        <v>1122</v>
      </c>
      <c r="E214" s="161">
        <v>9</v>
      </c>
      <c r="F214" s="22">
        <v>352</v>
      </c>
      <c r="G214" s="202">
        <f t="shared" si="21"/>
        <v>3168</v>
      </c>
      <c r="H214" s="209"/>
      <c r="I214" s="219"/>
      <c r="J214" s="205"/>
      <c r="K214" s="209"/>
      <c r="L214" s="209"/>
      <c r="M214" s="209">
        <f t="shared" si="20"/>
        <v>9</v>
      </c>
      <c r="N214" s="209"/>
      <c r="O214" s="209" t="s">
        <v>946</v>
      </c>
      <c r="P214" s="205">
        <f t="shared" si="16"/>
        <v>3168</v>
      </c>
      <c r="Q214" s="196"/>
    </row>
    <row r="215" spans="1:17" s="92" customFormat="1" x14ac:dyDescent="0.3">
      <c r="A215" s="106" t="s">
        <v>443</v>
      </c>
      <c r="B215" s="201">
        <v>45127</v>
      </c>
      <c r="C215" s="203" t="s">
        <v>698</v>
      </c>
      <c r="D215" s="203" t="s">
        <v>1122</v>
      </c>
      <c r="E215" s="161">
        <v>4</v>
      </c>
      <c r="F215" s="22">
        <v>676.5</v>
      </c>
      <c r="G215" s="202">
        <f t="shared" si="21"/>
        <v>2706</v>
      </c>
      <c r="H215" s="204">
        <v>45127</v>
      </c>
      <c r="I215" s="219">
        <v>18</v>
      </c>
      <c r="J215" s="205">
        <v>676.5</v>
      </c>
      <c r="K215" s="209">
        <v>676.5</v>
      </c>
      <c r="L215" s="209">
        <f>2+1+1</f>
        <v>4</v>
      </c>
      <c r="M215" s="209">
        <f t="shared" si="20"/>
        <v>18</v>
      </c>
      <c r="N215" s="209"/>
      <c r="O215" s="209" t="s">
        <v>945</v>
      </c>
      <c r="P215" s="205">
        <f>+F215*M215</f>
        <v>12177</v>
      </c>
      <c r="Q215" s="213"/>
    </row>
    <row r="216" spans="1:17" s="92" customFormat="1" x14ac:dyDescent="0.3">
      <c r="A216" s="106" t="s">
        <v>444</v>
      </c>
      <c r="B216" s="201">
        <v>44193</v>
      </c>
      <c r="C216" s="203" t="s">
        <v>699</v>
      </c>
      <c r="D216" s="203" t="s">
        <v>1122</v>
      </c>
      <c r="E216" s="161">
        <v>15</v>
      </c>
      <c r="F216" s="22">
        <v>140</v>
      </c>
      <c r="G216" s="202">
        <f t="shared" si="21"/>
        <v>2100</v>
      </c>
      <c r="H216" s="209"/>
      <c r="I216" s="219"/>
      <c r="J216" s="205"/>
      <c r="K216" s="209"/>
      <c r="L216" s="209">
        <v>1</v>
      </c>
      <c r="M216" s="209">
        <f t="shared" si="20"/>
        <v>14</v>
      </c>
      <c r="N216" s="209"/>
      <c r="O216" s="209" t="s">
        <v>945</v>
      </c>
      <c r="P216" s="205">
        <f t="shared" si="16"/>
        <v>1960</v>
      </c>
      <c r="Q216" s="213"/>
    </row>
    <row r="217" spans="1:17" s="8" customFormat="1" ht="15.75" x14ac:dyDescent="0.25">
      <c r="A217" s="106" t="s">
        <v>445</v>
      </c>
      <c r="B217" s="201">
        <v>44193</v>
      </c>
      <c r="C217" s="203" t="s">
        <v>706</v>
      </c>
      <c r="D217" s="203" t="s">
        <v>1122</v>
      </c>
      <c r="E217" s="160">
        <v>1</v>
      </c>
      <c r="F217" s="22">
        <v>5250</v>
      </c>
      <c r="G217" s="202">
        <f t="shared" si="21"/>
        <v>5250</v>
      </c>
      <c r="H217" s="209"/>
      <c r="I217" s="219"/>
      <c r="J217" s="205"/>
      <c r="K217" s="209"/>
      <c r="L217" s="209"/>
      <c r="M217" s="209">
        <f t="shared" si="20"/>
        <v>1</v>
      </c>
      <c r="N217" s="209"/>
      <c r="O217" s="209" t="s">
        <v>947</v>
      </c>
      <c r="P217" s="205">
        <f t="shared" ref="P217:P280" si="22">+F217*M217</f>
        <v>5250</v>
      </c>
      <c r="Q217" s="196"/>
    </row>
    <row r="218" spans="1:17" s="8" customFormat="1" ht="15.75" x14ac:dyDescent="0.25">
      <c r="A218" s="106" t="s">
        <v>446</v>
      </c>
      <c r="B218" s="201">
        <v>44193</v>
      </c>
      <c r="C218" s="203" t="s">
        <v>700</v>
      </c>
      <c r="D218" s="203" t="s">
        <v>1122</v>
      </c>
      <c r="E218" s="160">
        <f>9+12+12+24</f>
        <v>57</v>
      </c>
      <c r="F218" s="22">
        <v>12.93</v>
      </c>
      <c r="G218" s="202">
        <f t="shared" si="21"/>
        <v>737.01</v>
      </c>
      <c r="H218" s="209"/>
      <c r="I218" s="219"/>
      <c r="J218" s="205"/>
      <c r="K218" s="209"/>
      <c r="L218" s="209"/>
      <c r="M218" s="209">
        <f t="shared" si="20"/>
        <v>57</v>
      </c>
      <c r="N218" s="209"/>
      <c r="O218" s="209" t="s">
        <v>947</v>
      </c>
      <c r="P218" s="205">
        <f t="shared" si="22"/>
        <v>737.01</v>
      </c>
      <c r="Q218" s="196"/>
    </row>
    <row r="219" spans="1:17" s="8" customFormat="1" ht="15.75" x14ac:dyDescent="0.25">
      <c r="A219" s="106" t="s">
        <v>447</v>
      </c>
      <c r="B219" s="201">
        <v>44193</v>
      </c>
      <c r="C219" s="203" t="s">
        <v>701</v>
      </c>
      <c r="D219" s="203" t="s">
        <v>1122</v>
      </c>
      <c r="E219" s="160">
        <f>16+12+12</f>
        <v>40</v>
      </c>
      <c r="F219" s="22">
        <v>14.37</v>
      </c>
      <c r="G219" s="202">
        <f t="shared" si="21"/>
        <v>574.79999999999995</v>
      </c>
      <c r="H219" s="209"/>
      <c r="I219" s="219"/>
      <c r="J219" s="205"/>
      <c r="K219" s="209"/>
      <c r="L219" s="209"/>
      <c r="M219" s="209">
        <f t="shared" si="20"/>
        <v>40</v>
      </c>
      <c r="N219" s="209"/>
      <c r="O219" s="209" t="s">
        <v>947</v>
      </c>
      <c r="P219" s="205">
        <f t="shared" si="22"/>
        <v>574.79999999999995</v>
      </c>
      <c r="Q219" s="196"/>
    </row>
    <row r="220" spans="1:17" s="8" customFormat="1" ht="15.75" x14ac:dyDescent="0.25">
      <c r="A220" s="106" t="s">
        <v>448</v>
      </c>
      <c r="B220" s="201">
        <v>44193</v>
      </c>
      <c r="C220" s="203" t="s">
        <v>702</v>
      </c>
      <c r="D220" s="203" t="s">
        <v>1122</v>
      </c>
      <c r="E220" s="160">
        <v>6</v>
      </c>
      <c r="F220" s="22">
        <v>35</v>
      </c>
      <c r="G220" s="202">
        <f t="shared" si="21"/>
        <v>210</v>
      </c>
      <c r="H220" s="209"/>
      <c r="I220" s="219"/>
      <c r="J220" s="205"/>
      <c r="K220" s="209"/>
      <c r="L220" s="209"/>
      <c r="M220" s="209">
        <f t="shared" si="20"/>
        <v>6</v>
      </c>
      <c r="N220" s="209"/>
      <c r="O220" s="209" t="s">
        <v>947</v>
      </c>
      <c r="P220" s="205">
        <f t="shared" si="22"/>
        <v>210</v>
      </c>
      <c r="Q220" s="196"/>
    </row>
    <row r="221" spans="1:17" s="8" customFormat="1" ht="15.75" x14ac:dyDescent="0.25">
      <c r="A221" s="106" t="s">
        <v>449</v>
      </c>
      <c r="B221" s="201">
        <v>44193</v>
      </c>
      <c r="C221" s="203" t="s">
        <v>703</v>
      </c>
      <c r="D221" s="203" t="s">
        <v>1122</v>
      </c>
      <c r="E221" s="160"/>
      <c r="F221" s="22">
        <v>30</v>
      </c>
      <c r="G221" s="202">
        <f t="shared" si="21"/>
        <v>0</v>
      </c>
      <c r="H221" s="209"/>
      <c r="I221" s="219"/>
      <c r="J221" s="205"/>
      <c r="K221" s="209"/>
      <c r="L221" s="209"/>
      <c r="M221" s="209">
        <f t="shared" si="20"/>
        <v>0</v>
      </c>
      <c r="N221" s="209"/>
      <c r="O221" s="209" t="s">
        <v>947</v>
      </c>
      <c r="P221" s="205">
        <f t="shared" si="22"/>
        <v>0</v>
      </c>
      <c r="Q221" s="196"/>
    </row>
    <row r="222" spans="1:17" s="8" customFormat="1" ht="15.75" x14ac:dyDescent="0.25">
      <c r="A222" s="106" t="s">
        <v>450</v>
      </c>
      <c r="B222" s="201">
        <v>44193</v>
      </c>
      <c r="C222" s="203" t="s">
        <v>704</v>
      </c>
      <c r="D222" s="203" t="s">
        <v>1122</v>
      </c>
      <c r="E222" s="160">
        <v>1300</v>
      </c>
      <c r="F222" s="22">
        <v>2.6</v>
      </c>
      <c r="G222" s="202">
        <f t="shared" si="21"/>
        <v>3380</v>
      </c>
      <c r="H222" s="209"/>
      <c r="I222" s="219"/>
      <c r="J222" s="205"/>
      <c r="K222" s="209"/>
      <c r="L222" s="209">
        <v>1150</v>
      </c>
      <c r="M222" s="209">
        <f t="shared" si="20"/>
        <v>150</v>
      </c>
      <c r="N222" s="209"/>
      <c r="O222" s="209" t="s">
        <v>947</v>
      </c>
      <c r="P222" s="205">
        <f t="shared" si="22"/>
        <v>390</v>
      </c>
      <c r="Q222" s="196"/>
    </row>
    <row r="223" spans="1:17" s="8" customFormat="1" ht="15.75" x14ac:dyDescent="0.25">
      <c r="A223" s="106" t="s">
        <v>451</v>
      </c>
      <c r="B223" s="201">
        <v>44193</v>
      </c>
      <c r="C223" s="203" t="s">
        <v>705</v>
      </c>
      <c r="D223" s="203" t="s">
        <v>1122</v>
      </c>
      <c r="E223" s="160">
        <v>1</v>
      </c>
      <c r="F223" s="22">
        <v>728.81</v>
      </c>
      <c r="G223" s="202">
        <f t="shared" si="21"/>
        <v>728.81</v>
      </c>
      <c r="H223" s="209"/>
      <c r="I223" s="219"/>
      <c r="J223" s="205"/>
      <c r="K223" s="209"/>
      <c r="L223" s="209"/>
      <c r="M223" s="209">
        <f t="shared" si="20"/>
        <v>1</v>
      </c>
      <c r="N223" s="209"/>
      <c r="O223" s="209" t="s">
        <v>947</v>
      </c>
      <c r="P223" s="205">
        <f t="shared" si="22"/>
        <v>728.81</v>
      </c>
      <c r="Q223" s="196"/>
    </row>
    <row r="224" spans="1:17" s="8" customFormat="1" ht="15.75" x14ac:dyDescent="0.25">
      <c r="A224" s="106" t="s">
        <v>452</v>
      </c>
      <c r="B224" s="201">
        <v>44193</v>
      </c>
      <c r="C224" s="203" t="s">
        <v>709</v>
      </c>
      <c r="D224" s="203" t="s">
        <v>1122</v>
      </c>
      <c r="E224" s="160">
        <v>2</v>
      </c>
      <c r="F224" s="22">
        <v>350</v>
      </c>
      <c r="G224" s="202">
        <f t="shared" si="21"/>
        <v>700</v>
      </c>
      <c r="H224" s="209"/>
      <c r="I224" s="219"/>
      <c r="J224" s="205"/>
      <c r="K224" s="209"/>
      <c r="L224" s="209"/>
      <c r="M224" s="209">
        <f t="shared" si="20"/>
        <v>2</v>
      </c>
      <c r="N224" s="209"/>
      <c r="O224" s="209" t="s">
        <v>947</v>
      </c>
      <c r="P224" s="205">
        <f t="shared" si="22"/>
        <v>700</v>
      </c>
      <c r="Q224" s="196"/>
    </row>
    <row r="225" spans="1:17" s="8" customFormat="1" ht="15.75" x14ac:dyDescent="0.25">
      <c r="A225" s="106" t="s">
        <v>453</v>
      </c>
      <c r="B225" s="201">
        <v>44193</v>
      </c>
      <c r="C225" s="203" t="s">
        <v>707</v>
      </c>
      <c r="D225" s="203" t="s">
        <v>1122</v>
      </c>
      <c r="E225" s="160">
        <v>5</v>
      </c>
      <c r="F225" s="22">
        <v>595</v>
      </c>
      <c r="G225" s="202">
        <f t="shared" si="21"/>
        <v>2975</v>
      </c>
      <c r="H225" s="209"/>
      <c r="I225" s="219"/>
      <c r="J225" s="205"/>
      <c r="K225" s="209"/>
      <c r="L225" s="209"/>
      <c r="M225" s="209">
        <f t="shared" si="20"/>
        <v>5</v>
      </c>
      <c r="N225" s="209"/>
      <c r="O225" s="209" t="s">
        <v>947</v>
      </c>
      <c r="P225" s="205">
        <f t="shared" si="22"/>
        <v>2975</v>
      </c>
      <c r="Q225" s="196"/>
    </row>
    <row r="226" spans="1:17" s="8" customFormat="1" ht="15.75" x14ac:dyDescent="0.25">
      <c r="A226" s="106" t="s">
        <v>454</v>
      </c>
      <c r="B226" s="201">
        <v>44193</v>
      </c>
      <c r="C226" s="203" t="s">
        <v>868</v>
      </c>
      <c r="D226" s="203" t="s">
        <v>1122</v>
      </c>
      <c r="E226" s="160">
        <v>2</v>
      </c>
      <c r="F226" s="22">
        <v>300</v>
      </c>
      <c r="G226" s="202">
        <f t="shared" si="21"/>
        <v>600</v>
      </c>
      <c r="H226" s="209"/>
      <c r="I226" s="219"/>
      <c r="J226" s="205"/>
      <c r="K226" s="209"/>
      <c r="L226" s="209"/>
      <c r="M226" s="209">
        <f t="shared" si="20"/>
        <v>2</v>
      </c>
      <c r="N226" s="209"/>
      <c r="O226" s="209" t="s">
        <v>947</v>
      </c>
      <c r="P226" s="205">
        <f t="shared" si="22"/>
        <v>600</v>
      </c>
      <c r="Q226" s="196"/>
    </row>
    <row r="227" spans="1:17" s="8" customFormat="1" ht="15.75" x14ac:dyDescent="0.25">
      <c r="A227" s="106" t="s">
        <v>455</v>
      </c>
      <c r="B227" s="201">
        <v>44193</v>
      </c>
      <c r="C227" s="203" t="s">
        <v>710</v>
      </c>
      <c r="D227" s="203" t="s">
        <v>1122</v>
      </c>
      <c r="E227" s="160">
        <v>0</v>
      </c>
      <c r="F227" s="22">
        <v>3950</v>
      </c>
      <c r="G227" s="202">
        <f t="shared" si="21"/>
        <v>0</v>
      </c>
      <c r="H227" s="209"/>
      <c r="I227" s="219"/>
      <c r="J227" s="205"/>
      <c r="K227" s="209"/>
      <c r="L227" s="209"/>
      <c r="M227" s="209">
        <f t="shared" si="20"/>
        <v>0</v>
      </c>
      <c r="N227" s="209"/>
      <c r="O227" s="209" t="s">
        <v>947</v>
      </c>
      <c r="P227" s="205">
        <f t="shared" si="22"/>
        <v>0</v>
      </c>
      <c r="Q227" s="196"/>
    </row>
    <row r="228" spans="1:17" s="8" customFormat="1" ht="15.75" x14ac:dyDescent="0.25">
      <c r="A228" s="106" t="s">
        <v>456</v>
      </c>
      <c r="B228" s="160" t="s">
        <v>108</v>
      </c>
      <c r="C228" s="203" t="s">
        <v>714</v>
      </c>
      <c r="D228" s="203" t="s">
        <v>1122</v>
      </c>
      <c r="E228" s="160">
        <v>6</v>
      </c>
      <c r="F228" s="214">
        <v>11000</v>
      </c>
      <c r="G228" s="202">
        <f t="shared" si="21"/>
        <v>66000</v>
      </c>
      <c r="H228" s="209"/>
      <c r="I228" s="219"/>
      <c r="J228" s="205"/>
      <c r="K228" s="209"/>
      <c r="L228" s="209"/>
      <c r="M228" s="209">
        <f t="shared" si="20"/>
        <v>6</v>
      </c>
      <c r="N228" s="209"/>
      <c r="O228" s="209" t="s">
        <v>947</v>
      </c>
      <c r="P228" s="205">
        <f t="shared" si="22"/>
        <v>66000</v>
      </c>
      <c r="Q228" s="196"/>
    </row>
    <row r="229" spans="1:17" s="8" customFormat="1" ht="15.75" x14ac:dyDescent="0.25">
      <c r="A229" s="106" t="s">
        <v>457</v>
      </c>
      <c r="B229" s="201">
        <v>44652</v>
      </c>
      <c r="C229" s="203" t="s">
        <v>856</v>
      </c>
      <c r="D229" s="203" t="s">
        <v>1122</v>
      </c>
      <c r="E229" s="161">
        <v>5</v>
      </c>
      <c r="F229" s="22">
        <v>1700</v>
      </c>
      <c r="G229" s="202">
        <f t="shared" si="21"/>
        <v>8500</v>
      </c>
      <c r="H229" s="209"/>
      <c r="I229" s="219"/>
      <c r="J229" s="205"/>
      <c r="K229" s="209"/>
      <c r="L229" s="209"/>
      <c r="M229" s="209">
        <f t="shared" si="20"/>
        <v>5</v>
      </c>
      <c r="N229" s="209"/>
      <c r="O229" s="209" t="s">
        <v>946</v>
      </c>
      <c r="P229" s="205">
        <f t="shared" si="22"/>
        <v>8500</v>
      </c>
      <c r="Q229" s="196"/>
    </row>
    <row r="230" spans="1:17" s="8" customFormat="1" ht="15.75" x14ac:dyDescent="0.25">
      <c r="A230" s="106" t="s">
        <v>458</v>
      </c>
      <c r="B230" s="201">
        <v>44193</v>
      </c>
      <c r="C230" s="203" t="s">
        <v>712</v>
      </c>
      <c r="D230" s="203" t="s">
        <v>1122</v>
      </c>
      <c r="E230" s="160">
        <v>0</v>
      </c>
      <c r="F230" s="22">
        <v>148.31</v>
      </c>
      <c r="G230" s="202">
        <f t="shared" si="21"/>
        <v>0</v>
      </c>
      <c r="H230" s="209"/>
      <c r="I230" s="219"/>
      <c r="J230" s="205"/>
      <c r="K230" s="209"/>
      <c r="L230" s="209"/>
      <c r="M230" s="209">
        <f t="shared" si="20"/>
        <v>0</v>
      </c>
      <c r="N230" s="209"/>
      <c r="O230" s="209" t="s">
        <v>946</v>
      </c>
      <c r="P230" s="205">
        <f t="shared" si="22"/>
        <v>0</v>
      </c>
      <c r="Q230" s="196"/>
    </row>
    <row r="231" spans="1:17" s="8" customFormat="1" ht="15.75" x14ac:dyDescent="0.25">
      <c r="A231" s="106" t="s">
        <v>459</v>
      </c>
      <c r="B231" s="201">
        <v>44193</v>
      </c>
      <c r="C231" s="203" t="s">
        <v>713</v>
      </c>
      <c r="D231" s="203" t="s">
        <v>1122</v>
      </c>
      <c r="E231" s="160">
        <v>0</v>
      </c>
      <c r="F231" s="22">
        <v>122.88</v>
      </c>
      <c r="G231" s="202">
        <f t="shared" si="21"/>
        <v>0</v>
      </c>
      <c r="H231" s="209"/>
      <c r="I231" s="219"/>
      <c r="J231" s="205"/>
      <c r="K231" s="209"/>
      <c r="L231" s="209"/>
      <c r="M231" s="209">
        <f t="shared" si="20"/>
        <v>0</v>
      </c>
      <c r="N231" s="209"/>
      <c r="O231" s="209" t="s">
        <v>946</v>
      </c>
      <c r="P231" s="205">
        <f t="shared" si="22"/>
        <v>0</v>
      </c>
      <c r="Q231" s="196"/>
    </row>
    <row r="232" spans="1:17" s="8" customFormat="1" ht="15.75" x14ac:dyDescent="0.25">
      <c r="A232" s="106" t="s">
        <v>460</v>
      </c>
      <c r="B232" s="201">
        <v>44193</v>
      </c>
      <c r="C232" s="203" t="s">
        <v>847</v>
      </c>
      <c r="D232" s="203" t="s">
        <v>1122</v>
      </c>
      <c r="E232" s="160">
        <v>0</v>
      </c>
      <c r="F232" s="22">
        <v>0</v>
      </c>
      <c r="G232" s="202">
        <f t="shared" si="21"/>
        <v>0</v>
      </c>
      <c r="H232" s="209"/>
      <c r="I232" s="219"/>
      <c r="J232" s="205"/>
      <c r="K232" s="209"/>
      <c r="L232" s="209"/>
      <c r="M232" s="209">
        <f t="shared" si="20"/>
        <v>0</v>
      </c>
      <c r="N232" s="209"/>
      <c r="O232" s="209" t="s">
        <v>946</v>
      </c>
      <c r="P232" s="205">
        <f t="shared" si="22"/>
        <v>0</v>
      </c>
      <c r="Q232" s="196"/>
    </row>
    <row r="233" spans="1:17" s="8" customFormat="1" ht="15.75" x14ac:dyDescent="0.25">
      <c r="A233" s="106" t="s">
        <v>461</v>
      </c>
      <c r="B233" s="201">
        <v>44851</v>
      </c>
      <c r="C233" s="203" t="s">
        <v>711</v>
      </c>
      <c r="D233" s="203" t="s">
        <v>1122</v>
      </c>
      <c r="E233" s="160">
        <v>0</v>
      </c>
      <c r="F233" s="22">
        <v>156.35</v>
      </c>
      <c r="G233" s="202">
        <f t="shared" si="21"/>
        <v>0</v>
      </c>
      <c r="H233" s="204">
        <v>44851</v>
      </c>
      <c r="I233" s="219">
        <v>100</v>
      </c>
      <c r="J233" s="205">
        <v>156.35</v>
      </c>
      <c r="K233" s="206">
        <f>+I233*J233</f>
        <v>15635</v>
      </c>
      <c r="L233" s="209">
        <f>2+1+1+1+2</f>
        <v>7</v>
      </c>
      <c r="M233" s="209">
        <f t="shared" si="20"/>
        <v>93</v>
      </c>
      <c r="N233" s="209"/>
      <c r="O233" s="209" t="s">
        <v>946</v>
      </c>
      <c r="P233" s="205">
        <f t="shared" si="22"/>
        <v>14540.55</v>
      </c>
      <c r="Q233" s="196"/>
    </row>
    <row r="234" spans="1:17" s="92" customFormat="1" x14ac:dyDescent="0.3">
      <c r="A234" s="106" t="s">
        <v>462</v>
      </c>
      <c r="B234" s="201">
        <v>44193</v>
      </c>
      <c r="C234" s="203" t="s">
        <v>716</v>
      </c>
      <c r="D234" s="203" t="s">
        <v>1122</v>
      </c>
      <c r="E234" s="160">
        <v>0</v>
      </c>
      <c r="F234" s="214">
        <v>82</v>
      </c>
      <c r="G234" s="202">
        <f t="shared" si="21"/>
        <v>0</v>
      </c>
      <c r="H234" s="209"/>
      <c r="I234" s="219"/>
      <c r="J234" s="205"/>
      <c r="K234" s="209"/>
      <c r="L234" s="209">
        <v>2</v>
      </c>
      <c r="M234" s="209">
        <f t="shared" si="20"/>
        <v>-2</v>
      </c>
      <c r="N234" s="209"/>
      <c r="O234" s="209" t="s">
        <v>945</v>
      </c>
      <c r="P234" s="205">
        <f t="shared" si="22"/>
        <v>-164</v>
      </c>
      <c r="Q234" s="213"/>
    </row>
    <row r="235" spans="1:17" s="92" customFormat="1" x14ac:dyDescent="0.3">
      <c r="A235" s="106" t="s">
        <v>463</v>
      </c>
      <c r="B235" s="201">
        <v>44193</v>
      </c>
      <c r="C235" s="203" t="s">
        <v>717</v>
      </c>
      <c r="D235" s="203" t="s">
        <v>1122</v>
      </c>
      <c r="E235" s="160">
        <v>0</v>
      </c>
      <c r="F235" s="214">
        <v>14.29</v>
      </c>
      <c r="G235" s="202">
        <f t="shared" si="21"/>
        <v>0</v>
      </c>
      <c r="H235" s="209"/>
      <c r="I235" s="219"/>
      <c r="J235" s="205"/>
      <c r="K235" s="209"/>
      <c r="L235" s="209"/>
      <c r="M235" s="209">
        <f t="shared" si="20"/>
        <v>0</v>
      </c>
      <c r="N235" s="209"/>
      <c r="O235" s="209" t="s">
        <v>945</v>
      </c>
      <c r="P235" s="205">
        <f t="shared" si="22"/>
        <v>0</v>
      </c>
      <c r="Q235" s="213"/>
    </row>
    <row r="236" spans="1:17" s="92" customFormat="1" x14ac:dyDescent="0.3">
      <c r="A236" s="106" t="s">
        <v>464</v>
      </c>
      <c r="B236" s="160" t="s">
        <v>770</v>
      </c>
      <c r="C236" s="203" t="s">
        <v>715</v>
      </c>
      <c r="D236" s="203" t="s">
        <v>1122</v>
      </c>
      <c r="E236" s="160">
        <v>6</v>
      </c>
      <c r="F236" s="214">
        <v>82</v>
      </c>
      <c r="G236" s="202">
        <f t="shared" si="21"/>
        <v>492</v>
      </c>
      <c r="H236" s="209"/>
      <c r="I236" s="219"/>
      <c r="J236" s="205"/>
      <c r="K236" s="209"/>
      <c r="L236" s="209"/>
      <c r="M236" s="209">
        <f t="shared" si="20"/>
        <v>6</v>
      </c>
      <c r="N236" s="209"/>
      <c r="O236" s="209" t="s">
        <v>945</v>
      </c>
      <c r="P236" s="205">
        <f t="shared" si="22"/>
        <v>492</v>
      </c>
      <c r="Q236" s="213"/>
    </row>
    <row r="237" spans="1:17" s="8" customFormat="1" ht="15.75" x14ac:dyDescent="0.25">
      <c r="A237" s="106" t="s">
        <v>465</v>
      </c>
      <c r="B237" s="160" t="s">
        <v>108</v>
      </c>
      <c r="C237" s="203" t="s">
        <v>718</v>
      </c>
      <c r="D237" s="203" t="s">
        <v>1122</v>
      </c>
      <c r="E237" s="160">
        <v>0</v>
      </c>
      <c r="F237" s="214">
        <v>6375</v>
      </c>
      <c r="G237" s="202">
        <f t="shared" si="21"/>
        <v>0</v>
      </c>
      <c r="H237" s="209"/>
      <c r="I237" s="219"/>
      <c r="J237" s="205"/>
      <c r="K237" s="209"/>
      <c r="L237" s="209">
        <v>1</v>
      </c>
      <c r="M237" s="209">
        <f t="shared" si="20"/>
        <v>-1</v>
      </c>
      <c r="N237" s="209"/>
      <c r="O237" s="209" t="s">
        <v>946</v>
      </c>
      <c r="P237" s="205">
        <f t="shared" si="22"/>
        <v>-6375</v>
      </c>
      <c r="Q237" s="196"/>
    </row>
    <row r="238" spans="1:17" s="8" customFormat="1" ht="15.75" x14ac:dyDescent="0.25">
      <c r="A238" s="106" t="s">
        <v>466</v>
      </c>
      <c r="B238" s="201">
        <v>44193</v>
      </c>
      <c r="C238" s="203" t="s">
        <v>781</v>
      </c>
      <c r="D238" s="203" t="s">
        <v>1122</v>
      </c>
      <c r="E238" s="160">
        <v>2</v>
      </c>
      <c r="F238" s="22">
        <v>725</v>
      </c>
      <c r="G238" s="202">
        <f t="shared" si="21"/>
        <v>1450</v>
      </c>
      <c r="H238" s="209"/>
      <c r="I238" s="219"/>
      <c r="J238" s="205"/>
      <c r="K238" s="209"/>
      <c r="L238" s="209"/>
      <c r="M238" s="209">
        <f t="shared" si="20"/>
        <v>2</v>
      </c>
      <c r="N238" s="209"/>
      <c r="O238" s="209" t="s">
        <v>947</v>
      </c>
      <c r="P238" s="205">
        <f t="shared" si="22"/>
        <v>1450</v>
      </c>
      <c r="Q238" s="196"/>
    </row>
    <row r="239" spans="1:17" s="8" customFormat="1" ht="15.75" x14ac:dyDescent="0.25">
      <c r="A239" s="106" t="s">
        <v>467</v>
      </c>
      <c r="B239" s="201">
        <v>45042</v>
      </c>
      <c r="C239" s="203" t="s">
        <v>1168</v>
      </c>
      <c r="D239" s="203" t="s">
        <v>1122</v>
      </c>
      <c r="E239" s="161">
        <v>40</v>
      </c>
      <c r="F239" s="22">
        <v>326.62</v>
      </c>
      <c r="G239" s="202">
        <f t="shared" si="21"/>
        <v>13064.8</v>
      </c>
      <c r="H239" s="204">
        <v>45042</v>
      </c>
      <c r="I239" s="219">
        <v>50</v>
      </c>
      <c r="J239" s="205">
        <v>279.66000000000003</v>
      </c>
      <c r="K239" s="205">
        <f>+J239*I239</f>
        <v>13983.000000000002</v>
      </c>
      <c r="L239" s="209">
        <f>17+1+1+5+1+1+1+2+5</f>
        <v>34</v>
      </c>
      <c r="M239" s="209">
        <f t="shared" si="20"/>
        <v>56</v>
      </c>
      <c r="N239" s="209" t="s">
        <v>1037</v>
      </c>
      <c r="O239" s="209" t="s">
        <v>947</v>
      </c>
      <c r="P239" s="205">
        <f t="shared" si="22"/>
        <v>18290.72</v>
      </c>
      <c r="Q239" s="196"/>
    </row>
    <row r="240" spans="1:17" s="8" customFormat="1" ht="15.75" x14ac:dyDescent="0.25">
      <c r="A240" s="106" t="s">
        <v>468</v>
      </c>
      <c r="B240" s="201">
        <v>44193</v>
      </c>
      <c r="C240" s="203" t="s">
        <v>722</v>
      </c>
      <c r="D240" s="203" t="s">
        <v>1122</v>
      </c>
      <c r="E240" s="160">
        <v>100</v>
      </c>
      <c r="F240" s="22">
        <v>2.25</v>
      </c>
      <c r="G240" s="202">
        <f t="shared" si="21"/>
        <v>225</v>
      </c>
      <c r="H240" s="209"/>
      <c r="I240" s="219"/>
      <c r="J240" s="205"/>
      <c r="K240" s="205">
        <f t="shared" ref="K240:K251" si="23">+J240*I240</f>
        <v>0</v>
      </c>
      <c r="L240" s="209">
        <v>5</v>
      </c>
      <c r="M240" s="209">
        <f t="shared" ref="M240:M303" si="24">+E240+I240-L240</f>
        <v>95</v>
      </c>
      <c r="N240" s="209"/>
      <c r="O240" s="209" t="s">
        <v>947</v>
      </c>
      <c r="P240" s="205">
        <f t="shared" si="22"/>
        <v>213.75</v>
      </c>
      <c r="Q240" s="196"/>
    </row>
    <row r="241" spans="1:17" s="105" customFormat="1" ht="15.75" x14ac:dyDescent="0.25">
      <c r="A241" s="106" t="s">
        <v>469</v>
      </c>
      <c r="B241" s="201">
        <v>44852</v>
      </c>
      <c r="C241" s="203" t="s">
        <v>1039</v>
      </c>
      <c r="D241" s="203" t="s">
        <v>1122</v>
      </c>
      <c r="E241" s="160">
        <v>7</v>
      </c>
      <c r="F241" s="22">
        <v>428.22</v>
      </c>
      <c r="G241" s="202">
        <f t="shared" si="21"/>
        <v>2997.54</v>
      </c>
      <c r="H241" s="204">
        <v>44852</v>
      </c>
      <c r="I241" s="219">
        <f>2*10</f>
        <v>20</v>
      </c>
      <c r="J241" s="205">
        <v>428.22</v>
      </c>
      <c r="K241" s="205">
        <f t="shared" si="23"/>
        <v>8564.4000000000015</v>
      </c>
      <c r="L241" s="209">
        <v>4</v>
      </c>
      <c r="M241" s="209">
        <f t="shared" si="24"/>
        <v>23</v>
      </c>
      <c r="N241" s="209" t="s">
        <v>1037</v>
      </c>
      <c r="O241" s="209" t="s">
        <v>947</v>
      </c>
      <c r="P241" s="205">
        <f t="shared" si="22"/>
        <v>9849.0600000000013</v>
      </c>
      <c r="Q241" s="215"/>
    </row>
    <row r="242" spans="1:17" s="8" customFormat="1" ht="15.75" x14ac:dyDescent="0.25">
      <c r="A242" s="106" t="s">
        <v>470</v>
      </c>
      <c r="B242" s="201">
        <v>44852</v>
      </c>
      <c r="C242" s="203" t="s">
        <v>725</v>
      </c>
      <c r="D242" s="203" t="s">
        <v>1122</v>
      </c>
      <c r="E242" s="160">
        <v>61</v>
      </c>
      <c r="F242" s="22">
        <v>21.69</v>
      </c>
      <c r="G242" s="202">
        <f t="shared" si="21"/>
        <v>1323.0900000000001</v>
      </c>
      <c r="H242" s="204">
        <v>44852</v>
      </c>
      <c r="I242" s="219">
        <v>2</v>
      </c>
      <c r="J242" s="205">
        <v>21.69</v>
      </c>
      <c r="K242" s="205">
        <f t="shared" si="23"/>
        <v>43.38</v>
      </c>
      <c r="L242" s="209">
        <v>16</v>
      </c>
      <c r="M242" s="209">
        <f t="shared" si="24"/>
        <v>47</v>
      </c>
      <c r="N242" s="209" t="s">
        <v>1037</v>
      </c>
      <c r="O242" s="209" t="s">
        <v>947</v>
      </c>
      <c r="P242" s="205">
        <f t="shared" si="22"/>
        <v>1019.4300000000001</v>
      </c>
      <c r="Q242" s="196"/>
    </row>
    <row r="243" spans="1:17" s="105" customFormat="1" ht="15.75" x14ac:dyDescent="0.25">
      <c r="A243" s="106" t="s">
        <v>466</v>
      </c>
      <c r="B243" s="201">
        <v>44851</v>
      </c>
      <c r="C243" s="203" t="s">
        <v>1228</v>
      </c>
      <c r="D243" s="203" t="s">
        <v>1122</v>
      </c>
      <c r="E243" s="160">
        <v>2</v>
      </c>
      <c r="F243" s="22">
        <v>857.86</v>
      </c>
      <c r="G243" s="202">
        <f t="shared" si="21"/>
        <v>1715.72</v>
      </c>
      <c r="H243" s="204">
        <v>44851</v>
      </c>
      <c r="I243" s="219">
        <v>2</v>
      </c>
      <c r="J243" s="205">
        <v>857.86</v>
      </c>
      <c r="K243" s="209">
        <f>+J243*I243</f>
        <v>1715.72</v>
      </c>
      <c r="L243" s="209">
        <v>2</v>
      </c>
      <c r="M243" s="209">
        <f t="shared" si="24"/>
        <v>2</v>
      </c>
      <c r="N243" s="209" t="s">
        <v>1037</v>
      </c>
      <c r="O243" s="209" t="s">
        <v>947</v>
      </c>
      <c r="P243" s="205">
        <f t="shared" si="22"/>
        <v>1715.72</v>
      </c>
      <c r="Q243" s="215"/>
    </row>
    <row r="244" spans="1:17" s="8" customFormat="1" ht="15.75" x14ac:dyDescent="0.25">
      <c r="A244" s="106" t="s">
        <v>948</v>
      </c>
      <c r="B244" s="204">
        <v>45127</v>
      </c>
      <c r="C244" s="203" t="s">
        <v>1240</v>
      </c>
      <c r="D244" s="203" t="s">
        <v>1122</v>
      </c>
      <c r="E244" s="161">
        <v>226</v>
      </c>
      <c r="F244" s="22">
        <v>58.51</v>
      </c>
      <c r="G244" s="202"/>
      <c r="H244" s="204">
        <v>45127</v>
      </c>
      <c r="I244" s="219">
        <v>600</v>
      </c>
      <c r="J244" s="205">
        <v>74.290000000000006</v>
      </c>
      <c r="K244" s="205">
        <f>+J244*I244</f>
        <v>44574.000000000007</v>
      </c>
      <c r="L244" s="209">
        <f>84+24+36</f>
        <v>144</v>
      </c>
      <c r="M244" s="209">
        <f t="shared" si="24"/>
        <v>682</v>
      </c>
      <c r="N244" s="209"/>
      <c r="O244" s="209" t="s">
        <v>946</v>
      </c>
      <c r="P244" s="205">
        <f t="shared" si="22"/>
        <v>39903.82</v>
      </c>
      <c r="Q244" s="196"/>
    </row>
    <row r="245" spans="1:17" s="8" customFormat="1" ht="15.75" x14ac:dyDescent="0.25">
      <c r="A245" s="106" t="s">
        <v>473</v>
      </c>
      <c r="B245" s="160" t="s">
        <v>112</v>
      </c>
      <c r="C245" s="203" t="s">
        <v>752</v>
      </c>
      <c r="D245" s="203" t="s">
        <v>1122</v>
      </c>
      <c r="E245" s="161">
        <v>3</v>
      </c>
      <c r="F245" s="22">
        <v>135</v>
      </c>
      <c r="G245" s="202">
        <f t="shared" si="21"/>
        <v>405</v>
      </c>
      <c r="H245" s="209"/>
      <c r="I245" s="219"/>
      <c r="J245" s="205"/>
      <c r="K245" s="205">
        <f t="shared" si="23"/>
        <v>0</v>
      </c>
      <c r="L245" s="209"/>
      <c r="M245" s="209">
        <f t="shared" si="24"/>
        <v>3</v>
      </c>
      <c r="N245" s="209"/>
      <c r="O245" s="209" t="s">
        <v>947</v>
      </c>
      <c r="P245" s="205">
        <f t="shared" si="22"/>
        <v>405</v>
      </c>
      <c r="Q245" s="196"/>
    </row>
    <row r="246" spans="1:17" s="105" customFormat="1" ht="15.75" x14ac:dyDescent="0.25">
      <c r="A246" s="106" t="s">
        <v>507</v>
      </c>
      <c r="B246" s="201">
        <v>45042</v>
      </c>
      <c r="C246" s="203" t="s">
        <v>728</v>
      </c>
      <c r="D246" s="203" t="s">
        <v>1122</v>
      </c>
      <c r="E246" s="161">
        <v>15</v>
      </c>
      <c r="F246" s="22">
        <v>206.54</v>
      </c>
      <c r="G246" s="202">
        <f t="shared" si="21"/>
        <v>3098.1</v>
      </c>
      <c r="H246" s="204">
        <v>45042</v>
      </c>
      <c r="I246" s="219">
        <v>10</v>
      </c>
      <c r="J246" s="205">
        <v>206.54</v>
      </c>
      <c r="K246" s="209">
        <f>+J246*I246</f>
        <v>2065.4</v>
      </c>
      <c r="L246" s="209">
        <f>2+1</f>
        <v>3</v>
      </c>
      <c r="M246" s="209">
        <f t="shared" si="24"/>
        <v>22</v>
      </c>
      <c r="N246" s="209" t="s">
        <v>1037</v>
      </c>
      <c r="O246" s="209" t="s">
        <v>947</v>
      </c>
      <c r="P246" s="205">
        <f t="shared" si="22"/>
        <v>4543.88</v>
      </c>
      <c r="Q246" s="215"/>
    </row>
    <row r="247" spans="1:17" s="8" customFormat="1" ht="15.75" x14ac:dyDescent="0.25">
      <c r="A247" s="106" t="s">
        <v>508</v>
      </c>
      <c r="B247" s="201">
        <v>44193</v>
      </c>
      <c r="C247" s="203" t="s">
        <v>729</v>
      </c>
      <c r="D247" s="203" t="s">
        <v>1122</v>
      </c>
      <c r="E247" s="161">
        <v>226</v>
      </c>
      <c r="F247" s="22">
        <v>22.2</v>
      </c>
      <c r="G247" s="202">
        <f t="shared" si="21"/>
        <v>5017.2</v>
      </c>
      <c r="H247" s="209"/>
      <c r="I247" s="219"/>
      <c r="J247" s="205"/>
      <c r="K247" s="205">
        <f t="shared" si="23"/>
        <v>0</v>
      </c>
      <c r="L247" s="209">
        <v>6</v>
      </c>
      <c r="M247" s="209">
        <f t="shared" si="24"/>
        <v>220</v>
      </c>
      <c r="N247" s="209"/>
      <c r="O247" s="209" t="s">
        <v>947</v>
      </c>
      <c r="P247" s="205">
        <f t="shared" si="22"/>
        <v>4884</v>
      </c>
      <c r="Q247" s="196"/>
    </row>
    <row r="248" spans="1:17" s="8" customFormat="1" ht="15.75" x14ac:dyDescent="0.25">
      <c r="A248" s="106" t="s">
        <v>509</v>
      </c>
      <c r="B248" s="201">
        <v>44610</v>
      </c>
      <c r="C248" s="203" t="s">
        <v>730</v>
      </c>
      <c r="D248" s="203" t="s">
        <v>1122</v>
      </c>
      <c r="E248" s="161">
        <v>2</v>
      </c>
      <c r="F248" s="22">
        <v>284.99</v>
      </c>
      <c r="G248" s="202">
        <f t="shared" si="21"/>
        <v>569.98</v>
      </c>
      <c r="H248" s="204">
        <v>44610</v>
      </c>
      <c r="I248" s="219">
        <v>2</v>
      </c>
      <c r="J248" s="205">
        <v>284.99</v>
      </c>
      <c r="K248" s="205">
        <f t="shared" si="23"/>
        <v>569.98</v>
      </c>
      <c r="L248" s="209"/>
      <c r="M248" s="209">
        <f t="shared" si="24"/>
        <v>4</v>
      </c>
      <c r="N248" s="209" t="s">
        <v>1037</v>
      </c>
      <c r="O248" s="209" t="s">
        <v>947</v>
      </c>
      <c r="P248" s="205">
        <f t="shared" si="22"/>
        <v>1139.96</v>
      </c>
      <c r="Q248" s="196"/>
    </row>
    <row r="249" spans="1:17" s="8" customFormat="1" ht="15.75" x14ac:dyDescent="0.25">
      <c r="A249" s="106" t="s">
        <v>869</v>
      </c>
      <c r="B249" s="201">
        <v>44193</v>
      </c>
      <c r="C249" s="203" t="s">
        <v>825</v>
      </c>
      <c r="D249" s="203" t="s">
        <v>1122</v>
      </c>
      <c r="E249" s="161">
        <v>11</v>
      </c>
      <c r="F249" s="22">
        <v>301</v>
      </c>
      <c r="G249" s="202">
        <f t="shared" si="21"/>
        <v>3311</v>
      </c>
      <c r="H249" s="209"/>
      <c r="I249" s="219"/>
      <c r="J249" s="205"/>
      <c r="K249" s="205">
        <f t="shared" si="23"/>
        <v>0</v>
      </c>
      <c r="L249" s="209"/>
      <c r="M249" s="209">
        <f t="shared" si="24"/>
        <v>11</v>
      </c>
      <c r="N249" s="209"/>
      <c r="O249" s="209" t="s">
        <v>947</v>
      </c>
      <c r="P249" s="205">
        <f t="shared" si="22"/>
        <v>3311</v>
      </c>
      <c r="Q249" s="196"/>
    </row>
    <row r="250" spans="1:17" s="92" customFormat="1" x14ac:dyDescent="0.3">
      <c r="A250" s="106" t="s">
        <v>512</v>
      </c>
      <c r="B250" s="201">
        <v>45019</v>
      </c>
      <c r="C250" s="203" t="s">
        <v>731</v>
      </c>
      <c r="D250" s="203" t="s">
        <v>1122</v>
      </c>
      <c r="E250" s="161">
        <v>180</v>
      </c>
      <c r="F250" s="214">
        <v>38.19</v>
      </c>
      <c r="G250" s="202">
        <f t="shared" si="21"/>
        <v>6874.2</v>
      </c>
      <c r="H250" s="204">
        <v>45019</v>
      </c>
      <c r="I250" s="219">
        <f>7*48</f>
        <v>336</v>
      </c>
      <c r="J250" s="205">
        <v>38.19</v>
      </c>
      <c r="K250" s="205">
        <f t="shared" si="23"/>
        <v>12831.84</v>
      </c>
      <c r="L250" s="209">
        <f>48+3+3+2+4+6+7+3+3+6+1+6+2+4+14+13+4+3+10+4+4</f>
        <v>150</v>
      </c>
      <c r="M250" s="209">
        <f t="shared" si="24"/>
        <v>366</v>
      </c>
      <c r="N250" s="209" t="s">
        <v>1006</v>
      </c>
      <c r="O250" s="209" t="s">
        <v>945</v>
      </c>
      <c r="P250" s="205">
        <f t="shared" si="22"/>
        <v>13977.539999999999</v>
      </c>
      <c r="Q250" s="213"/>
    </row>
    <row r="251" spans="1:17" s="105" customFormat="1" ht="15.75" x14ac:dyDescent="0.25">
      <c r="A251" s="106" t="s">
        <v>870</v>
      </c>
      <c r="B251" s="201">
        <v>44852</v>
      </c>
      <c r="C251" s="203" t="s">
        <v>950</v>
      </c>
      <c r="D251" s="203" t="s">
        <v>1122</v>
      </c>
      <c r="E251" s="161">
        <f>52+12</f>
        <v>64</v>
      </c>
      <c r="F251" s="22">
        <v>44.54</v>
      </c>
      <c r="G251" s="202">
        <f t="shared" si="21"/>
        <v>2850.56</v>
      </c>
      <c r="H251" s="204">
        <v>44852</v>
      </c>
      <c r="I251" s="219">
        <v>32</v>
      </c>
      <c r="J251" s="205">
        <v>44.54</v>
      </c>
      <c r="K251" s="205">
        <f t="shared" si="23"/>
        <v>1425.28</v>
      </c>
      <c r="L251" s="209">
        <f>4+4+6</f>
        <v>14</v>
      </c>
      <c r="M251" s="209">
        <f t="shared" si="24"/>
        <v>82</v>
      </c>
      <c r="N251" s="209"/>
      <c r="O251" s="209" t="s">
        <v>945</v>
      </c>
      <c r="P251" s="205">
        <f t="shared" si="22"/>
        <v>3652.2799999999997</v>
      </c>
      <c r="Q251" s="215"/>
    </row>
    <row r="252" spans="1:17" s="92" customFormat="1" x14ac:dyDescent="0.3">
      <c r="A252" s="106" t="s">
        <v>513</v>
      </c>
      <c r="B252" s="201">
        <v>44678</v>
      </c>
      <c r="C252" s="203" t="s">
        <v>853</v>
      </c>
      <c r="D252" s="203" t="s">
        <v>1122</v>
      </c>
      <c r="E252" s="161">
        <v>16</v>
      </c>
      <c r="F252" s="22">
        <v>3000</v>
      </c>
      <c r="G252" s="202">
        <f t="shared" si="21"/>
        <v>48000</v>
      </c>
      <c r="H252" s="209"/>
      <c r="I252" s="219"/>
      <c r="J252" s="205"/>
      <c r="K252" s="209"/>
      <c r="L252" s="209"/>
      <c r="M252" s="209">
        <f t="shared" si="24"/>
        <v>16</v>
      </c>
      <c r="N252" s="209"/>
      <c r="O252" s="209" t="s">
        <v>945</v>
      </c>
      <c r="P252" s="205">
        <f t="shared" si="22"/>
        <v>48000</v>
      </c>
      <c r="Q252" s="213"/>
    </row>
    <row r="253" spans="1:17" s="92" customFormat="1" x14ac:dyDescent="0.3">
      <c r="A253" s="106" t="s">
        <v>514</v>
      </c>
      <c r="B253" s="201">
        <v>44193</v>
      </c>
      <c r="C253" s="203" t="s">
        <v>734</v>
      </c>
      <c r="D253" s="203" t="s">
        <v>1122</v>
      </c>
      <c r="E253" s="161">
        <v>0</v>
      </c>
      <c r="F253" s="22">
        <v>1500</v>
      </c>
      <c r="G253" s="202">
        <f t="shared" si="21"/>
        <v>0</v>
      </c>
      <c r="H253" s="209"/>
      <c r="I253" s="219"/>
      <c r="J253" s="205"/>
      <c r="K253" s="209"/>
      <c r="L253" s="209"/>
      <c r="M253" s="209">
        <f t="shared" si="24"/>
        <v>0</v>
      </c>
      <c r="N253" s="209"/>
      <c r="O253" s="209" t="s">
        <v>945</v>
      </c>
      <c r="P253" s="205">
        <f t="shared" si="22"/>
        <v>0</v>
      </c>
      <c r="Q253" s="213"/>
    </row>
    <row r="254" spans="1:17" s="92" customFormat="1" x14ac:dyDescent="0.3">
      <c r="A254" s="106" t="s">
        <v>871</v>
      </c>
      <c r="B254" s="201">
        <v>44678</v>
      </c>
      <c r="C254" s="203" t="s">
        <v>852</v>
      </c>
      <c r="D254" s="203" t="s">
        <v>1122</v>
      </c>
      <c r="E254" s="161">
        <v>11</v>
      </c>
      <c r="F254" s="22">
        <v>1500</v>
      </c>
      <c r="G254" s="202">
        <f t="shared" si="21"/>
        <v>16500</v>
      </c>
      <c r="H254" s="209"/>
      <c r="I254" s="219"/>
      <c r="J254" s="205"/>
      <c r="K254" s="209"/>
      <c r="L254" s="209"/>
      <c r="M254" s="209">
        <f t="shared" si="24"/>
        <v>11</v>
      </c>
      <c r="N254" s="209"/>
      <c r="O254" s="209" t="s">
        <v>945</v>
      </c>
      <c r="P254" s="205">
        <f t="shared" si="22"/>
        <v>16500</v>
      </c>
      <c r="Q254" s="213"/>
    </row>
    <row r="255" spans="1:17" s="92" customFormat="1" x14ac:dyDescent="0.3">
      <c r="A255" s="106" t="s">
        <v>872</v>
      </c>
      <c r="B255" s="201">
        <v>44678</v>
      </c>
      <c r="C255" s="203" t="s">
        <v>735</v>
      </c>
      <c r="D255" s="203" t="s">
        <v>1122</v>
      </c>
      <c r="E255" s="161">
        <v>3</v>
      </c>
      <c r="F255" s="22">
        <v>3800</v>
      </c>
      <c r="G255" s="202">
        <f t="shared" si="21"/>
        <v>11400</v>
      </c>
      <c r="H255" s="209"/>
      <c r="I255" s="219"/>
      <c r="J255" s="205"/>
      <c r="K255" s="209"/>
      <c r="L255" s="209"/>
      <c r="M255" s="209">
        <f t="shared" si="24"/>
        <v>3</v>
      </c>
      <c r="N255" s="209"/>
      <c r="O255" s="209" t="s">
        <v>945</v>
      </c>
      <c r="P255" s="205">
        <f t="shared" si="22"/>
        <v>11400</v>
      </c>
      <c r="Q255" s="213"/>
    </row>
    <row r="256" spans="1:17" s="92" customFormat="1" x14ac:dyDescent="0.3">
      <c r="A256" s="106" t="s">
        <v>515</v>
      </c>
      <c r="B256" s="201">
        <v>44678</v>
      </c>
      <c r="C256" s="203" t="s">
        <v>737</v>
      </c>
      <c r="D256" s="203" t="s">
        <v>1122</v>
      </c>
      <c r="E256" s="161">
        <v>2</v>
      </c>
      <c r="F256" s="22">
        <v>1500</v>
      </c>
      <c r="G256" s="202">
        <f t="shared" si="21"/>
        <v>3000</v>
      </c>
      <c r="H256" s="209"/>
      <c r="I256" s="219"/>
      <c r="J256" s="205"/>
      <c r="K256" s="209"/>
      <c r="L256" s="209"/>
      <c r="M256" s="209">
        <f t="shared" si="24"/>
        <v>2</v>
      </c>
      <c r="N256" s="209"/>
      <c r="O256" s="209" t="s">
        <v>945</v>
      </c>
      <c r="P256" s="205">
        <f t="shared" si="22"/>
        <v>3000</v>
      </c>
      <c r="Q256" s="213"/>
    </row>
    <row r="257" spans="1:17" s="92" customFormat="1" x14ac:dyDescent="0.3">
      <c r="A257" s="106" t="s">
        <v>516</v>
      </c>
      <c r="B257" s="201">
        <v>44678</v>
      </c>
      <c r="C257" s="203" t="s">
        <v>736</v>
      </c>
      <c r="D257" s="203" t="s">
        <v>1122</v>
      </c>
      <c r="E257" s="161">
        <v>2</v>
      </c>
      <c r="F257" s="22">
        <v>3800</v>
      </c>
      <c r="G257" s="202">
        <f t="shared" si="21"/>
        <v>7600</v>
      </c>
      <c r="H257" s="209"/>
      <c r="I257" s="219"/>
      <c r="J257" s="205"/>
      <c r="K257" s="209"/>
      <c r="L257" s="209"/>
      <c r="M257" s="209">
        <f t="shared" si="24"/>
        <v>2</v>
      </c>
      <c r="N257" s="209"/>
      <c r="O257" s="209" t="s">
        <v>945</v>
      </c>
      <c r="P257" s="205">
        <f t="shared" si="22"/>
        <v>7600</v>
      </c>
      <c r="Q257" s="213"/>
    </row>
    <row r="258" spans="1:17" s="92" customFormat="1" x14ac:dyDescent="0.3">
      <c r="A258" s="106" t="s">
        <v>517</v>
      </c>
      <c r="B258" s="201">
        <v>44678</v>
      </c>
      <c r="C258" s="203" t="s">
        <v>738</v>
      </c>
      <c r="D258" s="203" t="s">
        <v>1122</v>
      </c>
      <c r="E258" s="161">
        <v>4</v>
      </c>
      <c r="F258" s="22">
        <v>3800</v>
      </c>
      <c r="G258" s="202">
        <f t="shared" si="21"/>
        <v>15200</v>
      </c>
      <c r="H258" s="209"/>
      <c r="I258" s="219"/>
      <c r="J258" s="205"/>
      <c r="K258" s="209"/>
      <c r="L258" s="209"/>
      <c r="M258" s="209">
        <f t="shared" si="24"/>
        <v>4</v>
      </c>
      <c r="N258" s="209"/>
      <c r="O258" s="209" t="s">
        <v>945</v>
      </c>
      <c r="P258" s="205">
        <f t="shared" si="22"/>
        <v>15200</v>
      </c>
      <c r="Q258" s="213"/>
    </row>
    <row r="259" spans="1:17" s="92" customFormat="1" x14ac:dyDescent="0.3">
      <c r="A259" s="106" t="s">
        <v>518</v>
      </c>
      <c r="B259" s="201">
        <v>44678</v>
      </c>
      <c r="C259" s="203" t="s">
        <v>751</v>
      </c>
      <c r="D259" s="203" t="s">
        <v>1122</v>
      </c>
      <c r="E259" s="161">
        <v>16</v>
      </c>
      <c r="F259" s="22">
        <v>3000</v>
      </c>
      <c r="G259" s="202">
        <f t="shared" si="21"/>
        <v>48000</v>
      </c>
      <c r="H259" s="209"/>
      <c r="I259" s="219"/>
      <c r="J259" s="205"/>
      <c r="K259" s="209"/>
      <c r="L259" s="209"/>
      <c r="M259" s="209">
        <f t="shared" si="24"/>
        <v>16</v>
      </c>
      <c r="N259" s="209"/>
      <c r="O259" s="209" t="s">
        <v>945</v>
      </c>
      <c r="P259" s="205">
        <f t="shared" si="22"/>
        <v>48000</v>
      </c>
      <c r="Q259" s="213"/>
    </row>
    <row r="260" spans="1:17" s="92" customFormat="1" x14ac:dyDescent="0.3">
      <c r="A260" s="106" t="s">
        <v>519</v>
      </c>
      <c r="B260" s="201">
        <v>44678</v>
      </c>
      <c r="C260" s="203" t="s">
        <v>845</v>
      </c>
      <c r="D260" s="203" t="s">
        <v>1122</v>
      </c>
      <c r="E260" s="161">
        <v>2</v>
      </c>
      <c r="F260" s="22">
        <v>200</v>
      </c>
      <c r="G260" s="202">
        <f t="shared" si="21"/>
        <v>400</v>
      </c>
      <c r="H260" s="209"/>
      <c r="I260" s="219"/>
      <c r="J260" s="205"/>
      <c r="K260" s="209"/>
      <c r="L260" s="209"/>
      <c r="M260" s="209">
        <f t="shared" si="24"/>
        <v>2</v>
      </c>
      <c r="N260" s="209"/>
      <c r="O260" s="209" t="s">
        <v>945</v>
      </c>
      <c r="P260" s="205">
        <f t="shared" si="22"/>
        <v>400</v>
      </c>
      <c r="Q260" s="213"/>
    </row>
    <row r="261" spans="1:17" s="8" customFormat="1" ht="15.75" x14ac:dyDescent="0.25">
      <c r="A261" s="106" t="s">
        <v>520</v>
      </c>
      <c r="B261" s="201">
        <v>44193</v>
      </c>
      <c r="C261" s="203" t="s">
        <v>740</v>
      </c>
      <c r="D261" s="203" t="s">
        <v>1122</v>
      </c>
      <c r="E261" s="161">
        <v>3</v>
      </c>
      <c r="F261" s="22">
        <v>75</v>
      </c>
      <c r="G261" s="202">
        <f>E261*F261</f>
        <v>225</v>
      </c>
      <c r="H261" s="209"/>
      <c r="I261" s="219"/>
      <c r="J261" s="205"/>
      <c r="K261" s="209"/>
      <c r="L261" s="209"/>
      <c r="M261" s="209">
        <f t="shared" si="24"/>
        <v>3</v>
      </c>
      <c r="N261" s="209"/>
      <c r="O261" s="209" t="s">
        <v>947</v>
      </c>
      <c r="P261" s="205">
        <f t="shared" si="22"/>
        <v>225</v>
      </c>
      <c r="Q261" s="196"/>
    </row>
    <row r="262" spans="1:17" s="8" customFormat="1" ht="15.75" x14ac:dyDescent="0.25">
      <c r="A262" s="106" t="s">
        <v>521</v>
      </c>
      <c r="B262" s="201">
        <v>44193</v>
      </c>
      <c r="C262" s="203" t="s">
        <v>739</v>
      </c>
      <c r="D262" s="203" t="s">
        <v>1122</v>
      </c>
      <c r="E262" s="161">
        <v>300</v>
      </c>
      <c r="F262" s="22">
        <v>29</v>
      </c>
      <c r="G262" s="202">
        <f>E262*F262</f>
        <v>8700</v>
      </c>
      <c r="H262" s="209"/>
      <c r="I262" s="219"/>
      <c r="J262" s="205"/>
      <c r="K262" s="209"/>
      <c r="L262" s="209"/>
      <c r="M262" s="209">
        <f t="shared" si="24"/>
        <v>300</v>
      </c>
      <c r="N262" s="209"/>
      <c r="O262" s="209" t="s">
        <v>947</v>
      </c>
      <c r="P262" s="205">
        <f t="shared" si="22"/>
        <v>8700</v>
      </c>
      <c r="Q262" s="196"/>
    </row>
    <row r="263" spans="1:17" s="8" customFormat="1" ht="15.75" x14ac:dyDescent="0.25">
      <c r="A263" s="106" t="s">
        <v>522</v>
      </c>
      <c r="B263" s="201">
        <v>44193</v>
      </c>
      <c r="C263" s="203" t="s">
        <v>826</v>
      </c>
      <c r="D263" s="203" t="s">
        <v>1122</v>
      </c>
      <c r="E263" s="161">
        <v>16</v>
      </c>
      <c r="F263" s="22">
        <v>143</v>
      </c>
      <c r="G263" s="202">
        <f>E263*F263</f>
        <v>2288</v>
      </c>
      <c r="H263" s="209"/>
      <c r="I263" s="219"/>
      <c r="J263" s="205"/>
      <c r="K263" s="209"/>
      <c r="L263" s="209"/>
      <c r="M263" s="209">
        <f t="shared" si="24"/>
        <v>16</v>
      </c>
      <c r="N263" s="209"/>
      <c r="O263" s="209" t="s">
        <v>946</v>
      </c>
      <c r="P263" s="205">
        <f t="shared" si="22"/>
        <v>2288</v>
      </c>
      <c r="Q263" s="196"/>
    </row>
    <row r="264" spans="1:17" s="8" customFormat="1" ht="15.75" x14ac:dyDescent="0.25">
      <c r="A264" s="106" t="s">
        <v>523</v>
      </c>
      <c r="B264" s="201">
        <v>44193</v>
      </c>
      <c r="C264" s="203" t="s">
        <v>741</v>
      </c>
      <c r="D264" s="203" t="s">
        <v>1122</v>
      </c>
      <c r="E264" s="161">
        <v>112</v>
      </c>
      <c r="F264" s="22">
        <v>8.5</v>
      </c>
      <c r="G264" s="202">
        <f t="shared" ref="G264:G271" si="25">E264*F264</f>
        <v>952</v>
      </c>
      <c r="H264" s="209"/>
      <c r="I264" s="219"/>
      <c r="J264" s="205"/>
      <c r="K264" s="209"/>
      <c r="L264" s="209"/>
      <c r="M264" s="209">
        <f t="shared" si="24"/>
        <v>112</v>
      </c>
      <c r="N264" s="209"/>
      <c r="O264" s="209" t="s">
        <v>947</v>
      </c>
      <c r="P264" s="205">
        <f t="shared" si="22"/>
        <v>952</v>
      </c>
      <c r="Q264" s="196"/>
    </row>
    <row r="265" spans="1:17" s="8" customFormat="1" ht="15.75" x14ac:dyDescent="0.25">
      <c r="A265" s="106" t="s">
        <v>524</v>
      </c>
      <c r="B265" s="201">
        <v>44193</v>
      </c>
      <c r="C265" s="203" t="s">
        <v>742</v>
      </c>
      <c r="D265" s="203" t="s">
        <v>1122</v>
      </c>
      <c r="E265" s="161">
        <v>24</v>
      </c>
      <c r="F265" s="22">
        <v>12</v>
      </c>
      <c r="G265" s="202">
        <f t="shared" si="25"/>
        <v>288</v>
      </c>
      <c r="H265" s="209"/>
      <c r="I265" s="219"/>
      <c r="J265" s="205"/>
      <c r="K265" s="209"/>
      <c r="L265" s="209"/>
      <c r="M265" s="209">
        <f t="shared" si="24"/>
        <v>24</v>
      </c>
      <c r="N265" s="209"/>
      <c r="O265" s="209" t="s">
        <v>947</v>
      </c>
      <c r="P265" s="205">
        <f t="shared" si="22"/>
        <v>288</v>
      </c>
      <c r="Q265" s="196"/>
    </row>
    <row r="266" spans="1:17" s="8" customFormat="1" ht="15.75" x14ac:dyDescent="0.25">
      <c r="A266" s="106" t="s">
        <v>525</v>
      </c>
      <c r="B266" s="201">
        <v>44193</v>
      </c>
      <c r="C266" s="203" t="s">
        <v>743</v>
      </c>
      <c r="D266" s="203" t="s">
        <v>1122</v>
      </c>
      <c r="E266" s="161">
        <v>34</v>
      </c>
      <c r="F266" s="22">
        <v>8</v>
      </c>
      <c r="G266" s="202">
        <f t="shared" si="25"/>
        <v>272</v>
      </c>
      <c r="H266" s="209"/>
      <c r="I266" s="219"/>
      <c r="J266" s="205"/>
      <c r="K266" s="209"/>
      <c r="L266" s="209"/>
      <c r="M266" s="209">
        <f t="shared" si="24"/>
        <v>34</v>
      </c>
      <c r="N266" s="209"/>
      <c r="O266" s="209" t="s">
        <v>947</v>
      </c>
      <c r="P266" s="205">
        <f t="shared" si="22"/>
        <v>272</v>
      </c>
      <c r="Q266" s="196"/>
    </row>
    <row r="267" spans="1:17" s="105" customFormat="1" ht="15.75" x14ac:dyDescent="0.25">
      <c r="A267" s="106" t="s">
        <v>526</v>
      </c>
      <c r="B267" s="201">
        <v>45042</v>
      </c>
      <c r="C267" s="203" t="s">
        <v>744</v>
      </c>
      <c r="D267" s="203" t="s">
        <v>1122</v>
      </c>
      <c r="E267" s="161">
        <v>22</v>
      </c>
      <c r="F267" s="22">
        <v>91.99</v>
      </c>
      <c r="G267" s="202">
        <f t="shared" si="25"/>
        <v>2023.78</v>
      </c>
      <c r="H267" s="204"/>
      <c r="I267" s="219"/>
      <c r="J267" s="205"/>
      <c r="K267" s="206">
        <f>+I267*J267</f>
        <v>0</v>
      </c>
      <c r="L267" s="209">
        <v>1</v>
      </c>
      <c r="M267" s="209">
        <f t="shared" si="24"/>
        <v>21</v>
      </c>
      <c r="N267" s="209" t="s">
        <v>1037</v>
      </c>
      <c r="O267" s="209" t="s">
        <v>947</v>
      </c>
      <c r="P267" s="205">
        <f t="shared" si="22"/>
        <v>1931.79</v>
      </c>
      <c r="Q267" s="215"/>
    </row>
    <row r="268" spans="1:17" s="8" customFormat="1" ht="31.5" x14ac:dyDescent="0.25">
      <c r="A268" s="106" t="s">
        <v>527</v>
      </c>
      <c r="B268" s="201">
        <v>45111</v>
      </c>
      <c r="C268" s="203" t="s">
        <v>745</v>
      </c>
      <c r="D268" s="203" t="s">
        <v>1122</v>
      </c>
      <c r="E268" s="161">
        <v>20</v>
      </c>
      <c r="F268" s="22">
        <v>188.21</v>
      </c>
      <c r="G268" s="202">
        <f t="shared" si="25"/>
        <v>3764.2000000000003</v>
      </c>
      <c r="H268" s="204">
        <v>45111</v>
      </c>
      <c r="I268" s="219">
        <v>10</v>
      </c>
      <c r="J268" s="205">
        <v>234.82</v>
      </c>
      <c r="K268" s="206">
        <f>+I268*J268</f>
        <v>2348.1999999999998</v>
      </c>
      <c r="L268" s="209">
        <v>1</v>
      </c>
      <c r="M268" s="209">
        <f t="shared" si="24"/>
        <v>29</v>
      </c>
      <c r="N268" s="220" t="s">
        <v>1006</v>
      </c>
      <c r="O268" s="209" t="s">
        <v>946</v>
      </c>
      <c r="P268" s="205">
        <f t="shared" si="22"/>
        <v>5458.09</v>
      </c>
      <c r="Q268" s="196"/>
    </row>
    <row r="269" spans="1:17" s="8" customFormat="1" ht="15.75" x14ac:dyDescent="0.25">
      <c r="A269" s="106" t="s">
        <v>528</v>
      </c>
      <c r="B269" s="201">
        <v>45042</v>
      </c>
      <c r="C269" s="203" t="s">
        <v>747</v>
      </c>
      <c r="D269" s="203" t="s">
        <v>1122</v>
      </c>
      <c r="E269" s="161"/>
      <c r="F269" s="22">
        <v>25.42</v>
      </c>
      <c r="G269" s="202">
        <f t="shared" si="25"/>
        <v>0</v>
      </c>
      <c r="H269" s="204">
        <v>45042</v>
      </c>
      <c r="I269" s="219">
        <v>240</v>
      </c>
      <c r="J269" s="205">
        <v>30.11</v>
      </c>
      <c r="K269" s="205">
        <f>+I269*J269</f>
        <v>7226.4</v>
      </c>
      <c r="L269" s="209">
        <v>22</v>
      </c>
      <c r="M269" s="209">
        <f t="shared" si="24"/>
        <v>218</v>
      </c>
      <c r="N269" s="209"/>
      <c r="O269" s="209" t="s">
        <v>947</v>
      </c>
      <c r="P269" s="205">
        <f t="shared" si="22"/>
        <v>5541.56</v>
      </c>
      <c r="Q269" s="196"/>
    </row>
    <row r="270" spans="1:17" s="8" customFormat="1" ht="15.75" x14ac:dyDescent="0.25">
      <c r="A270" s="106" t="s">
        <v>529</v>
      </c>
      <c r="B270" s="201">
        <v>44852</v>
      </c>
      <c r="C270" s="203" t="s">
        <v>748</v>
      </c>
      <c r="D270" s="203" t="s">
        <v>1122</v>
      </c>
      <c r="E270" s="161"/>
      <c r="F270" s="22">
        <v>23.82</v>
      </c>
      <c r="G270" s="202">
        <f t="shared" si="25"/>
        <v>0</v>
      </c>
      <c r="H270" s="204">
        <v>44852</v>
      </c>
      <c r="I270" s="219">
        <f>15*12</f>
        <v>180</v>
      </c>
      <c r="J270" s="205">
        <v>40.69</v>
      </c>
      <c r="K270" s="206">
        <f>+I270*J270</f>
        <v>7324.2</v>
      </c>
      <c r="L270" s="209">
        <f>72+12+6</f>
        <v>90</v>
      </c>
      <c r="M270" s="209">
        <f t="shared" si="24"/>
        <v>90</v>
      </c>
      <c r="N270" s="209" t="s">
        <v>1037</v>
      </c>
      <c r="O270" s="209" t="s">
        <v>947</v>
      </c>
      <c r="P270" s="205">
        <f t="shared" si="22"/>
        <v>2143.8000000000002</v>
      </c>
      <c r="Q270" s="196"/>
    </row>
    <row r="271" spans="1:17" s="8" customFormat="1" ht="15.75" x14ac:dyDescent="0.25">
      <c r="A271" s="106" t="s">
        <v>873</v>
      </c>
      <c r="B271" s="201">
        <v>44193</v>
      </c>
      <c r="C271" s="203" t="s">
        <v>785</v>
      </c>
      <c r="D271" s="203" t="s">
        <v>1122</v>
      </c>
      <c r="E271" s="161">
        <v>4</v>
      </c>
      <c r="F271" s="22">
        <v>45</v>
      </c>
      <c r="G271" s="202">
        <f t="shared" si="25"/>
        <v>180</v>
      </c>
      <c r="H271" s="209"/>
      <c r="I271" s="219"/>
      <c r="J271" s="205"/>
      <c r="K271" s="209"/>
      <c r="L271" s="209">
        <v>4</v>
      </c>
      <c r="M271" s="209">
        <f t="shared" si="24"/>
        <v>0</v>
      </c>
      <c r="N271" s="209"/>
      <c r="O271" s="209" t="s">
        <v>947</v>
      </c>
      <c r="P271" s="205">
        <f t="shared" si="22"/>
        <v>0</v>
      </c>
      <c r="Q271" s="196"/>
    </row>
    <row r="272" spans="1:17" s="8" customFormat="1" ht="15.75" x14ac:dyDescent="0.25">
      <c r="A272" s="106" t="s">
        <v>874</v>
      </c>
      <c r="B272" s="160" t="s">
        <v>105</v>
      </c>
      <c r="C272" s="203" t="s">
        <v>746</v>
      </c>
      <c r="D272" s="203" t="s">
        <v>1122</v>
      </c>
      <c r="E272" s="161">
        <v>7</v>
      </c>
      <c r="F272" s="214">
        <v>48</v>
      </c>
      <c r="G272" s="202">
        <f>E272*F272</f>
        <v>336</v>
      </c>
      <c r="H272" s="209"/>
      <c r="I272" s="219"/>
      <c r="J272" s="205"/>
      <c r="K272" s="209"/>
      <c r="L272" s="209">
        <v>7</v>
      </c>
      <c r="M272" s="209">
        <f t="shared" si="24"/>
        <v>0</v>
      </c>
      <c r="N272" s="209"/>
      <c r="O272" s="209" t="s">
        <v>947</v>
      </c>
      <c r="P272" s="205">
        <f t="shared" si="22"/>
        <v>0</v>
      </c>
      <c r="Q272" s="196"/>
    </row>
    <row r="273" spans="1:17" s="8" customFormat="1" ht="15.75" x14ac:dyDescent="0.25">
      <c r="A273" s="106" t="s">
        <v>875</v>
      </c>
      <c r="B273" s="201"/>
      <c r="C273" s="203" t="s">
        <v>815</v>
      </c>
      <c r="D273" s="203" t="s">
        <v>1122</v>
      </c>
      <c r="E273" s="161">
        <v>6</v>
      </c>
      <c r="F273" s="22"/>
      <c r="G273" s="202"/>
      <c r="H273" s="209"/>
      <c r="I273" s="219"/>
      <c r="J273" s="205"/>
      <c r="K273" s="209"/>
      <c r="L273" s="209"/>
      <c r="M273" s="209">
        <f t="shared" si="24"/>
        <v>6</v>
      </c>
      <c r="N273" s="209"/>
      <c r="O273" s="209" t="s">
        <v>946</v>
      </c>
      <c r="P273" s="205">
        <f t="shared" si="22"/>
        <v>0</v>
      </c>
      <c r="Q273" s="196"/>
    </row>
    <row r="274" spans="1:17" s="92" customFormat="1" x14ac:dyDescent="0.3">
      <c r="A274" s="106" t="s">
        <v>876</v>
      </c>
      <c r="B274" s="201">
        <v>44193</v>
      </c>
      <c r="C274" s="203" t="s">
        <v>750</v>
      </c>
      <c r="D274" s="203" t="s">
        <v>1122</v>
      </c>
      <c r="E274" s="161">
        <v>20</v>
      </c>
      <c r="F274" s="22">
        <v>1449.14</v>
      </c>
      <c r="G274" s="202">
        <f t="shared" ref="G274:G286" si="26">E274*F274</f>
        <v>28982.800000000003</v>
      </c>
      <c r="H274" s="209"/>
      <c r="I274" s="219"/>
      <c r="J274" s="205"/>
      <c r="K274" s="209"/>
      <c r="L274" s="209"/>
      <c r="M274" s="209">
        <f t="shared" si="24"/>
        <v>20</v>
      </c>
      <c r="N274" s="209"/>
      <c r="O274" s="209" t="s">
        <v>945</v>
      </c>
      <c r="P274" s="205">
        <f t="shared" si="22"/>
        <v>28982.800000000003</v>
      </c>
      <c r="Q274" s="213"/>
    </row>
    <row r="275" spans="1:17" s="92" customFormat="1" x14ac:dyDescent="0.3">
      <c r="A275" s="106" t="s">
        <v>877</v>
      </c>
      <c r="B275" s="201">
        <v>45019</v>
      </c>
      <c r="C275" s="203" t="s">
        <v>771</v>
      </c>
      <c r="D275" s="203" t="s">
        <v>1122</v>
      </c>
      <c r="E275" s="161">
        <v>3</v>
      </c>
      <c r="F275" s="22">
        <v>3481</v>
      </c>
      <c r="G275" s="202">
        <f t="shared" si="26"/>
        <v>10443</v>
      </c>
      <c r="H275" s="204">
        <v>45019</v>
      </c>
      <c r="I275" s="219">
        <v>30</v>
      </c>
      <c r="J275" s="205">
        <v>300.89999999999998</v>
      </c>
      <c r="K275" s="209">
        <f>+J275/10</f>
        <v>30.089999999999996</v>
      </c>
      <c r="L275" s="209">
        <v>5</v>
      </c>
      <c r="M275" s="209">
        <f t="shared" si="24"/>
        <v>28</v>
      </c>
      <c r="N275" s="209" t="s">
        <v>943</v>
      </c>
      <c r="O275" s="209" t="s">
        <v>945</v>
      </c>
      <c r="P275" s="205">
        <f t="shared" si="22"/>
        <v>97468</v>
      </c>
      <c r="Q275" s="213"/>
    </row>
    <row r="276" spans="1:17" s="8" customFormat="1" ht="15.75" x14ac:dyDescent="0.25">
      <c r="A276" s="106" t="s">
        <v>878</v>
      </c>
      <c r="B276" s="201">
        <v>44193</v>
      </c>
      <c r="C276" s="203" t="s">
        <v>754</v>
      </c>
      <c r="D276" s="203" t="s">
        <v>1122</v>
      </c>
      <c r="E276" s="161">
        <v>7</v>
      </c>
      <c r="F276" s="22">
        <v>38</v>
      </c>
      <c r="G276" s="202">
        <f t="shared" si="26"/>
        <v>266</v>
      </c>
      <c r="H276" s="209"/>
      <c r="I276" s="219"/>
      <c r="J276" s="205"/>
      <c r="K276" s="209"/>
      <c r="L276" s="209"/>
      <c r="M276" s="209">
        <f t="shared" si="24"/>
        <v>7</v>
      </c>
      <c r="N276" s="209"/>
      <c r="O276" s="209" t="s">
        <v>946</v>
      </c>
      <c r="P276" s="205">
        <f t="shared" si="22"/>
        <v>266</v>
      </c>
      <c r="Q276" s="196"/>
    </row>
    <row r="277" spans="1:17" s="8" customFormat="1" ht="15.75" x14ac:dyDescent="0.25">
      <c r="A277" s="106" t="s">
        <v>879</v>
      </c>
      <c r="B277" s="160" t="s">
        <v>105</v>
      </c>
      <c r="C277" s="203" t="s">
        <v>753</v>
      </c>
      <c r="D277" s="203" t="s">
        <v>1122</v>
      </c>
      <c r="E277" s="161">
        <v>12</v>
      </c>
      <c r="F277" s="22">
        <v>38</v>
      </c>
      <c r="G277" s="202">
        <f t="shared" si="26"/>
        <v>456</v>
      </c>
      <c r="H277" s="209"/>
      <c r="I277" s="219"/>
      <c r="J277" s="205"/>
      <c r="K277" s="209"/>
      <c r="L277" s="209"/>
      <c r="M277" s="209">
        <f t="shared" si="24"/>
        <v>12</v>
      </c>
      <c r="N277" s="209"/>
      <c r="O277" s="209" t="s">
        <v>946</v>
      </c>
      <c r="P277" s="205">
        <f t="shared" si="22"/>
        <v>456</v>
      </c>
      <c r="Q277" s="196"/>
    </row>
    <row r="278" spans="1:17" s="8" customFormat="1" ht="15.75" x14ac:dyDescent="0.25">
      <c r="A278" s="106" t="s">
        <v>880</v>
      </c>
      <c r="B278" s="201">
        <v>44193</v>
      </c>
      <c r="C278" s="203" t="s">
        <v>757</v>
      </c>
      <c r="D278" s="203" t="s">
        <v>1122</v>
      </c>
      <c r="E278" s="161">
        <v>1</v>
      </c>
      <c r="F278" s="22">
        <v>38</v>
      </c>
      <c r="G278" s="202">
        <f t="shared" si="26"/>
        <v>38</v>
      </c>
      <c r="H278" s="209"/>
      <c r="I278" s="219"/>
      <c r="J278" s="205"/>
      <c r="K278" s="209"/>
      <c r="L278" s="209"/>
      <c r="M278" s="209">
        <f t="shared" si="24"/>
        <v>1</v>
      </c>
      <c r="N278" s="209"/>
      <c r="O278" s="209" t="s">
        <v>946</v>
      </c>
      <c r="P278" s="205">
        <f t="shared" si="22"/>
        <v>38</v>
      </c>
      <c r="Q278" s="196"/>
    </row>
    <row r="279" spans="1:17" s="8" customFormat="1" ht="15.75" x14ac:dyDescent="0.25">
      <c r="A279" s="106" t="s">
        <v>881</v>
      </c>
      <c r="B279" s="201">
        <v>44193</v>
      </c>
      <c r="C279" s="203" t="s">
        <v>760</v>
      </c>
      <c r="D279" s="203" t="s">
        <v>1122</v>
      </c>
      <c r="E279" s="161">
        <v>1</v>
      </c>
      <c r="F279" s="22">
        <v>41</v>
      </c>
      <c r="G279" s="202">
        <f t="shared" si="26"/>
        <v>41</v>
      </c>
      <c r="H279" s="209"/>
      <c r="I279" s="219"/>
      <c r="J279" s="205"/>
      <c r="K279" s="209"/>
      <c r="L279" s="209"/>
      <c r="M279" s="209">
        <f t="shared" si="24"/>
        <v>1</v>
      </c>
      <c r="N279" s="209"/>
      <c r="O279" s="209" t="s">
        <v>946</v>
      </c>
      <c r="P279" s="205">
        <f t="shared" si="22"/>
        <v>41</v>
      </c>
      <c r="Q279" s="196"/>
    </row>
    <row r="280" spans="1:17" s="8" customFormat="1" ht="15.75" x14ac:dyDescent="0.25">
      <c r="A280" s="106" t="s">
        <v>882</v>
      </c>
      <c r="B280" s="201">
        <v>44193</v>
      </c>
      <c r="C280" s="203" t="s">
        <v>758</v>
      </c>
      <c r="D280" s="203" t="s">
        <v>1122</v>
      </c>
      <c r="E280" s="161">
        <v>1</v>
      </c>
      <c r="F280" s="22">
        <v>38</v>
      </c>
      <c r="G280" s="202">
        <f t="shared" si="26"/>
        <v>38</v>
      </c>
      <c r="H280" s="209"/>
      <c r="I280" s="219"/>
      <c r="J280" s="205"/>
      <c r="K280" s="209"/>
      <c r="L280" s="209"/>
      <c r="M280" s="209">
        <f t="shared" si="24"/>
        <v>1</v>
      </c>
      <c r="N280" s="209"/>
      <c r="O280" s="209" t="s">
        <v>946</v>
      </c>
      <c r="P280" s="205">
        <f t="shared" si="22"/>
        <v>38</v>
      </c>
      <c r="Q280" s="196"/>
    </row>
    <row r="281" spans="1:17" s="8" customFormat="1" ht="15.75" x14ac:dyDescent="0.25">
      <c r="A281" s="106" t="s">
        <v>883</v>
      </c>
      <c r="B281" s="201">
        <v>44193</v>
      </c>
      <c r="C281" s="203" t="s">
        <v>759</v>
      </c>
      <c r="D281" s="203" t="s">
        <v>1122</v>
      </c>
      <c r="E281" s="161">
        <v>1</v>
      </c>
      <c r="F281" s="22">
        <v>38</v>
      </c>
      <c r="G281" s="202">
        <f t="shared" si="26"/>
        <v>38</v>
      </c>
      <c r="H281" s="209"/>
      <c r="I281" s="219"/>
      <c r="J281" s="205"/>
      <c r="K281" s="209"/>
      <c r="L281" s="209"/>
      <c r="M281" s="209">
        <f t="shared" si="24"/>
        <v>1</v>
      </c>
      <c r="N281" s="209"/>
      <c r="O281" s="209" t="s">
        <v>946</v>
      </c>
      <c r="P281" s="205">
        <f t="shared" ref="P281:P344" si="27">+F281*M281</f>
        <v>38</v>
      </c>
      <c r="Q281" s="196"/>
    </row>
    <row r="282" spans="1:17" s="8" customFormat="1" ht="15.75" x14ac:dyDescent="0.25">
      <c r="A282" s="106" t="s">
        <v>884</v>
      </c>
      <c r="B282" s="160" t="s">
        <v>105</v>
      </c>
      <c r="C282" s="203" t="s">
        <v>755</v>
      </c>
      <c r="D282" s="203" t="s">
        <v>1122</v>
      </c>
      <c r="E282" s="161">
        <v>1</v>
      </c>
      <c r="F282" s="22">
        <v>38</v>
      </c>
      <c r="G282" s="202">
        <f t="shared" si="26"/>
        <v>38</v>
      </c>
      <c r="H282" s="209"/>
      <c r="I282" s="219"/>
      <c r="J282" s="205"/>
      <c r="K282" s="209"/>
      <c r="L282" s="209"/>
      <c r="M282" s="209">
        <f t="shared" si="24"/>
        <v>1</v>
      </c>
      <c r="N282" s="209"/>
      <c r="O282" s="209" t="s">
        <v>946</v>
      </c>
      <c r="P282" s="205">
        <f t="shared" si="27"/>
        <v>38</v>
      </c>
      <c r="Q282" s="196"/>
    </row>
    <row r="283" spans="1:17" s="8" customFormat="1" ht="15.75" x14ac:dyDescent="0.25">
      <c r="A283" s="106" t="s">
        <v>885</v>
      </c>
      <c r="B283" s="201">
        <v>44193</v>
      </c>
      <c r="C283" s="203" t="s">
        <v>756</v>
      </c>
      <c r="D283" s="203" t="s">
        <v>1122</v>
      </c>
      <c r="E283" s="161">
        <v>1</v>
      </c>
      <c r="F283" s="22">
        <v>38</v>
      </c>
      <c r="G283" s="202">
        <f t="shared" si="26"/>
        <v>38</v>
      </c>
      <c r="H283" s="209"/>
      <c r="I283" s="219"/>
      <c r="J283" s="205"/>
      <c r="K283" s="209"/>
      <c r="L283" s="209"/>
      <c r="M283" s="209">
        <f t="shared" si="24"/>
        <v>1</v>
      </c>
      <c r="N283" s="209"/>
      <c r="O283" s="209" t="s">
        <v>946</v>
      </c>
      <c r="P283" s="205">
        <f t="shared" si="27"/>
        <v>38</v>
      </c>
      <c r="Q283" s="196"/>
    </row>
    <row r="284" spans="1:17" s="8" customFormat="1" ht="15.75" x14ac:dyDescent="0.25">
      <c r="A284" s="106" t="s">
        <v>886</v>
      </c>
      <c r="B284" s="201">
        <v>44193</v>
      </c>
      <c r="C284" s="203" t="s">
        <v>762</v>
      </c>
      <c r="D284" s="203" t="s">
        <v>1122</v>
      </c>
      <c r="E284" s="161">
        <v>7</v>
      </c>
      <c r="F284" s="22">
        <v>537</v>
      </c>
      <c r="G284" s="202">
        <f t="shared" si="26"/>
        <v>3759</v>
      </c>
      <c r="H284" s="209"/>
      <c r="I284" s="219"/>
      <c r="J284" s="205"/>
      <c r="K284" s="209"/>
      <c r="L284" s="209"/>
      <c r="M284" s="209">
        <f t="shared" si="24"/>
        <v>7</v>
      </c>
      <c r="N284" s="209"/>
      <c r="O284" s="209" t="s">
        <v>946</v>
      </c>
      <c r="P284" s="205">
        <f t="shared" si="27"/>
        <v>3759</v>
      </c>
      <c r="Q284" s="196"/>
    </row>
    <row r="285" spans="1:17" s="8" customFormat="1" ht="15.75" x14ac:dyDescent="0.25">
      <c r="A285" s="106" t="s">
        <v>887</v>
      </c>
      <c r="B285" s="201">
        <v>44193</v>
      </c>
      <c r="C285" s="203" t="s">
        <v>761</v>
      </c>
      <c r="D285" s="203" t="s">
        <v>1122</v>
      </c>
      <c r="E285" s="161">
        <v>3</v>
      </c>
      <c r="F285" s="22">
        <v>537</v>
      </c>
      <c r="G285" s="202">
        <f t="shared" si="26"/>
        <v>1611</v>
      </c>
      <c r="H285" s="209"/>
      <c r="I285" s="219"/>
      <c r="J285" s="205"/>
      <c r="K285" s="209"/>
      <c r="L285" s="209"/>
      <c r="M285" s="209">
        <f t="shared" si="24"/>
        <v>3</v>
      </c>
      <c r="N285" s="209"/>
      <c r="O285" s="209" t="s">
        <v>946</v>
      </c>
      <c r="P285" s="205">
        <f t="shared" si="27"/>
        <v>1611</v>
      </c>
      <c r="Q285" s="196"/>
    </row>
    <row r="286" spans="1:17" s="8" customFormat="1" ht="15.75" x14ac:dyDescent="0.25">
      <c r="A286" s="106" t="s">
        <v>888</v>
      </c>
      <c r="B286" s="201">
        <v>44193</v>
      </c>
      <c r="C286" s="203" t="s">
        <v>763</v>
      </c>
      <c r="D286" s="203" t="s">
        <v>1122</v>
      </c>
      <c r="E286" s="161">
        <v>13</v>
      </c>
      <c r="F286" s="22">
        <v>13.87</v>
      </c>
      <c r="G286" s="202">
        <f t="shared" si="26"/>
        <v>180.31</v>
      </c>
      <c r="H286" s="209"/>
      <c r="I286" s="219"/>
      <c r="J286" s="205"/>
      <c r="K286" s="209"/>
      <c r="L286" s="209"/>
      <c r="M286" s="218">
        <f>+E286+I286-L286-1</f>
        <v>12</v>
      </c>
      <c r="N286" s="209"/>
      <c r="O286" s="209" t="s">
        <v>947</v>
      </c>
      <c r="P286" s="205">
        <f t="shared" si="27"/>
        <v>166.44</v>
      </c>
      <c r="Q286" s="196"/>
    </row>
    <row r="287" spans="1:17" s="8" customFormat="1" ht="15.75" x14ac:dyDescent="0.25">
      <c r="A287" s="106" t="s">
        <v>889</v>
      </c>
      <c r="B287" s="201"/>
      <c r="C287" s="203" t="s">
        <v>814</v>
      </c>
      <c r="D287" s="203" t="s">
        <v>1122</v>
      </c>
      <c r="E287" s="161">
        <v>5</v>
      </c>
      <c r="F287" s="22"/>
      <c r="G287" s="202"/>
      <c r="H287" s="209"/>
      <c r="I287" s="219"/>
      <c r="J287" s="205"/>
      <c r="K287" s="209"/>
      <c r="L287" s="209"/>
      <c r="M287" s="209">
        <f t="shared" si="24"/>
        <v>5</v>
      </c>
      <c r="N287" s="209"/>
      <c r="O287" s="209" t="s">
        <v>946</v>
      </c>
      <c r="P287" s="205">
        <f t="shared" si="27"/>
        <v>0</v>
      </c>
      <c r="Q287" s="196"/>
    </row>
    <row r="288" spans="1:17" s="8" customFormat="1" ht="15.75" x14ac:dyDescent="0.25">
      <c r="A288" s="106" t="s">
        <v>890</v>
      </c>
      <c r="B288" s="201"/>
      <c r="C288" s="203" t="s">
        <v>805</v>
      </c>
      <c r="D288" s="203" t="s">
        <v>1122</v>
      </c>
      <c r="E288" s="161">
        <v>9</v>
      </c>
      <c r="F288" s="22"/>
      <c r="G288" s="202"/>
      <c r="H288" s="209"/>
      <c r="I288" s="219"/>
      <c r="J288" s="205"/>
      <c r="K288" s="209"/>
      <c r="L288" s="209"/>
      <c r="M288" s="209">
        <f t="shared" si="24"/>
        <v>9</v>
      </c>
      <c r="N288" s="209"/>
      <c r="O288" s="209" t="s">
        <v>946</v>
      </c>
      <c r="P288" s="205">
        <f t="shared" si="27"/>
        <v>0</v>
      </c>
      <c r="Q288" s="196"/>
    </row>
    <row r="289" spans="1:17" s="105" customFormat="1" ht="15.75" x14ac:dyDescent="0.25">
      <c r="A289" s="106" t="s">
        <v>891</v>
      </c>
      <c r="B289" s="201">
        <v>44852</v>
      </c>
      <c r="C289" s="203" t="s">
        <v>784</v>
      </c>
      <c r="D289" s="203" t="s">
        <v>1122</v>
      </c>
      <c r="E289" s="161">
        <f>17+14</f>
        <v>31</v>
      </c>
      <c r="F289" s="22">
        <v>25.52</v>
      </c>
      <c r="G289" s="206">
        <f>+E289*F289</f>
        <v>791.12</v>
      </c>
      <c r="H289" s="204">
        <v>44852</v>
      </c>
      <c r="I289" s="219">
        <v>15</v>
      </c>
      <c r="J289" s="205">
        <v>25.52</v>
      </c>
      <c r="K289" s="206">
        <f>+I289*J289</f>
        <v>382.8</v>
      </c>
      <c r="L289" s="209">
        <v>3</v>
      </c>
      <c r="M289" s="209">
        <f t="shared" si="24"/>
        <v>43</v>
      </c>
      <c r="N289" s="209" t="s">
        <v>1037</v>
      </c>
      <c r="O289" s="209" t="s">
        <v>947</v>
      </c>
      <c r="P289" s="205">
        <f t="shared" si="27"/>
        <v>1097.3599999999999</v>
      </c>
      <c r="Q289" s="215"/>
    </row>
    <row r="290" spans="1:17" s="105" customFormat="1" ht="15.75" x14ac:dyDescent="0.25">
      <c r="A290" s="106" t="s">
        <v>892</v>
      </c>
      <c r="B290" s="204">
        <v>45180</v>
      </c>
      <c r="C290" s="203" t="s">
        <v>860</v>
      </c>
      <c r="D290" s="203" t="s">
        <v>1122</v>
      </c>
      <c r="E290" s="161">
        <v>12</v>
      </c>
      <c r="F290" s="22">
        <v>20532</v>
      </c>
      <c r="G290" s="202">
        <f>+E290*F290</f>
        <v>246384</v>
      </c>
      <c r="H290" s="204">
        <v>45180</v>
      </c>
      <c r="I290" s="219">
        <v>15</v>
      </c>
      <c r="J290" s="205">
        <v>1711</v>
      </c>
      <c r="K290" s="206">
        <f>+I290*J290</f>
        <v>25665</v>
      </c>
      <c r="L290" s="209">
        <v>15</v>
      </c>
      <c r="M290" s="209">
        <f t="shared" si="24"/>
        <v>12</v>
      </c>
      <c r="N290" s="209"/>
      <c r="O290" s="209" t="s">
        <v>946</v>
      </c>
      <c r="P290" s="205">
        <f t="shared" si="27"/>
        <v>246384</v>
      </c>
      <c r="Q290" s="215"/>
    </row>
    <row r="291" spans="1:17" s="92" customFormat="1" x14ac:dyDescent="0.3">
      <c r="A291" s="106" t="s">
        <v>893</v>
      </c>
      <c r="B291" s="201">
        <v>44652</v>
      </c>
      <c r="C291" s="203" t="s">
        <v>859</v>
      </c>
      <c r="D291" s="203" t="s">
        <v>1122</v>
      </c>
      <c r="E291" s="161">
        <f>11+6+12+11</f>
        <v>40</v>
      </c>
      <c r="F291" s="22">
        <v>159</v>
      </c>
      <c r="G291" s="202">
        <f>+E291*F291</f>
        <v>6360</v>
      </c>
      <c r="H291" s="209"/>
      <c r="I291" s="219"/>
      <c r="J291" s="205"/>
      <c r="K291" s="206">
        <f>+I291*J291</f>
        <v>0</v>
      </c>
      <c r="L291" s="209">
        <f>12+2+1</f>
        <v>15</v>
      </c>
      <c r="M291" s="209">
        <f t="shared" si="24"/>
        <v>25</v>
      </c>
      <c r="N291" s="209"/>
      <c r="O291" s="209" t="s">
        <v>945</v>
      </c>
      <c r="P291" s="205">
        <f t="shared" si="27"/>
        <v>3975</v>
      </c>
      <c r="Q291" s="213"/>
    </row>
    <row r="292" spans="1:17" s="92" customFormat="1" x14ac:dyDescent="0.3">
      <c r="A292" s="106" t="s">
        <v>894</v>
      </c>
      <c r="B292" s="201">
        <v>44652</v>
      </c>
      <c r="C292" s="203" t="s">
        <v>858</v>
      </c>
      <c r="D292" s="203" t="s">
        <v>1122</v>
      </c>
      <c r="E292" s="161">
        <v>11</v>
      </c>
      <c r="F292" s="22"/>
      <c r="G292" s="202">
        <f>+E292*F292</f>
        <v>0</v>
      </c>
      <c r="H292" s="209"/>
      <c r="I292" s="219"/>
      <c r="J292" s="205"/>
      <c r="K292" s="209"/>
      <c r="L292" s="209">
        <v>11</v>
      </c>
      <c r="M292" s="209">
        <f t="shared" si="24"/>
        <v>0</v>
      </c>
      <c r="N292" s="209"/>
      <c r="O292" s="209" t="s">
        <v>945</v>
      </c>
      <c r="P292" s="205">
        <f t="shared" si="27"/>
        <v>0</v>
      </c>
      <c r="Q292" s="213"/>
    </row>
    <row r="293" spans="1:17" s="92" customFormat="1" x14ac:dyDescent="0.3">
      <c r="A293" s="106" t="s">
        <v>895</v>
      </c>
      <c r="B293" s="201">
        <v>44652</v>
      </c>
      <c r="C293" s="203" t="s">
        <v>920</v>
      </c>
      <c r="D293" s="203" t="s">
        <v>1122</v>
      </c>
      <c r="E293" s="161">
        <f>9+11+7</f>
        <v>27</v>
      </c>
      <c r="F293" s="22">
        <v>145</v>
      </c>
      <c r="G293" s="202">
        <f>+E293*F293</f>
        <v>3915</v>
      </c>
      <c r="H293" s="209"/>
      <c r="I293" s="219"/>
      <c r="J293" s="205"/>
      <c r="K293" s="209"/>
      <c r="L293" s="209">
        <f>21+1+1</f>
        <v>23</v>
      </c>
      <c r="M293" s="209">
        <f t="shared" si="24"/>
        <v>4</v>
      </c>
      <c r="N293" s="209"/>
      <c r="O293" s="209" t="s">
        <v>945</v>
      </c>
      <c r="P293" s="205">
        <f t="shared" si="27"/>
        <v>580</v>
      </c>
      <c r="Q293" s="213"/>
    </row>
    <row r="294" spans="1:17" s="8" customFormat="1" ht="15.75" x14ac:dyDescent="0.25">
      <c r="A294" s="106" t="s">
        <v>896</v>
      </c>
      <c r="B294" s="201"/>
      <c r="C294" s="203" t="s">
        <v>795</v>
      </c>
      <c r="D294" s="203" t="s">
        <v>1122</v>
      </c>
      <c r="E294" s="161">
        <v>29</v>
      </c>
      <c r="F294" s="22">
        <v>29.35</v>
      </c>
      <c r="G294" s="202">
        <f t="shared" ref="G294:G310" si="28">+E294*F294</f>
        <v>851.15000000000009</v>
      </c>
      <c r="H294" s="209"/>
      <c r="I294" s="219"/>
      <c r="J294" s="205"/>
      <c r="K294" s="209"/>
      <c r="L294" s="209"/>
      <c r="M294" s="209">
        <f t="shared" si="24"/>
        <v>29</v>
      </c>
      <c r="N294" s="209"/>
      <c r="O294" s="209" t="s">
        <v>946</v>
      </c>
      <c r="P294" s="205">
        <f t="shared" si="27"/>
        <v>851.15000000000009</v>
      </c>
      <c r="Q294" s="196"/>
    </row>
    <row r="295" spans="1:17" s="8" customFormat="1" ht="15.75" x14ac:dyDescent="0.25">
      <c r="A295" s="106" t="s">
        <v>897</v>
      </c>
      <c r="B295" s="201"/>
      <c r="C295" s="203" t="s">
        <v>843</v>
      </c>
      <c r="D295" s="203" t="s">
        <v>1122</v>
      </c>
      <c r="E295" s="161">
        <v>8</v>
      </c>
      <c r="F295" s="22"/>
      <c r="G295" s="202">
        <f t="shared" si="28"/>
        <v>0</v>
      </c>
      <c r="H295" s="209"/>
      <c r="I295" s="219"/>
      <c r="J295" s="205"/>
      <c r="K295" s="209"/>
      <c r="L295" s="209"/>
      <c r="M295" s="209">
        <f t="shared" si="24"/>
        <v>8</v>
      </c>
      <c r="N295" s="209"/>
      <c r="O295" s="209" t="s">
        <v>946</v>
      </c>
      <c r="P295" s="205">
        <f t="shared" si="27"/>
        <v>0</v>
      </c>
      <c r="Q295" s="196"/>
    </row>
    <row r="296" spans="1:17" s="8" customFormat="1" ht="15.75" x14ac:dyDescent="0.25">
      <c r="A296" s="106" t="s">
        <v>898</v>
      </c>
      <c r="B296" s="201"/>
      <c r="C296" s="203" t="s">
        <v>793</v>
      </c>
      <c r="D296" s="203" t="s">
        <v>1122</v>
      </c>
      <c r="E296" s="161">
        <f>3+1</f>
        <v>4</v>
      </c>
      <c r="F296" s="22"/>
      <c r="G296" s="202">
        <f t="shared" si="28"/>
        <v>0</v>
      </c>
      <c r="H296" s="209"/>
      <c r="I296" s="219"/>
      <c r="J296" s="205"/>
      <c r="K296" s="209"/>
      <c r="L296" s="209">
        <v>1</v>
      </c>
      <c r="M296" s="209">
        <f t="shared" si="24"/>
        <v>3</v>
      </c>
      <c r="N296" s="209"/>
      <c r="O296" s="209" t="s">
        <v>946</v>
      </c>
      <c r="P296" s="205">
        <f t="shared" si="27"/>
        <v>0</v>
      </c>
      <c r="Q296" s="196"/>
    </row>
    <row r="297" spans="1:17" s="8" customFormat="1" ht="15.75" x14ac:dyDescent="0.25">
      <c r="A297" s="106" t="s">
        <v>899</v>
      </c>
      <c r="B297" s="201"/>
      <c r="C297" s="203" t="s">
        <v>842</v>
      </c>
      <c r="D297" s="203" t="s">
        <v>1122</v>
      </c>
      <c r="E297" s="161">
        <v>2</v>
      </c>
      <c r="F297" s="22"/>
      <c r="G297" s="202">
        <f t="shared" si="28"/>
        <v>0</v>
      </c>
      <c r="H297" s="209"/>
      <c r="I297" s="219"/>
      <c r="J297" s="205"/>
      <c r="K297" s="209"/>
      <c r="L297" s="209"/>
      <c r="M297" s="209">
        <f t="shared" si="24"/>
        <v>2</v>
      </c>
      <c r="N297" s="209"/>
      <c r="O297" s="209" t="s">
        <v>946</v>
      </c>
      <c r="P297" s="205">
        <f t="shared" si="27"/>
        <v>0</v>
      </c>
      <c r="Q297" s="196"/>
    </row>
    <row r="298" spans="1:17" s="8" customFormat="1" ht="15.75" x14ac:dyDescent="0.25">
      <c r="A298" s="106" t="s">
        <v>900</v>
      </c>
      <c r="B298" s="201">
        <v>44193</v>
      </c>
      <c r="C298" s="203" t="s">
        <v>841</v>
      </c>
      <c r="D298" s="203" t="s">
        <v>1122</v>
      </c>
      <c r="E298" s="161">
        <v>1</v>
      </c>
      <c r="F298" s="22">
        <v>18.86</v>
      </c>
      <c r="G298" s="202">
        <f t="shared" si="28"/>
        <v>18.86</v>
      </c>
      <c r="H298" s="209"/>
      <c r="I298" s="219"/>
      <c r="J298" s="205"/>
      <c r="K298" s="209"/>
      <c r="L298" s="209"/>
      <c r="M298" s="209">
        <f t="shared" si="24"/>
        <v>1</v>
      </c>
      <c r="N298" s="209"/>
      <c r="O298" s="209" t="s">
        <v>946</v>
      </c>
      <c r="P298" s="205">
        <f t="shared" si="27"/>
        <v>18.86</v>
      </c>
      <c r="Q298" s="196"/>
    </row>
    <row r="299" spans="1:17" s="8" customFormat="1" ht="15.75" x14ac:dyDescent="0.25">
      <c r="A299" s="106" t="s">
        <v>901</v>
      </c>
      <c r="B299" s="201">
        <v>44193</v>
      </c>
      <c r="C299" s="203" t="s">
        <v>848</v>
      </c>
      <c r="D299" s="203" t="s">
        <v>1122</v>
      </c>
      <c r="E299" s="161">
        <v>1</v>
      </c>
      <c r="F299" s="22"/>
      <c r="G299" s="202">
        <f t="shared" si="28"/>
        <v>0</v>
      </c>
      <c r="H299" s="209"/>
      <c r="I299" s="219"/>
      <c r="J299" s="205"/>
      <c r="K299" s="209"/>
      <c r="L299" s="209"/>
      <c r="M299" s="209">
        <f t="shared" si="24"/>
        <v>1</v>
      </c>
      <c r="N299" s="209"/>
      <c r="O299" s="209" t="s">
        <v>946</v>
      </c>
      <c r="P299" s="205">
        <f t="shared" si="27"/>
        <v>0</v>
      </c>
      <c r="Q299" s="196"/>
    </row>
    <row r="300" spans="1:17" s="8" customFormat="1" ht="15.75" x14ac:dyDescent="0.25">
      <c r="A300" s="106" t="s">
        <v>902</v>
      </c>
      <c r="B300" s="201">
        <v>44193</v>
      </c>
      <c r="C300" s="203" t="s">
        <v>839</v>
      </c>
      <c r="D300" s="203" t="s">
        <v>1122</v>
      </c>
      <c r="E300" s="161">
        <v>7</v>
      </c>
      <c r="F300" s="22"/>
      <c r="G300" s="202">
        <f t="shared" si="28"/>
        <v>0</v>
      </c>
      <c r="H300" s="209"/>
      <c r="I300" s="219"/>
      <c r="J300" s="205"/>
      <c r="K300" s="209"/>
      <c r="L300" s="209"/>
      <c r="M300" s="209">
        <f t="shared" si="24"/>
        <v>7</v>
      </c>
      <c r="N300" s="209"/>
      <c r="O300" s="209" t="s">
        <v>946</v>
      </c>
      <c r="P300" s="205">
        <f t="shared" si="27"/>
        <v>0</v>
      </c>
      <c r="Q300" s="196"/>
    </row>
    <row r="301" spans="1:17" s="8" customFormat="1" ht="15.75" x14ac:dyDescent="0.25">
      <c r="A301" s="106" t="s">
        <v>903</v>
      </c>
      <c r="B301" s="201">
        <v>44193</v>
      </c>
      <c r="C301" s="203" t="s">
        <v>867</v>
      </c>
      <c r="D301" s="203" t="s">
        <v>1122</v>
      </c>
      <c r="E301" s="161">
        <v>6</v>
      </c>
      <c r="F301" s="22">
        <v>176</v>
      </c>
      <c r="G301" s="202">
        <f t="shared" si="28"/>
        <v>1056</v>
      </c>
      <c r="H301" s="209"/>
      <c r="I301" s="219"/>
      <c r="J301" s="205"/>
      <c r="K301" s="209"/>
      <c r="L301" s="209">
        <v>2</v>
      </c>
      <c r="M301" s="209">
        <f t="shared" si="24"/>
        <v>4</v>
      </c>
      <c r="N301" s="209"/>
      <c r="O301" s="209" t="s">
        <v>947</v>
      </c>
      <c r="P301" s="205">
        <f t="shared" si="27"/>
        <v>704</v>
      </c>
      <c r="Q301" s="196"/>
    </row>
    <row r="302" spans="1:17" s="8" customFormat="1" ht="15.75" x14ac:dyDescent="0.25">
      <c r="A302" s="106" t="s">
        <v>904</v>
      </c>
      <c r="B302" s="201">
        <v>44193</v>
      </c>
      <c r="C302" s="203" t="s">
        <v>798</v>
      </c>
      <c r="D302" s="203" t="s">
        <v>1122</v>
      </c>
      <c r="E302" s="161">
        <v>3</v>
      </c>
      <c r="F302" s="22">
        <v>234</v>
      </c>
      <c r="G302" s="202">
        <f t="shared" si="28"/>
        <v>702</v>
      </c>
      <c r="H302" s="209"/>
      <c r="I302" s="219"/>
      <c r="J302" s="205"/>
      <c r="K302" s="209"/>
      <c r="L302" s="209"/>
      <c r="M302" s="209">
        <f t="shared" si="24"/>
        <v>3</v>
      </c>
      <c r="N302" s="209"/>
      <c r="O302" s="209" t="s">
        <v>946</v>
      </c>
      <c r="P302" s="205">
        <f t="shared" si="27"/>
        <v>702</v>
      </c>
      <c r="Q302" s="196"/>
    </row>
    <row r="303" spans="1:17" s="92" customFormat="1" x14ac:dyDescent="0.3">
      <c r="A303" s="106" t="s">
        <v>905</v>
      </c>
      <c r="B303" s="201">
        <v>44755</v>
      </c>
      <c r="C303" s="203" t="s">
        <v>764</v>
      </c>
      <c r="D303" s="203" t="s">
        <v>1122</v>
      </c>
      <c r="E303" s="161">
        <v>0</v>
      </c>
      <c r="F303" s="22">
        <v>50.84</v>
      </c>
      <c r="G303" s="202">
        <f t="shared" si="28"/>
        <v>0</v>
      </c>
      <c r="H303" s="204"/>
      <c r="I303" s="219">
        <v>56</v>
      </c>
      <c r="J303" s="205">
        <v>50.84</v>
      </c>
      <c r="K303" s="206">
        <f>+I303*J303</f>
        <v>2847.04</v>
      </c>
      <c r="L303" s="30">
        <f>3+2</f>
        <v>5</v>
      </c>
      <c r="M303" s="209">
        <f t="shared" si="24"/>
        <v>51</v>
      </c>
      <c r="N303" s="209"/>
      <c r="O303" s="209" t="s">
        <v>945</v>
      </c>
      <c r="P303" s="205">
        <f t="shared" si="27"/>
        <v>2592.84</v>
      </c>
      <c r="Q303" s="213"/>
    </row>
    <row r="304" spans="1:17" s="8" customFormat="1" ht="15.75" x14ac:dyDescent="0.25">
      <c r="A304" s="106" t="s">
        <v>906</v>
      </c>
      <c r="B304" s="201"/>
      <c r="C304" s="203" t="s">
        <v>799</v>
      </c>
      <c r="D304" s="203" t="s">
        <v>1122</v>
      </c>
      <c r="E304" s="161">
        <v>120</v>
      </c>
      <c r="F304" s="22"/>
      <c r="G304" s="202">
        <f t="shared" si="28"/>
        <v>0</v>
      </c>
      <c r="H304" s="209"/>
      <c r="I304" s="219"/>
      <c r="J304" s="205"/>
      <c r="K304" s="209"/>
      <c r="L304" s="209"/>
      <c r="M304" s="209">
        <f t="shared" ref="M304:M367" si="29">+E304+I304-L304</f>
        <v>120</v>
      </c>
      <c r="N304" s="209"/>
      <c r="O304" s="209" t="s">
        <v>946</v>
      </c>
      <c r="P304" s="205">
        <f t="shared" si="27"/>
        <v>0</v>
      </c>
      <c r="Q304" s="196"/>
    </row>
    <row r="305" spans="1:17" s="8" customFormat="1" ht="15.75" x14ac:dyDescent="0.25">
      <c r="A305" s="106" t="s">
        <v>907</v>
      </c>
      <c r="B305" s="201"/>
      <c r="C305" s="203" t="s">
        <v>824</v>
      </c>
      <c r="D305" s="203" t="s">
        <v>1122</v>
      </c>
      <c r="E305" s="161">
        <v>15</v>
      </c>
      <c r="F305" s="22"/>
      <c r="G305" s="202">
        <f t="shared" si="28"/>
        <v>0</v>
      </c>
      <c r="H305" s="204"/>
      <c r="I305" s="219"/>
      <c r="J305" s="205"/>
      <c r="K305" s="206"/>
      <c r="L305" s="206">
        <v>2</v>
      </c>
      <c r="M305" s="209">
        <f t="shared" si="29"/>
        <v>13</v>
      </c>
      <c r="N305" s="209"/>
      <c r="O305" s="209" t="s">
        <v>946</v>
      </c>
      <c r="P305" s="205">
        <f t="shared" si="27"/>
        <v>0</v>
      </c>
      <c r="Q305" s="196"/>
    </row>
    <row r="306" spans="1:17" s="8" customFormat="1" ht="15.75" x14ac:dyDescent="0.25">
      <c r="A306" s="106" t="s">
        <v>908</v>
      </c>
      <c r="B306" s="201"/>
      <c r="C306" s="203" t="s">
        <v>837</v>
      </c>
      <c r="D306" s="203" t="s">
        <v>1122</v>
      </c>
      <c r="E306" s="161">
        <v>9</v>
      </c>
      <c r="F306" s="22"/>
      <c r="G306" s="202">
        <f t="shared" si="28"/>
        <v>0</v>
      </c>
      <c r="H306" s="209"/>
      <c r="I306" s="219"/>
      <c r="J306" s="205"/>
      <c r="K306" s="209"/>
      <c r="L306" s="209"/>
      <c r="M306" s="209">
        <f t="shared" si="29"/>
        <v>9</v>
      </c>
      <c r="N306" s="209"/>
      <c r="O306" s="209" t="s">
        <v>946</v>
      </c>
      <c r="P306" s="205">
        <f t="shared" si="27"/>
        <v>0</v>
      </c>
      <c r="Q306" s="196"/>
    </row>
    <row r="307" spans="1:17" s="8" customFormat="1" ht="15.75" x14ac:dyDescent="0.25">
      <c r="A307" s="106" t="s">
        <v>909</v>
      </c>
      <c r="B307" s="201"/>
      <c r="C307" s="203" t="s">
        <v>792</v>
      </c>
      <c r="D307" s="203" t="s">
        <v>1122</v>
      </c>
      <c r="E307" s="161">
        <v>19</v>
      </c>
      <c r="F307" s="22"/>
      <c r="G307" s="202">
        <f t="shared" si="28"/>
        <v>0</v>
      </c>
      <c r="H307" s="209"/>
      <c r="I307" s="219"/>
      <c r="J307" s="205"/>
      <c r="K307" s="209"/>
      <c r="L307" s="209">
        <v>1</v>
      </c>
      <c r="M307" s="209">
        <f t="shared" si="29"/>
        <v>18</v>
      </c>
      <c r="N307" s="209"/>
      <c r="O307" s="209" t="s">
        <v>946</v>
      </c>
      <c r="P307" s="205">
        <f t="shared" si="27"/>
        <v>0</v>
      </c>
      <c r="Q307" s="196"/>
    </row>
    <row r="308" spans="1:17" s="8" customFormat="1" ht="15.75" x14ac:dyDescent="0.25">
      <c r="A308" s="106" t="s">
        <v>910</v>
      </c>
      <c r="B308" s="201"/>
      <c r="C308" s="203" t="s">
        <v>329</v>
      </c>
      <c r="D308" s="203" t="s">
        <v>1122</v>
      </c>
      <c r="E308" s="161">
        <v>21</v>
      </c>
      <c r="F308" s="22"/>
      <c r="G308" s="202">
        <f t="shared" si="28"/>
        <v>0</v>
      </c>
      <c r="H308" s="209"/>
      <c r="I308" s="219"/>
      <c r="J308" s="205"/>
      <c r="K308" s="209"/>
      <c r="L308" s="209"/>
      <c r="M308" s="209">
        <f t="shared" si="29"/>
        <v>21</v>
      </c>
      <c r="N308" s="209"/>
      <c r="O308" s="209" t="s">
        <v>946</v>
      </c>
      <c r="P308" s="205">
        <f t="shared" si="27"/>
        <v>0</v>
      </c>
      <c r="Q308" s="196"/>
    </row>
    <row r="309" spans="1:17" s="8" customFormat="1" ht="15.75" x14ac:dyDescent="0.25">
      <c r="A309" s="106" t="s">
        <v>911</v>
      </c>
      <c r="B309" s="201"/>
      <c r="C309" s="203" t="s">
        <v>330</v>
      </c>
      <c r="D309" s="203" t="s">
        <v>1122</v>
      </c>
      <c r="E309" s="161">
        <f>2+18</f>
        <v>20</v>
      </c>
      <c r="F309" s="22"/>
      <c r="G309" s="202">
        <f t="shared" si="28"/>
        <v>0</v>
      </c>
      <c r="H309" s="209"/>
      <c r="I309" s="219"/>
      <c r="J309" s="205"/>
      <c r="K309" s="209"/>
      <c r="L309" s="209"/>
      <c r="M309" s="209">
        <f t="shared" si="29"/>
        <v>20</v>
      </c>
      <c r="N309" s="209"/>
      <c r="O309" s="209" t="s">
        <v>946</v>
      </c>
      <c r="P309" s="205">
        <f t="shared" si="27"/>
        <v>0</v>
      </c>
      <c r="Q309" s="196"/>
    </row>
    <row r="310" spans="1:17" s="8" customFormat="1" ht="15.75" x14ac:dyDescent="0.25">
      <c r="A310" s="106" t="s">
        <v>912</v>
      </c>
      <c r="B310" s="201">
        <v>44193</v>
      </c>
      <c r="C310" s="203" t="s">
        <v>836</v>
      </c>
      <c r="D310" s="203" t="s">
        <v>1122</v>
      </c>
      <c r="E310" s="161">
        <v>19</v>
      </c>
      <c r="F310" s="22">
        <v>30</v>
      </c>
      <c r="G310" s="202">
        <f t="shared" si="28"/>
        <v>570</v>
      </c>
      <c r="H310" s="209"/>
      <c r="I310" s="219"/>
      <c r="J310" s="205"/>
      <c r="K310" s="209"/>
      <c r="L310" s="209"/>
      <c r="M310" s="209">
        <f t="shared" si="29"/>
        <v>19</v>
      </c>
      <c r="N310" s="209"/>
      <c r="O310" s="209" t="s">
        <v>946</v>
      </c>
      <c r="P310" s="205">
        <f t="shared" si="27"/>
        <v>570</v>
      </c>
      <c r="Q310" s="196"/>
    </row>
    <row r="311" spans="1:17" s="8" customFormat="1" ht="15.75" x14ac:dyDescent="0.25">
      <c r="A311" s="106" t="s">
        <v>530</v>
      </c>
      <c r="B311" s="201">
        <v>45020</v>
      </c>
      <c r="C311" s="203" t="s">
        <v>810</v>
      </c>
      <c r="D311" s="203" t="s">
        <v>1122</v>
      </c>
      <c r="E311" s="161">
        <v>20</v>
      </c>
      <c r="F311" s="22">
        <v>413</v>
      </c>
      <c r="G311" s="202">
        <f>+E311*F311</f>
        <v>8260</v>
      </c>
      <c r="H311" s="209"/>
      <c r="I311" s="219"/>
      <c r="J311" s="205"/>
      <c r="K311" s="209"/>
      <c r="L311" s="209">
        <v>1</v>
      </c>
      <c r="M311" s="209">
        <f t="shared" si="29"/>
        <v>19</v>
      </c>
      <c r="N311" s="209"/>
      <c r="O311" s="209" t="s">
        <v>946</v>
      </c>
      <c r="P311" s="205">
        <f t="shared" si="27"/>
        <v>7847</v>
      </c>
      <c r="Q311" s="196"/>
    </row>
    <row r="312" spans="1:17" s="8" customFormat="1" ht="15.75" x14ac:dyDescent="0.25">
      <c r="A312" s="106" t="s">
        <v>916</v>
      </c>
      <c r="B312" s="201"/>
      <c r="C312" s="203" t="s">
        <v>836</v>
      </c>
      <c r="D312" s="203" t="s">
        <v>1122</v>
      </c>
      <c r="E312" s="161">
        <v>19</v>
      </c>
      <c r="F312" s="22"/>
      <c r="G312" s="202"/>
      <c r="H312" s="209"/>
      <c r="I312" s="219"/>
      <c r="J312" s="205"/>
      <c r="K312" s="209"/>
      <c r="L312" s="209"/>
      <c r="M312" s="209">
        <f t="shared" si="29"/>
        <v>19</v>
      </c>
      <c r="N312" s="209"/>
      <c r="O312" s="209" t="s">
        <v>946</v>
      </c>
      <c r="P312" s="205">
        <f t="shared" si="27"/>
        <v>0</v>
      </c>
      <c r="Q312" s="196"/>
    </row>
    <row r="313" spans="1:17" s="92" customFormat="1" x14ac:dyDescent="0.3">
      <c r="A313" s="106" t="s">
        <v>917</v>
      </c>
      <c r="B313" s="201"/>
      <c r="C313" s="203" t="s">
        <v>918</v>
      </c>
      <c r="D313" s="203" t="s">
        <v>1122</v>
      </c>
      <c r="E313" s="161">
        <v>5</v>
      </c>
      <c r="F313" s="22"/>
      <c r="G313" s="202"/>
      <c r="H313" s="209"/>
      <c r="I313" s="219"/>
      <c r="J313" s="205"/>
      <c r="K313" s="209"/>
      <c r="L313" s="209"/>
      <c r="M313" s="209">
        <f t="shared" si="29"/>
        <v>5</v>
      </c>
      <c r="N313" s="209"/>
      <c r="O313" s="209" t="s">
        <v>945</v>
      </c>
      <c r="P313" s="205">
        <f t="shared" si="27"/>
        <v>0</v>
      </c>
      <c r="Q313" s="213"/>
    </row>
    <row r="314" spans="1:17" s="92" customFormat="1" x14ac:dyDescent="0.3">
      <c r="A314" s="106" t="s">
        <v>921</v>
      </c>
      <c r="B314" s="201"/>
      <c r="C314" s="203" t="s">
        <v>919</v>
      </c>
      <c r="D314" s="203" t="s">
        <v>1122</v>
      </c>
      <c r="E314" s="161">
        <f>12+10+11</f>
        <v>33</v>
      </c>
      <c r="F314" s="22">
        <v>150</v>
      </c>
      <c r="G314" s="202"/>
      <c r="H314" s="209"/>
      <c r="I314" s="219"/>
      <c r="J314" s="205"/>
      <c r="K314" s="209"/>
      <c r="L314" s="209">
        <v>1</v>
      </c>
      <c r="M314" s="209">
        <f t="shared" si="29"/>
        <v>32</v>
      </c>
      <c r="N314" s="209"/>
      <c r="O314" s="209" t="s">
        <v>945</v>
      </c>
      <c r="P314" s="205">
        <f t="shared" si="27"/>
        <v>4800</v>
      </c>
      <c r="Q314" s="213"/>
    </row>
    <row r="315" spans="1:17" s="92" customFormat="1" x14ac:dyDescent="0.3">
      <c r="A315" s="106" t="s">
        <v>922</v>
      </c>
      <c r="B315" s="201"/>
      <c r="C315" s="203" t="s">
        <v>926</v>
      </c>
      <c r="D315" s="203" t="s">
        <v>1122</v>
      </c>
      <c r="E315" s="161">
        <v>1</v>
      </c>
      <c r="F315" s="22"/>
      <c r="G315" s="202"/>
      <c r="H315" s="209"/>
      <c r="I315" s="219"/>
      <c r="J315" s="205"/>
      <c r="K315" s="209"/>
      <c r="L315" s="209"/>
      <c r="M315" s="209">
        <f t="shared" si="29"/>
        <v>1</v>
      </c>
      <c r="N315" s="209"/>
      <c r="O315" s="209" t="s">
        <v>945</v>
      </c>
      <c r="P315" s="205">
        <f t="shared" si="27"/>
        <v>0</v>
      </c>
      <c r="Q315" s="213"/>
    </row>
    <row r="316" spans="1:17" s="92" customFormat="1" x14ac:dyDescent="0.3">
      <c r="A316" s="106" t="s">
        <v>923</v>
      </c>
      <c r="B316" s="201">
        <v>45019</v>
      </c>
      <c r="C316" s="203" t="s">
        <v>930</v>
      </c>
      <c r="D316" s="203" t="s">
        <v>1122</v>
      </c>
      <c r="E316" s="161"/>
      <c r="F316" s="22">
        <v>128.91999999999999</v>
      </c>
      <c r="G316" s="202"/>
      <c r="H316" s="204">
        <v>45019</v>
      </c>
      <c r="I316" s="219">
        <v>50</v>
      </c>
      <c r="J316" s="205">
        <v>128.91999999999999</v>
      </c>
      <c r="K316" s="209">
        <f>+J316*I316</f>
        <v>6445.9999999999991</v>
      </c>
      <c r="L316" s="209">
        <f>10+2+1+2</f>
        <v>15</v>
      </c>
      <c r="M316" s="209">
        <f t="shared" si="29"/>
        <v>35</v>
      </c>
      <c r="N316" s="209"/>
      <c r="O316" s="209" t="s">
        <v>945</v>
      </c>
      <c r="P316" s="205">
        <f t="shared" si="27"/>
        <v>4512.2</v>
      </c>
      <c r="Q316" s="213"/>
    </row>
    <row r="317" spans="1:17" s="8" customFormat="1" ht="15.75" x14ac:dyDescent="0.25">
      <c r="A317" s="106" t="s">
        <v>932</v>
      </c>
      <c r="B317" s="201"/>
      <c r="C317" s="203" t="s">
        <v>931</v>
      </c>
      <c r="D317" s="203" t="s">
        <v>1122</v>
      </c>
      <c r="E317" s="161"/>
      <c r="F317" s="22"/>
      <c r="G317" s="202"/>
      <c r="H317" s="209"/>
      <c r="I317" s="219"/>
      <c r="J317" s="205"/>
      <c r="K317" s="209"/>
      <c r="L317" s="209">
        <f>1+1</f>
        <v>2</v>
      </c>
      <c r="M317" s="209">
        <f t="shared" si="29"/>
        <v>-2</v>
      </c>
      <c r="N317" s="209"/>
      <c r="O317" s="209" t="s">
        <v>947</v>
      </c>
      <c r="P317" s="205">
        <f t="shared" si="27"/>
        <v>0</v>
      </c>
      <c r="Q317" s="196"/>
    </row>
    <row r="318" spans="1:17" s="8" customFormat="1" ht="15.75" x14ac:dyDescent="0.25">
      <c r="A318" s="106" t="s">
        <v>933</v>
      </c>
      <c r="B318" s="201"/>
      <c r="C318" s="203" t="s">
        <v>934</v>
      </c>
      <c r="D318" s="203" t="s">
        <v>1122</v>
      </c>
      <c r="E318" s="161"/>
      <c r="F318" s="22"/>
      <c r="G318" s="202"/>
      <c r="H318" s="209"/>
      <c r="I318" s="219"/>
      <c r="J318" s="205"/>
      <c r="K318" s="209"/>
      <c r="L318" s="209">
        <f>1+1+15+1</f>
        <v>18</v>
      </c>
      <c r="M318" s="209">
        <f t="shared" si="29"/>
        <v>-18</v>
      </c>
      <c r="N318" s="209"/>
      <c r="O318" s="209" t="s">
        <v>946</v>
      </c>
      <c r="P318" s="205">
        <f t="shared" si="27"/>
        <v>0</v>
      </c>
      <c r="Q318" s="196"/>
    </row>
    <row r="319" spans="1:17" s="8" customFormat="1" ht="15.75" x14ac:dyDescent="0.25">
      <c r="A319" s="106" t="s">
        <v>936</v>
      </c>
      <c r="B319" s="201">
        <v>44193</v>
      </c>
      <c r="C319" s="203" t="s">
        <v>613</v>
      </c>
      <c r="D319" s="203" t="s">
        <v>1122</v>
      </c>
      <c r="E319" s="161">
        <v>25</v>
      </c>
      <c r="F319" s="22">
        <v>5.78</v>
      </c>
      <c r="G319" s="202">
        <f>+E319*F319</f>
        <v>144.5</v>
      </c>
      <c r="H319" s="209"/>
      <c r="I319" s="219"/>
      <c r="J319" s="205"/>
      <c r="K319" s="209"/>
      <c r="L319" s="209">
        <v>1</v>
      </c>
      <c r="M319" s="209">
        <f t="shared" si="29"/>
        <v>24</v>
      </c>
      <c r="N319" s="209"/>
      <c r="O319" s="209" t="s">
        <v>946</v>
      </c>
      <c r="P319" s="205">
        <f t="shared" si="27"/>
        <v>138.72</v>
      </c>
      <c r="Q319" s="196"/>
    </row>
    <row r="320" spans="1:17" s="8" customFormat="1" ht="15.75" x14ac:dyDescent="0.25">
      <c r="A320" s="106" t="s">
        <v>937</v>
      </c>
      <c r="B320" s="201"/>
      <c r="C320" s="203" t="s">
        <v>935</v>
      </c>
      <c r="D320" s="203" t="s">
        <v>1122</v>
      </c>
      <c r="E320" s="161"/>
      <c r="F320" s="22"/>
      <c r="G320" s="202"/>
      <c r="H320" s="209"/>
      <c r="I320" s="219"/>
      <c r="J320" s="205"/>
      <c r="K320" s="209"/>
      <c r="L320" s="209">
        <v>2</v>
      </c>
      <c r="M320" s="209">
        <f t="shared" si="29"/>
        <v>-2</v>
      </c>
      <c r="N320" s="209"/>
      <c r="O320" s="209" t="s">
        <v>946</v>
      </c>
      <c r="P320" s="205">
        <f t="shared" si="27"/>
        <v>0</v>
      </c>
      <c r="Q320" s="196"/>
    </row>
    <row r="321" spans="1:17" s="8" customFormat="1" ht="15.75" x14ac:dyDescent="0.25">
      <c r="A321" s="106" t="s">
        <v>938</v>
      </c>
      <c r="B321" s="201"/>
      <c r="C321" s="203" t="s">
        <v>939</v>
      </c>
      <c r="D321" s="203" t="s">
        <v>1122</v>
      </c>
      <c r="E321" s="161"/>
      <c r="F321" s="22"/>
      <c r="G321" s="202"/>
      <c r="H321" s="209"/>
      <c r="I321" s="219"/>
      <c r="J321" s="205"/>
      <c r="K321" s="209"/>
      <c r="L321" s="209">
        <v>1</v>
      </c>
      <c r="M321" s="209">
        <f t="shared" si="29"/>
        <v>-1</v>
      </c>
      <c r="N321" s="209"/>
      <c r="O321" s="209" t="s">
        <v>946</v>
      </c>
      <c r="P321" s="205">
        <f t="shared" si="27"/>
        <v>0</v>
      </c>
      <c r="Q321" s="196"/>
    </row>
    <row r="322" spans="1:17" s="8" customFormat="1" ht="15.75" x14ac:dyDescent="0.25">
      <c r="A322" s="106" t="s">
        <v>941</v>
      </c>
      <c r="B322" s="201"/>
      <c r="C322" s="203" t="s">
        <v>940</v>
      </c>
      <c r="D322" s="203" t="s">
        <v>1122</v>
      </c>
      <c r="E322" s="161"/>
      <c r="F322" s="22"/>
      <c r="G322" s="202"/>
      <c r="H322" s="209"/>
      <c r="I322" s="219"/>
      <c r="J322" s="205"/>
      <c r="K322" s="209"/>
      <c r="L322" s="209">
        <v>1</v>
      </c>
      <c r="M322" s="209">
        <f t="shared" si="29"/>
        <v>-1</v>
      </c>
      <c r="N322" s="209"/>
      <c r="O322" s="209" t="s">
        <v>946</v>
      </c>
      <c r="P322" s="205">
        <f t="shared" si="27"/>
        <v>0</v>
      </c>
      <c r="Q322" s="196"/>
    </row>
    <row r="323" spans="1:17" s="8" customFormat="1" ht="15.75" x14ac:dyDescent="0.25">
      <c r="A323" s="106" t="s">
        <v>948</v>
      </c>
      <c r="B323" s="201">
        <v>45019</v>
      </c>
      <c r="C323" s="203" t="s">
        <v>1240</v>
      </c>
      <c r="D323" s="203" t="s">
        <v>1122</v>
      </c>
      <c r="E323" s="161">
        <v>967</v>
      </c>
      <c r="F323" s="22">
        <v>58.51</v>
      </c>
      <c r="G323" s="202"/>
      <c r="H323" s="204">
        <v>45019</v>
      </c>
      <c r="I323" s="219">
        <f>30*12</f>
        <v>360</v>
      </c>
      <c r="J323" s="205">
        <v>58.51</v>
      </c>
      <c r="K323" s="205">
        <f>+J323*I323</f>
        <v>21063.599999999999</v>
      </c>
      <c r="L323" s="209">
        <f>967+12+2+36+24+24+36+24+24+12+24+36</f>
        <v>1221</v>
      </c>
      <c r="M323" s="209">
        <f t="shared" si="29"/>
        <v>106</v>
      </c>
      <c r="N323" s="209"/>
      <c r="O323" s="209" t="s">
        <v>946</v>
      </c>
      <c r="P323" s="205">
        <f t="shared" si="27"/>
        <v>6202.0599999999995</v>
      </c>
      <c r="Q323" s="196"/>
    </row>
    <row r="324" spans="1:17" s="8" customFormat="1" ht="15.75" x14ac:dyDescent="0.25">
      <c r="A324" s="106" t="s">
        <v>953</v>
      </c>
      <c r="B324" s="201"/>
      <c r="C324" s="203" t="s">
        <v>949</v>
      </c>
      <c r="D324" s="203" t="s">
        <v>1122</v>
      </c>
      <c r="E324" s="161"/>
      <c r="F324" s="22"/>
      <c r="G324" s="202"/>
      <c r="H324" s="209"/>
      <c r="I324" s="219"/>
      <c r="J324" s="205"/>
      <c r="K324" s="205">
        <f t="shared" ref="K324:K325" si="30">+J324*I324</f>
        <v>0</v>
      </c>
      <c r="L324" s="209">
        <v>1</v>
      </c>
      <c r="M324" s="209">
        <f t="shared" si="29"/>
        <v>-1</v>
      </c>
      <c r="N324" s="209"/>
      <c r="O324" s="209" t="s">
        <v>946</v>
      </c>
      <c r="P324" s="205">
        <f t="shared" si="27"/>
        <v>0</v>
      </c>
      <c r="Q324" s="196"/>
    </row>
    <row r="325" spans="1:17" s="92" customFormat="1" x14ac:dyDescent="0.3">
      <c r="A325" s="106" t="s">
        <v>954</v>
      </c>
      <c r="B325" s="201"/>
      <c r="C325" s="203" t="s">
        <v>952</v>
      </c>
      <c r="D325" s="203" t="s">
        <v>1122</v>
      </c>
      <c r="E325" s="161"/>
      <c r="F325" s="22"/>
      <c r="G325" s="202"/>
      <c r="H325" s="209"/>
      <c r="I325" s="219">
        <v>130</v>
      </c>
      <c r="J325" s="205"/>
      <c r="K325" s="205">
        <f t="shared" si="30"/>
        <v>0</v>
      </c>
      <c r="L325" s="209">
        <f>9+1</f>
        <v>10</v>
      </c>
      <c r="M325" s="209">
        <f t="shared" si="29"/>
        <v>120</v>
      </c>
      <c r="N325" s="209"/>
      <c r="O325" s="209" t="s">
        <v>945</v>
      </c>
      <c r="P325" s="205">
        <f t="shared" si="27"/>
        <v>0</v>
      </c>
      <c r="Q325" s="213"/>
    </row>
    <row r="326" spans="1:17" s="92" customFormat="1" x14ac:dyDescent="0.3">
      <c r="A326" s="106" t="s">
        <v>957</v>
      </c>
      <c r="B326" s="201">
        <v>45019</v>
      </c>
      <c r="C326" s="203" t="s">
        <v>958</v>
      </c>
      <c r="D326" s="203" t="s">
        <v>1122</v>
      </c>
      <c r="E326" s="161"/>
      <c r="F326" s="22">
        <v>41.3</v>
      </c>
      <c r="G326" s="202"/>
      <c r="H326" s="204">
        <v>45019</v>
      </c>
      <c r="I326" s="219">
        <f>120+102</f>
        <v>222</v>
      </c>
      <c r="J326" s="205">
        <v>41.3</v>
      </c>
      <c r="K326" s="205">
        <f>+J326*I326</f>
        <v>9168.5999999999985</v>
      </c>
      <c r="L326" s="209">
        <f>1+1+2+2+1+1+4+3</f>
        <v>15</v>
      </c>
      <c r="M326" s="209">
        <f t="shared" si="29"/>
        <v>207</v>
      </c>
      <c r="N326" s="209"/>
      <c r="O326" s="209" t="s">
        <v>945</v>
      </c>
      <c r="P326" s="205">
        <f t="shared" si="27"/>
        <v>8549.0999999999985</v>
      </c>
      <c r="Q326" s="213"/>
    </row>
    <row r="327" spans="1:17" s="105" customFormat="1" ht="15.75" x14ac:dyDescent="0.25">
      <c r="A327" s="106" t="s">
        <v>972</v>
      </c>
      <c r="B327" s="201">
        <v>44852</v>
      </c>
      <c r="C327" s="203" t="s">
        <v>1223</v>
      </c>
      <c r="D327" s="203" t="s">
        <v>1122</v>
      </c>
      <c r="E327" s="161"/>
      <c r="F327" s="22">
        <v>36</v>
      </c>
      <c r="G327" s="202"/>
      <c r="H327" s="204">
        <v>44852</v>
      </c>
      <c r="I327" s="219">
        <v>20</v>
      </c>
      <c r="J327" s="205">
        <v>19.329999999999998</v>
      </c>
      <c r="K327" s="206">
        <f>+I327*J327</f>
        <v>386.59999999999997</v>
      </c>
      <c r="L327" s="209">
        <f>1+1+2+2+5</f>
        <v>11</v>
      </c>
      <c r="M327" s="209">
        <f t="shared" si="29"/>
        <v>9</v>
      </c>
      <c r="N327" s="209" t="s">
        <v>1037</v>
      </c>
      <c r="O327" s="209" t="s">
        <v>947</v>
      </c>
      <c r="P327" s="205">
        <f t="shared" si="27"/>
        <v>324</v>
      </c>
      <c r="Q327" s="215"/>
    </row>
    <row r="328" spans="1:17" s="105" customFormat="1" ht="15.75" x14ac:dyDescent="0.25">
      <c r="A328" s="106" t="s">
        <v>973</v>
      </c>
      <c r="B328" s="201">
        <v>44852</v>
      </c>
      <c r="C328" s="203" t="s">
        <v>1036</v>
      </c>
      <c r="D328" s="203" t="s">
        <v>1122</v>
      </c>
      <c r="E328" s="161">
        <v>6</v>
      </c>
      <c r="F328" s="22">
        <v>145.80000000000001</v>
      </c>
      <c r="G328" s="202"/>
      <c r="H328" s="204">
        <v>44852</v>
      </c>
      <c r="I328" s="219">
        <v>10</v>
      </c>
      <c r="J328" s="205">
        <v>145.80000000000001</v>
      </c>
      <c r="K328" s="206">
        <f>+I328*J328</f>
        <v>1458</v>
      </c>
      <c r="L328" s="209">
        <v>7</v>
      </c>
      <c r="M328" s="209">
        <f t="shared" si="29"/>
        <v>9</v>
      </c>
      <c r="N328" s="209" t="s">
        <v>1037</v>
      </c>
      <c r="O328" s="209" t="s">
        <v>947</v>
      </c>
      <c r="P328" s="205">
        <f t="shared" si="27"/>
        <v>1312.2</v>
      </c>
      <c r="Q328" s="215"/>
    </row>
    <row r="329" spans="1:17" s="105" customFormat="1" ht="15.75" x14ac:dyDescent="0.25">
      <c r="A329" s="106" t="s">
        <v>974</v>
      </c>
      <c r="B329" s="204">
        <v>45042</v>
      </c>
      <c r="C329" s="203" t="s">
        <v>1040</v>
      </c>
      <c r="D329" s="203" t="s">
        <v>1122</v>
      </c>
      <c r="E329" s="161"/>
      <c r="F329" s="22">
        <v>97.59</v>
      </c>
      <c r="G329" s="202"/>
      <c r="H329" s="204">
        <v>45042</v>
      </c>
      <c r="I329" s="219">
        <v>10</v>
      </c>
      <c r="J329" s="205">
        <v>116.29</v>
      </c>
      <c r="K329" s="206">
        <f>+I329*J329</f>
        <v>1162.9000000000001</v>
      </c>
      <c r="L329" s="209">
        <f>3+2+1</f>
        <v>6</v>
      </c>
      <c r="M329" s="209">
        <f t="shared" si="29"/>
        <v>4</v>
      </c>
      <c r="N329" s="209" t="s">
        <v>1037</v>
      </c>
      <c r="O329" s="209" t="s">
        <v>947</v>
      </c>
      <c r="P329" s="205">
        <f t="shared" si="27"/>
        <v>390.36</v>
      </c>
      <c r="Q329" s="215"/>
    </row>
    <row r="330" spans="1:17" s="92" customFormat="1" x14ac:dyDescent="0.3">
      <c r="A330" s="106" t="s">
        <v>975</v>
      </c>
      <c r="B330" s="201"/>
      <c r="C330" s="203" t="s">
        <v>960</v>
      </c>
      <c r="D330" s="203" t="s">
        <v>1122</v>
      </c>
      <c r="E330" s="161"/>
      <c r="F330" s="22"/>
      <c r="G330" s="202"/>
      <c r="H330" s="209"/>
      <c r="I330" s="219"/>
      <c r="J330" s="205"/>
      <c r="K330" s="209"/>
      <c r="L330" s="209">
        <v>2</v>
      </c>
      <c r="M330" s="209">
        <f t="shared" si="29"/>
        <v>-2</v>
      </c>
      <c r="N330" s="209"/>
      <c r="O330" s="209" t="s">
        <v>946</v>
      </c>
      <c r="P330" s="205">
        <f t="shared" si="27"/>
        <v>0</v>
      </c>
      <c r="Q330" s="213"/>
    </row>
    <row r="331" spans="1:17" s="92" customFormat="1" ht="19.5" customHeight="1" x14ac:dyDescent="0.3">
      <c r="A331" s="106" t="s">
        <v>976</v>
      </c>
      <c r="B331" s="204">
        <v>44851</v>
      </c>
      <c r="C331" s="203" t="s">
        <v>961</v>
      </c>
      <c r="D331" s="203" t="s">
        <v>1122</v>
      </c>
      <c r="E331" s="161"/>
      <c r="F331" s="22">
        <v>672.78</v>
      </c>
      <c r="G331" s="202"/>
      <c r="H331" s="204">
        <v>44851</v>
      </c>
      <c r="I331" s="219">
        <v>25</v>
      </c>
      <c r="J331" s="205">
        <v>672.78</v>
      </c>
      <c r="K331" s="206">
        <f>+I331*J331</f>
        <v>16819.5</v>
      </c>
      <c r="L331" s="209">
        <v>3</v>
      </c>
      <c r="M331" s="209">
        <f t="shared" si="29"/>
        <v>22</v>
      </c>
      <c r="N331" s="220" t="s">
        <v>1006</v>
      </c>
      <c r="O331" s="209" t="s">
        <v>946</v>
      </c>
      <c r="P331" s="205">
        <f>+F331*M331</f>
        <v>14801.16</v>
      </c>
      <c r="Q331" s="213"/>
    </row>
    <row r="332" spans="1:17" s="92" customFormat="1" x14ac:dyDescent="0.3">
      <c r="A332" s="106" t="s">
        <v>977</v>
      </c>
      <c r="B332" s="204">
        <v>45111</v>
      </c>
      <c r="C332" s="203" t="s">
        <v>962</v>
      </c>
      <c r="D332" s="203" t="s">
        <v>1122</v>
      </c>
      <c r="E332" s="161">
        <v>11</v>
      </c>
      <c r="F332" s="22">
        <f>+J332</f>
        <v>2360</v>
      </c>
      <c r="G332" s="202"/>
      <c r="H332" s="204">
        <v>45111</v>
      </c>
      <c r="I332" s="219">
        <v>12</v>
      </c>
      <c r="J332" s="205">
        <v>2360</v>
      </c>
      <c r="K332" s="206">
        <f>+I332*J332</f>
        <v>28320</v>
      </c>
      <c r="L332" s="209">
        <v>0</v>
      </c>
      <c r="M332" s="209">
        <f t="shared" si="29"/>
        <v>23</v>
      </c>
      <c r="N332" s="209"/>
      <c r="O332" s="209" t="s">
        <v>946</v>
      </c>
      <c r="P332" s="205">
        <f t="shared" si="27"/>
        <v>54280</v>
      </c>
      <c r="Q332" s="213"/>
    </row>
    <row r="333" spans="1:17" s="92" customFormat="1" x14ac:dyDescent="0.3">
      <c r="A333" s="106" t="s">
        <v>978</v>
      </c>
      <c r="B333" s="204">
        <v>44852</v>
      </c>
      <c r="C333" s="203" t="s">
        <v>963</v>
      </c>
      <c r="D333" s="203" t="s">
        <v>1122</v>
      </c>
      <c r="E333" s="161"/>
      <c r="F333" s="22">
        <f t="shared" ref="F333:F341" si="31">+J333</f>
        <v>4967.8</v>
      </c>
      <c r="G333" s="202"/>
      <c r="H333" s="204">
        <v>44852</v>
      </c>
      <c r="I333" s="219">
        <v>15</v>
      </c>
      <c r="J333" s="205">
        <f>4210+757.8</f>
        <v>4967.8</v>
      </c>
      <c r="K333" s="206">
        <f>+I333*J333</f>
        <v>74517</v>
      </c>
      <c r="L333" s="209">
        <v>1</v>
      </c>
      <c r="M333" s="209">
        <f t="shared" si="29"/>
        <v>14</v>
      </c>
      <c r="N333" s="209"/>
      <c r="O333" s="209" t="s">
        <v>946</v>
      </c>
      <c r="P333" s="205">
        <f t="shared" si="27"/>
        <v>69549.2</v>
      </c>
      <c r="Q333" s="213"/>
    </row>
    <row r="334" spans="1:17" s="92" customFormat="1" x14ac:dyDescent="0.3">
      <c r="A334" s="106" t="s">
        <v>979</v>
      </c>
      <c r="B334" s="204">
        <v>44852</v>
      </c>
      <c r="C334" s="203" t="s">
        <v>964</v>
      </c>
      <c r="D334" s="203" t="s">
        <v>1122</v>
      </c>
      <c r="E334" s="161"/>
      <c r="F334" s="22">
        <f t="shared" si="31"/>
        <v>3776</v>
      </c>
      <c r="G334" s="202"/>
      <c r="H334" s="204">
        <v>44852</v>
      </c>
      <c r="I334" s="219">
        <v>16</v>
      </c>
      <c r="J334" s="205">
        <f>3200+576</f>
        <v>3776</v>
      </c>
      <c r="K334" s="206">
        <f>+I334*J334</f>
        <v>60416</v>
      </c>
      <c r="L334" s="209"/>
      <c r="M334" s="209">
        <f t="shared" si="29"/>
        <v>16</v>
      </c>
      <c r="N334" s="209"/>
      <c r="O334" s="209" t="s">
        <v>946</v>
      </c>
      <c r="P334" s="205">
        <f t="shared" si="27"/>
        <v>60416</v>
      </c>
      <c r="Q334" s="213"/>
    </row>
    <row r="335" spans="1:17" s="92" customFormat="1" x14ac:dyDescent="0.3">
      <c r="A335" s="106" t="s">
        <v>980</v>
      </c>
      <c r="B335" s="204">
        <v>44852</v>
      </c>
      <c r="C335" s="203" t="s">
        <v>965</v>
      </c>
      <c r="D335" s="203" t="s">
        <v>1122</v>
      </c>
      <c r="E335" s="161"/>
      <c r="F335" s="22">
        <f t="shared" si="31"/>
        <v>2254.98</v>
      </c>
      <c r="G335" s="202"/>
      <c r="H335" s="204">
        <v>44852</v>
      </c>
      <c r="I335" s="219">
        <v>5</v>
      </c>
      <c r="J335" s="205">
        <f>1911+343.98</f>
        <v>2254.98</v>
      </c>
      <c r="K335" s="206">
        <f t="shared" ref="K335:K345" si="32">+I335*J335</f>
        <v>11274.9</v>
      </c>
      <c r="L335" s="209"/>
      <c r="M335" s="209">
        <f t="shared" si="29"/>
        <v>5</v>
      </c>
      <c r="N335" s="209"/>
      <c r="O335" s="209" t="s">
        <v>946</v>
      </c>
      <c r="P335" s="205">
        <f t="shared" si="27"/>
        <v>11274.9</v>
      </c>
      <c r="Q335" s="213"/>
    </row>
    <row r="336" spans="1:17" s="92" customFormat="1" x14ac:dyDescent="0.3">
      <c r="A336" s="106" t="s">
        <v>981</v>
      </c>
      <c r="B336" s="204">
        <v>44852</v>
      </c>
      <c r="C336" s="203" t="s">
        <v>966</v>
      </c>
      <c r="D336" s="203" t="s">
        <v>1122</v>
      </c>
      <c r="E336" s="161"/>
      <c r="F336" s="22">
        <f t="shared" si="31"/>
        <v>3776</v>
      </c>
      <c r="G336" s="202"/>
      <c r="H336" s="204">
        <v>44852</v>
      </c>
      <c r="I336" s="219">
        <v>20</v>
      </c>
      <c r="J336" s="205">
        <f>3200+576</f>
        <v>3776</v>
      </c>
      <c r="K336" s="206">
        <f t="shared" si="32"/>
        <v>75520</v>
      </c>
      <c r="L336" s="209">
        <f>1+1</f>
        <v>2</v>
      </c>
      <c r="M336" s="209">
        <f t="shared" si="29"/>
        <v>18</v>
      </c>
      <c r="N336" s="209"/>
      <c r="O336" s="209" t="s">
        <v>946</v>
      </c>
      <c r="P336" s="205">
        <f t="shared" si="27"/>
        <v>67968</v>
      </c>
      <c r="Q336" s="213"/>
    </row>
    <row r="337" spans="1:17" s="92" customFormat="1" x14ac:dyDescent="0.3">
      <c r="A337" s="106" t="s">
        <v>982</v>
      </c>
      <c r="B337" s="204">
        <v>44852</v>
      </c>
      <c r="C337" s="203" t="s">
        <v>967</v>
      </c>
      <c r="D337" s="203" t="s">
        <v>1122</v>
      </c>
      <c r="E337" s="161"/>
      <c r="F337" s="22">
        <f t="shared" si="31"/>
        <v>5664</v>
      </c>
      <c r="G337" s="202"/>
      <c r="H337" s="204">
        <v>44852</v>
      </c>
      <c r="I337" s="219">
        <v>10</v>
      </c>
      <c r="J337" s="205">
        <f>4800+864</f>
        <v>5664</v>
      </c>
      <c r="K337" s="206">
        <f t="shared" si="32"/>
        <v>56640</v>
      </c>
      <c r="L337" s="209"/>
      <c r="M337" s="209">
        <f t="shared" si="29"/>
        <v>10</v>
      </c>
      <c r="N337" s="209"/>
      <c r="O337" s="209" t="s">
        <v>946</v>
      </c>
      <c r="P337" s="205">
        <f t="shared" si="27"/>
        <v>56640</v>
      </c>
      <c r="Q337" s="213"/>
    </row>
    <row r="338" spans="1:17" s="92" customFormat="1" x14ac:dyDescent="0.3">
      <c r="A338" s="106" t="s">
        <v>983</v>
      </c>
      <c r="B338" s="204">
        <v>44852</v>
      </c>
      <c r="C338" s="203" t="s">
        <v>968</v>
      </c>
      <c r="D338" s="203" t="s">
        <v>1122</v>
      </c>
      <c r="E338" s="161"/>
      <c r="F338" s="22">
        <f t="shared" si="31"/>
        <v>2419</v>
      </c>
      <c r="G338" s="202"/>
      <c r="H338" s="204">
        <v>44852</v>
      </c>
      <c r="I338" s="219">
        <v>35</v>
      </c>
      <c r="J338" s="205">
        <f>2050+369</f>
        <v>2419</v>
      </c>
      <c r="K338" s="206">
        <f t="shared" si="32"/>
        <v>84665</v>
      </c>
      <c r="L338" s="209">
        <v>3</v>
      </c>
      <c r="M338" s="209">
        <f t="shared" si="29"/>
        <v>32</v>
      </c>
      <c r="N338" s="209"/>
      <c r="O338" s="209" t="s">
        <v>946</v>
      </c>
      <c r="P338" s="205">
        <f t="shared" si="27"/>
        <v>77408</v>
      </c>
      <c r="Q338" s="213"/>
    </row>
    <row r="339" spans="1:17" s="92" customFormat="1" x14ac:dyDescent="0.3">
      <c r="A339" s="106" t="s">
        <v>984</v>
      </c>
      <c r="B339" s="204">
        <v>44852</v>
      </c>
      <c r="C339" s="203" t="s">
        <v>969</v>
      </c>
      <c r="D339" s="203" t="s">
        <v>1122</v>
      </c>
      <c r="E339" s="161">
        <v>5</v>
      </c>
      <c r="F339" s="22">
        <f>+J339</f>
        <v>5103.5</v>
      </c>
      <c r="G339" s="202"/>
      <c r="H339" s="204">
        <v>44852</v>
      </c>
      <c r="I339" s="219">
        <v>8</v>
      </c>
      <c r="J339" s="205">
        <v>5103.5</v>
      </c>
      <c r="K339" s="206">
        <f t="shared" si="32"/>
        <v>40828</v>
      </c>
      <c r="L339" s="209"/>
      <c r="M339" s="209">
        <f t="shared" si="29"/>
        <v>13</v>
      </c>
      <c r="N339" s="209"/>
      <c r="O339" s="209" t="s">
        <v>946</v>
      </c>
      <c r="P339" s="205">
        <f t="shared" si="27"/>
        <v>66345.5</v>
      </c>
      <c r="Q339" s="213"/>
    </row>
    <row r="340" spans="1:17" s="92" customFormat="1" x14ac:dyDescent="0.3">
      <c r="A340" s="106" t="s">
        <v>985</v>
      </c>
      <c r="B340" s="204">
        <v>44862</v>
      </c>
      <c r="C340" s="203" t="s">
        <v>994</v>
      </c>
      <c r="D340" s="203" t="s">
        <v>1122</v>
      </c>
      <c r="E340" s="161"/>
      <c r="F340" s="22">
        <f t="shared" si="31"/>
        <v>10325</v>
      </c>
      <c r="G340" s="202"/>
      <c r="H340" s="204">
        <v>44862</v>
      </c>
      <c r="I340" s="219">
        <v>40</v>
      </c>
      <c r="J340" s="205">
        <f>8750+1575</f>
        <v>10325</v>
      </c>
      <c r="K340" s="206">
        <f t="shared" si="32"/>
        <v>413000</v>
      </c>
      <c r="L340" s="209">
        <v>18</v>
      </c>
      <c r="M340" s="209">
        <f t="shared" si="29"/>
        <v>22</v>
      </c>
      <c r="N340" s="209"/>
      <c r="O340" s="209" t="s">
        <v>946</v>
      </c>
      <c r="P340" s="205">
        <f t="shared" si="27"/>
        <v>227150</v>
      </c>
      <c r="Q340" s="213"/>
    </row>
    <row r="341" spans="1:17" s="92" customFormat="1" x14ac:dyDescent="0.3">
      <c r="A341" s="106" t="s">
        <v>986</v>
      </c>
      <c r="B341" s="204">
        <v>44862</v>
      </c>
      <c r="C341" s="203" t="s">
        <v>995</v>
      </c>
      <c r="D341" s="203" t="s">
        <v>1122</v>
      </c>
      <c r="E341" s="161"/>
      <c r="F341" s="22">
        <f t="shared" si="31"/>
        <v>1546.98</v>
      </c>
      <c r="G341" s="202"/>
      <c r="H341" s="204">
        <v>44862</v>
      </c>
      <c r="I341" s="219">
        <v>4</v>
      </c>
      <c r="J341" s="205">
        <f>1311+235.98</f>
        <v>1546.98</v>
      </c>
      <c r="K341" s="206">
        <f t="shared" si="32"/>
        <v>6187.92</v>
      </c>
      <c r="L341" s="209"/>
      <c r="M341" s="209">
        <f t="shared" si="29"/>
        <v>4</v>
      </c>
      <c r="N341" s="209"/>
      <c r="O341" s="209" t="s">
        <v>946</v>
      </c>
      <c r="P341" s="205">
        <f t="shared" si="27"/>
        <v>6187.92</v>
      </c>
      <c r="Q341" s="213"/>
    </row>
    <row r="342" spans="1:17" s="92" customFormat="1" x14ac:dyDescent="0.3">
      <c r="A342" s="106" t="s">
        <v>987</v>
      </c>
      <c r="B342" s="160"/>
      <c r="C342" s="203" t="s">
        <v>295</v>
      </c>
      <c r="D342" s="203" t="s">
        <v>1122</v>
      </c>
      <c r="E342" s="161"/>
      <c r="F342" s="22"/>
      <c r="G342" s="202"/>
      <c r="H342" s="209"/>
      <c r="I342" s="219"/>
      <c r="J342" s="205"/>
      <c r="K342" s="206">
        <f t="shared" si="32"/>
        <v>0</v>
      </c>
      <c r="L342" s="209">
        <v>1</v>
      </c>
      <c r="M342" s="209">
        <f t="shared" si="29"/>
        <v>-1</v>
      </c>
      <c r="N342" s="209"/>
      <c r="O342" s="209" t="s">
        <v>946</v>
      </c>
      <c r="P342" s="205">
        <f t="shared" si="27"/>
        <v>0</v>
      </c>
      <c r="Q342" s="213"/>
    </row>
    <row r="343" spans="1:17" s="92" customFormat="1" x14ac:dyDescent="0.3">
      <c r="A343" s="106" t="s">
        <v>988</v>
      </c>
      <c r="B343" s="204">
        <v>45020</v>
      </c>
      <c r="C343" s="203" t="s">
        <v>970</v>
      </c>
      <c r="D343" s="203" t="s">
        <v>1122</v>
      </c>
      <c r="E343" s="161"/>
      <c r="F343" s="22">
        <v>4012</v>
      </c>
      <c r="G343" s="202"/>
      <c r="H343" s="204">
        <v>45020</v>
      </c>
      <c r="I343" s="219">
        <v>2</v>
      </c>
      <c r="J343" s="205">
        <v>4012</v>
      </c>
      <c r="K343" s="206">
        <f t="shared" si="32"/>
        <v>8024</v>
      </c>
      <c r="L343" s="209">
        <v>5</v>
      </c>
      <c r="M343" s="209">
        <f t="shared" si="29"/>
        <v>-3</v>
      </c>
      <c r="N343" s="209"/>
      <c r="O343" s="209" t="s">
        <v>946</v>
      </c>
      <c r="P343" s="205">
        <f t="shared" si="27"/>
        <v>-12036</v>
      </c>
      <c r="Q343" s="213"/>
    </row>
    <row r="344" spans="1:17" s="92" customFormat="1" x14ac:dyDescent="0.3">
      <c r="A344" s="106" t="s">
        <v>989</v>
      </c>
      <c r="B344" s="204">
        <v>44903</v>
      </c>
      <c r="C344" s="203" t="s">
        <v>971</v>
      </c>
      <c r="D344" s="203" t="s">
        <v>1122</v>
      </c>
      <c r="E344" s="161"/>
      <c r="F344" s="22">
        <v>118.15</v>
      </c>
      <c r="G344" s="202"/>
      <c r="H344" s="204">
        <v>44903</v>
      </c>
      <c r="I344" s="219">
        <f>2*12</f>
        <v>24</v>
      </c>
      <c r="J344" s="205">
        <v>118.15</v>
      </c>
      <c r="K344" s="206">
        <f t="shared" si="32"/>
        <v>2835.6000000000004</v>
      </c>
      <c r="L344" s="209">
        <f>3+3</f>
        <v>6</v>
      </c>
      <c r="M344" s="209">
        <f t="shared" si="29"/>
        <v>18</v>
      </c>
      <c r="N344" s="209"/>
      <c r="O344" s="209" t="s">
        <v>946</v>
      </c>
      <c r="P344" s="205">
        <f t="shared" si="27"/>
        <v>2126.7000000000003</v>
      </c>
      <c r="Q344" s="213"/>
    </row>
    <row r="345" spans="1:17" s="92" customFormat="1" x14ac:dyDescent="0.3">
      <c r="A345" s="106" t="s">
        <v>990</v>
      </c>
      <c r="B345" s="204">
        <v>44851</v>
      </c>
      <c r="C345" s="203" t="s">
        <v>996</v>
      </c>
      <c r="D345" s="203" t="s">
        <v>1122</v>
      </c>
      <c r="E345" s="161"/>
      <c r="F345" s="22">
        <v>240.72</v>
      </c>
      <c r="G345" s="202"/>
      <c r="H345" s="204">
        <v>44851</v>
      </c>
      <c r="I345" s="219">
        <v>30</v>
      </c>
      <c r="J345" s="205">
        <v>240.72</v>
      </c>
      <c r="K345" s="206">
        <f t="shared" si="32"/>
        <v>7221.6</v>
      </c>
      <c r="L345" s="209">
        <v>1</v>
      </c>
      <c r="M345" s="209">
        <f t="shared" si="29"/>
        <v>29</v>
      </c>
      <c r="N345" s="220"/>
      <c r="O345" s="209"/>
      <c r="P345" s="205">
        <f t="shared" ref="P345:P408" si="33">+F345*M345</f>
        <v>6980.88</v>
      </c>
      <c r="Q345" s="213"/>
    </row>
    <row r="346" spans="1:17" s="92" customFormat="1" x14ac:dyDescent="0.3">
      <c r="A346" s="106" t="s">
        <v>991</v>
      </c>
      <c r="B346" s="204">
        <v>44851</v>
      </c>
      <c r="C346" s="203" t="s">
        <v>997</v>
      </c>
      <c r="D346" s="203" t="s">
        <v>1122</v>
      </c>
      <c r="E346" s="161"/>
      <c r="F346" s="22">
        <v>40.119999999999997</v>
      </c>
      <c r="G346" s="202"/>
      <c r="H346" s="204">
        <v>44851</v>
      </c>
      <c r="I346" s="219">
        <v>10</v>
      </c>
      <c r="J346" s="205">
        <v>40.119999999999997</v>
      </c>
      <c r="K346" s="206">
        <f>+I346*J346</f>
        <v>401.2</v>
      </c>
      <c r="L346" s="209"/>
      <c r="M346" s="209">
        <f t="shared" si="29"/>
        <v>10</v>
      </c>
      <c r="N346" s="220"/>
      <c r="O346" s="209"/>
      <c r="P346" s="205">
        <f t="shared" si="33"/>
        <v>401.2</v>
      </c>
      <c r="Q346" s="213"/>
    </row>
    <row r="347" spans="1:17" s="92" customFormat="1" x14ac:dyDescent="0.3">
      <c r="A347" s="106" t="s">
        <v>992</v>
      </c>
      <c r="B347" s="204">
        <v>45111</v>
      </c>
      <c r="C347" s="203" t="s">
        <v>998</v>
      </c>
      <c r="D347" s="203" t="s">
        <v>1122</v>
      </c>
      <c r="E347" s="161">
        <v>25</v>
      </c>
      <c r="F347" s="22">
        <v>141.6</v>
      </c>
      <c r="G347" s="202"/>
      <c r="H347" s="204">
        <v>45111</v>
      </c>
      <c r="I347" s="219">
        <v>10</v>
      </c>
      <c r="J347" s="205">
        <v>165.2</v>
      </c>
      <c r="K347" s="206">
        <f t="shared" ref="K347:K365" si="34">+I347*J347</f>
        <v>1652</v>
      </c>
      <c r="L347" s="209"/>
      <c r="M347" s="209">
        <f t="shared" si="29"/>
        <v>35</v>
      </c>
      <c r="N347" s="220"/>
      <c r="O347" s="209"/>
      <c r="P347" s="205">
        <f t="shared" si="33"/>
        <v>4956</v>
      </c>
      <c r="Q347" s="213"/>
    </row>
    <row r="348" spans="1:17" s="92" customFormat="1" x14ac:dyDescent="0.3">
      <c r="A348" s="106" t="s">
        <v>993</v>
      </c>
      <c r="B348" s="204">
        <v>44851</v>
      </c>
      <c r="C348" s="203" t="s">
        <v>999</v>
      </c>
      <c r="D348" s="203" t="s">
        <v>1122</v>
      </c>
      <c r="E348" s="161"/>
      <c r="F348" s="22">
        <v>1443.73</v>
      </c>
      <c r="G348" s="202"/>
      <c r="H348" s="204">
        <v>44851</v>
      </c>
      <c r="I348" s="219">
        <v>4</v>
      </c>
      <c r="J348" s="205">
        <v>1443.73</v>
      </c>
      <c r="K348" s="205">
        <f t="shared" si="34"/>
        <v>5774.92</v>
      </c>
      <c r="L348" s="209"/>
      <c r="M348" s="209">
        <f t="shared" si="29"/>
        <v>4</v>
      </c>
      <c r="N348" s="220"/>
      <c r="O348" s="209"/>
      <c r="P348" s="205">
        <f t="shared" si="33"/>
        <v>5774.92</v>
      </c>
      <c r="Q348" s="213"/>
    </row>
    <row r="349" spans="1:17" s="92" customFormat="1" x14ac:dyDescent="0.3">
      <c r="A349" s="106" t="s">
        <v>1015</v>
      </c>
      <c r="B349" s="204">
        <v>44851</v>
      </c>
      <c r="C349" s="203" t="s">
        <v>1000</v>
      </c>
      <c r="D349" s="203" t="s">
        <v>1122</v>
      </c>
      <c r="E349" s="161"/>
      <c r="F349" s="22">
        <v>1177.05</v>
      </c>
      <c r="G349" s="202"/>
      <c r="H349" s="204">
        <v>44851</v>
      </c>
      <c r="I349" s="219">
        <v>10</v>
      </c>
      <c r="J349" s="205">
        <v>1177.05</v>
      </c>
      <c r="K349" s="205">
        <f t="shared" si="34"/>
        <v>11770.5</v>
      </c>
      <c r="L349" s="209">
        <v>1</v>
      </c>
      <c r="M349" s="209">
        <f t="shared" si="29"/>
        <v>9</v>
      </c>
      <c r="N349" s="220"/>
      <c r="O349" s="209"/>
      <c r="P349" s="205">
        <f t="shared" si="33"/>
        <v>10593.449999999999</v>
      </c>
      <c r="Q349" s="213"/>
    </row>
    <row r="350" spans="1:17" s="92" customFormat="1" x14ac:dyDescent="0.3">
      <c r="A350" s="106" t="s">
        <v>1016</v>
      </c>
      <c r="B350" s="204">
        <v>44851</v>
      </c>
      <c r="C350" s="203" t="s">
        <v>1001</v>
      </c>
      <c r="D350" s="203" t="s">
        <v>1122</v>
      </c>
      <c r="E350" s="161"/>
      <c r="F350" s="22">
        <v>1330.45</v>
      </c>
      <c r="G350" s="202"/>
      <c r="H350" s="204">
        <v>44851</v>
      </c>
      <c r="I350" s="219">
        <v>4</v>
      </c>
      <c r="J350" s="205">
        <v>1330.45</v>
      </c>
      <c r="K350" s="205">
        <f t="shared" si="34"/>
        <v>5321.8</v>
      </c>
      <c r="L350" s="209"/>
      <c r="M350" s="209">
        <f t="shared" si="29"/>
        <v>4</v>
      </c>
      <c r="N350" s="220"/>
      <c r="O350" s="209"/>
      <c r="P350" s="205">
        <f t="shared" si="33"/>
        <v>5321.8</v>
      </c>
      <c r="Q350" s="213"/>
    </row>
    <row r="351" spans="1:17" s="92" customFormat="1" x14ac:dyDescent="0.3">
      <c r="A351" s="106" t="s">
        <v>1017</v>
      </c>
      <c r="B351" s="204">
        <v>44851</v>
      </c>
      <c r="C351" s="203" t="s">
        <v>1002</v>
      </c>
      <c r="D351" s="203" t="s">
        <v>1122</v>
      </c>
      <c r="E351" s="161"/>
      <c r="F351" s="22">
        <v>676.14</v>
      </c>
      <c r="G351" s="202"/>
      <c r="H351" s="204">
        <v>44851</v>
      </c>
      <c r="I351" s="219">
        <v>4</v>
      </c>
      <c r="J351" s="205">
        <v>676.14</v>
      </c>
      <c r="K351" s="205">
        <f t="shared" si="34"/>
        <v>2704.56</v>
      </c>
      <c r="L351" s="209"/>
      <c r="M351" s="209">
        <f t="shared" si="29"/>
        <v>4</v>
      </c>
      <c r="N351" s="220"/>
      <c r="O351" s="209"/>
      <c r="P351" s="205">
        <f t="shared" si="33"/>
        <v>2704.56</v>
      </c>
      <c r="Q351" s="213"/>
    </row>
    <row r="352" spans="1:17" s="92" customFormat="1" ht="18" customHeight="1" x14ac:dyDescent="0.3">
      <c r="A352" s="106" t="s">
        <v>1018</v>
      </c>
      <c r="B352" s="204">
        <v>44851</v>
      </c>
      <c r="C352" s="203" t="s">
        <v>1003</v>
      </c>
      <c r="D352" s="203" t="s">
        <v>1122</v>
      </c>
      <c r="E352" s="161"/>
      <c r="F352" s="22">
        <v>693.84</v>
      </c>
      <c r="G352" s="202"/>
      <c r="H352" s="204">
        <v>44851</v>
      </c>
      <c r="I352" s="219">
        <v>4</v>
      </c>
      <c r="J352" s="205">
        <v>693.84</v>
      </c>
      <c r="K352" s="205">
        <f t="shared" si="34"/>
        <v>2775.36</v>
      </c>
      <c r="L352" s="209"/>
      <c r="M352" s="209">
        <f t="shared" si="29"/>
        <v>4</v>
      </c>
      <c r="N352" s="220" t="s">
        <v>1006</v>
      </c>
      <c r="O352" s="209" t="s">
        <v>946</v>
      </c>
      <c r="P352" s="205">
        <f t="shared" si="33"/>
        <v>2775.36</v>
      </c>
      <c r="Q352" s="213"/>
    </row>
    <row r="353" spans="1:17" customFormat="1" ht="21" customHeight="1" x14ac:dyDescent="0.25">
      <c r="A353" s="106" t="s">
        <v>1019</v>
      </c>
      <c r="B353" s="204">
        <v>44851</v>
      </c>
      <c r="C353" s="203" t="s">
        <v>1004</v>
      </c>
      <c r="D353" s="203" t="s">
        <v>1122</v>
      </c>
      <c r="E353" s="161"/>
      <c r="F353" s="22">
        <v>1632.53</v>
      </c>
      <c r="G353" s="202"/>
      <c r="H353" s="204">
        <v>44851</v>
      </c>
      <c r="I353" s="219">
        <v>4</v>
      </c>
      <c r="J353" s="205">
        <v>1632.53</v>
      </c>
      <c r="K353" s="205">
        <f t="shared" si="34"/>
        <v>6530.12</v>
      </c>
      <c r="L353" s="217"/>
      <c r="M353" s="209">
        <f t="shared" si="29"/>
        <v>4</v>
      </c>
      <c r="N353" s="220" t="s">
        <v>1006</v>
      </c>
      <c r="O353" s="217" t="s">
        <v>946</v>
      </c>
      <c r="P353" s="205">
        <f t="shared" si="33"/>
        <v>6530.12</v>
      </c>
      <c r="Q353" s="198"/>
    </row>
    <row r="354" spans="1:17" s="2" customFormat="1" ht="19.5" customHeight="1" x14ac:dyDescent="0.25">
      <c r="A354" s="106" t="s">
        <v>1020</v>
      </c>
      <c r="B354" s="204">
        <v>44851</v>
      </c>
      <c r="C354" s="203" t="s">
        <v>1005</v>
      </c>
      <c r="D354" s="203" t="s">
        <v>1122</v>
      </c>
      <c r="E354" s="161"/>
      <c r="F354" s="22">
        <v>3268.6</v>
      </c>
      <c r="G354" s="202"/>
      <c r="H354" s="204">
        <v>44851</v>
      </c>
      <c r="I354" s="219">
        <v>1</v>
      </c>
      <c r="J354" s="205">
        <v>3268.6</v>
      </c>
      <c r="K354" s="205">
        <f t="shared" si="34"/>
        <v>3268.6</v>
      </c>
      <c r="L354" s="217"/>
      <c r="M354" s="209">
        <f t="shared" si="29"/>
        <v>1</v>
      </c>
      <c r="N354" s="220" t="s">
        <v>1006</v>
      </c>
      <c r="O354" s="217" t="s">
        <v>946</v>
      </c>
      <c r="P354" s="205">
        <f t="shared" si="33"/>
        <v>3268.6</v>
      </c>
      <c r="Q354" s="198"/>
    </row>
    <row r="355" spans="1:17" ht="19.5" customHeight="1" x14ac:dyDescent="0.3">
      <c r="A355" s="106" t="s">
        <v>1021</v>
      </c>
      <c r="B355" s="204">
        <v>44851</v>
      </c>
      <c r="C355" s="203" t="s">
        <v>1007</v>
      </c>
      <c r="D355" s="203" t="s">
        <v>1122</v>
      </c>
      <c r="E355" s="161"/>
      <c r="F355" s="22">
        <v>3908.16</v>
      </c>
      <c r="G355" s="202"/>
      <c r="H355" s="204">
        <v>44851</v>
      </c>
      <c r="I355" s="219">
        <v>15</v>
      </c>
      <c r="J355" s="205">
        <v>3908.16</v>
      </c>
      <c r="K355" s="205">
        <f t="shared" si="34"/>
        <v>58622.399999999994</v>
      </c>
      <c r="L355" s="217">
        <v>1</v>
      </c>
      <c r="M355" s="209">
        <f t="shared" si="29"/>
        <v>14</v>
      </c>
      <c r="N355" s="220" t="s">
        <v>1006</v>
      </c>
      <c r="O355" s="217" t="s">
        <v>946</v>
      </c>
      <c r="P355" s="205">
        <f t="shared" si="33"/>
        <v>54714.239999999998</v>
      </c>
    </row>
    <row r="356" spans="1:17" ht="18.75" customHeight="1" x14ac:dyDescent="0.3">
      <c r="A356" s="106" t="s">
        <v>1022</v>
      </c>
      <c r="B356" s="204">
        <v>45111</v>
      </c>
      <c r="C356" s="203" t="s">
        <v>1008</v>
      </c>
      <c r="D356" s="203" t="s">
        <v>1122</v>
      </c>
      <c r="E356" s="161">
        <v>0</v>
      </c>
      <c r="F356" s="22">
        <v>1711</v>
      </c>
      <c r="G356" s="202"/>
      <c r="H356" s="204">
        <v>45111</v>
      </c>
      <c r="I356" s="219">
        <v>20</v>
      </c>
      <c r="J356" s="205">
        <v>4973.7</v>
      </c>
      <c r="K356" s="205">
        <f t="shared" si="34"/>
        <v>99474</v>
      </c>
      <c r="L356" s="217">
        <v>0</v>
      </c>
      <c r="M356" s="209">
        <f t="shared" si="29"/>
        <v>20</v>
      </c>
      <c r="N356" s="220"/>
      <c r="O356" s="217"/>
      <c r="P356" s="205">
        <f t="shared" si="33"/>
        <v>34220</v>
      </c>
    </row>
    <row r="357" spans="1:17" ht="18" customHeight="1" x14ac:dyDescent="0.3">
      <c r="A357" s="106" t="s">
        <v>1023</v>
      </c>
      <c r="B357" s="204">
        <v>45111</v>
      </c>
      <c r="C357" s="203" t="s">
        <v>1009</v>
      </c>
      <c r="D357" s="203" t="s">
        <v>1122</v>
      </c>
      <c r="E357" s="161">
        <v>5</v>
      </c>
      <c r="F357" s="22">
        <v>1165.8399999999999</v>
      </c>
      <c r="G357" s="202"/>
      <c r="H357" s="204">
        <v>45111</v>
      </c>
      <c r="I357" s="219">
        <v>20</v>
      </c>
      <c r="J357" s="205">
        <v>2242</v>
      </c>
      <c r="K357" s="205">
        <f t="shared" si="34"/>
        <v>44840</v>
      </c>
      <c r="L357" s="217"/>
      <c r="M357" s="209">
        <f t="shared" si="29"/>
        <v>25</v>
      </c>
      <c r="N357" s="220" t="s">
        <v>1006</v>
      </c>
      <c r="O357" s="217" t="s">
        <v>946</v>
      </c>
      <c r="P357" s="205">
        <f t="shared" si="33"/>
        <v>29145.999999999996</v>
      </c>
    </row>
    <row r="358" spans="1:17" ht="21" customHeight="1" x14ac:dyDescent="0.3">
      <c r="A358" s="106" t="s">
        <v>1024</v>
      </c>
      <c r="B358" s="204">
        <v>44851</v>
      </c>
      <c r="C358" s="203" t="s">
        <v>1010</v>
      </c>
      <c r="D358" s="203" t="s">
        <v>1122</v>
      </c>
      <c r="E358" s="161"/>
      <c r="F358" s="22">
        <v>4399.04</v>
      </c>
      <c r="G358" s="202"/>
      <c r="H358" s="204">
        <v>44851</v>
      </c>
      <c r="I358" s="219">
        <v>5</v>
      </c>
      <c r="J358" s="205">
        <v>4399.04</v>
      </c>
      <c r="K358" s="205">
        <f t="shared" si="34"/>
        <v>21995.200000000001</v>
      </c>
      <c r="L358" s="217"/>
      <c r="M358" s="209">
        <f t="shared" si="29"/>
        <v>5</v>
      </c>
      <c r="N358" s="220" t="s">
        <v>1006</v>
      </c>
      <c r="O358" s="217" t="s">
        <v>946</v>
      </c>
      <c r="P358" s="205">
        <f t="shared" si="33"/>
        <v>21995.200000000001</v>
      </c>
    </row>
    <row r="359" spans="1:17" ht="20.25" customHeight="1" x14ac:dyDescent="0.3">
      <c r="A359" s="106" t="s">
        <v>1025</v>
      </c>
      <c r="B359" s="204">
        <v>44851</v>
      </c>
      <c r="C359" s="203" t="s">
        <v>1011</v>
      </c>
      <c r="D359" s="203" t="s">
        <v>1122</v>
      </c>
      <c r="E359" s="161"/>
      <c r="F359" s="22">
        <v>4399.04</v>
      </c>
      <c r="G359" s="202"/>
      <c r="H359" s="204">
        <v>44851</v>
      </c>
      <c r="I359" s="219">
        <v>5</v>
      </c>
      <c r="J359" s="221">
        <v>4399.04</v>
      </c>
      <c r="K359" s="221">
        <f t="shared" si="34"/>
        <v>21995.200000000001</v>
      </c>
      <c r="L359" s="217"/>
      <c r="M359" s="209">
        <f t="shared" si="29"/>
        <v>5</v>
      </c>
      <c r="N359" s="220" t="s">
        <v>1006</v>
      </c>
      <c r="O359" s="217" t="s">
        <v>946</v>
      </c>
      <c r="P359" s="205">
        <f t="shared" si="33"/>
        <v>21995.200000000001</v>
      </c>
    </row>
    <row r="360" spans="1:17" ht="15.75" customHeight="1" x14ac:dyDescent="0.3">
      <c r="A360" s="106" t="s">
        <v>1026</v>
      </c>
      <c r="B360" s="204">
        <v>44851</v>
      </c>
      <c r="C360" s="203" t="s">
        <v>1012</v>
      </c>
      <c r="D360" s="203" t="s">
        <v>1122</v>
      </c>
      <c r="E360" s="161"/>
      <c r="F360" s="22">
        <v>4399.04</v>
      </c>
      <c r="G360" s="202"/>
      <c r="H360" s="204">
        <v>44851</v>
      </c>
      <c r="I360" s="219">
        <v>5</v>
      </c>
      <c r="J360" s="221">
        <v>4399.04</v>
      </c>
      <c r="K360" s="221">
        <f t="shared" si="34"/>
        <v>21995.200000000001</v>
      </c>
      <c r="L360" s="217"/>
      <c r="M360" s="209">
        <f t="shared" si="29"/>
        <v>5</v>
      </c>
      <c r="N360" s="220" t="s">
        <v>1006</v>
      </c>
      <c r="O360" s="217" t="s">
        <v>946</v>
      </c>
      <c r="P360" s="205">
        <f t="shared" si="33"/>
        <v>21995.200000000001</v>
      </c>
    </row>
    <row r="361" spans="1:17" ht="20.25" customHeight="1" x14ac:dyDescent="0.3">
      <c r="A361" s="106" t="s">
        <v>1027</v>
      </c>
      <c r="B361" s="204">
        <v>44851</v>
      </c>
      <c r="C361" s="203" t="s">
        <v>1013</v>
      </c>
      <c r="D361" s="203" t="s">
        <v>1122</v>
      </c>
      <c r="E361" s="161"/>
      <c r="F361" s="22">
        <v>1869.12</v>
      </c>
      <c r="G361" s="202"/>
      <c r="H361" s="204">
        <v>44851</v>
      </c>
      <c r="I361" s="219">
        <v>12</v>
      </c>
      <c r="J361" s="221">
        <v>1869.12</v>
      </c>
      <c r="K361" s="221">
        <f t="shared" si="34"/>
        <v>22429.439999999999</v>
      </c>
      <c r="L361" s="217"/>
      <c r="M361" s="209">
        <f t="shared" si="29"/>
        <v>12</v>
      </c>
      <c r="N361" s="220" t="s">
        <v>1006</v>
      </c>
      <c r="O361" s="217" t="s">
        <v>946</v>
      </c>
      <c r="P361" s="205">
        <f t="shared" si="33"/>
        <v>22429.439999999999</v>
      </c>
    </row>
    <row r="362" spans="1:17" ht="19.5" customHeight="1" x14ac:dyDescent="0.3">
      <c r="A362" s="106" t="s">
        <v>1028</v>
      </c>
      <c r="B362" s="204">
        <v>44851</v>
      </c>
      <c r="C362" s="203" t="s">
        <v>1014</v>
      </c>
      <c r="D362" s="203" t="s">
        <v>1122</v>
      </c>
      <c r="E362" s="161"/>
      <c r="F362" s="22">
        <v>41.3</v>
      </c>
      <c r="G362" s="202"/>
      <c r="H362" s="204">
        <v>44851</v>
      </c>
      <c r="I362" s="219">
        <v>30</v>
      </c>
      <c r="J362" s="221">
        <v>41.3</v>
      </c>
      <c r="K362" s="221">
        <f t="shared" si="34"/>
        <v>1239</v>
      </c>
      <c r="L362" s="217"/>
      <c r="M362" s="209">
        <f t="shared" si="29"/>
        <v>30</v>
      </c>
      <c r="N362" s="220" t="s">
        <v>1006</v>
      </c>
      <c r="O362" s="217" t="s">
        <v>946</v>
      </c>
      <c r="P362" s="205">
        <f t="shared" si="33"/>
        <v>1239</v>
      </c>
    </row>
    <row r="363" spans="1:17" s="105" customFormat="1" ht="15.75" x14ac:dyDescent="0.25">
      <c r="A363" s="106" t="s">
        <v>1029</v>
      </c>
      <c r="B363" s="204">
        <v>44852</v>
      </c>
      <c r="C363" s="203" t="s">
        <v>1038</v>
      </c>
      <c r="D363" s="203" t="s">
        <v>1122</v>
      </c>
      <c r="E363" s="161"/>
      <c r="F363" s="22">
        <v>18.77</v>
      </c>
      <c r="G363" s="202"/>
      <c r="H363" s="204">
        <v>44852</v>
      </c>
      <c r="I363" s="219">
        <v>10</v>
      </c>
      <c r="J363" s="205">
        <v>18.77</v>
      </c>
      <c r="K363" s="205">
        <f t="shared" si="34"/>
        <v>187.7</v>
      </c>
      <c r="L363" s="209"/>
      <c r="M363" s="209">
        <f t="shared" si="29"/>
        <v>10</v>
      </c>
      <c r="N363" s="220" t="s">
        <v>1037</v>
      </c>
      <c r="O363" s="209" t="s">
        <v>947</v>
      </c>
      <c r="P363" s="205">
        <f t="shared" si="33"/>
        <v>187.7</v>
      </c>
      <c r="Q363" s="215"/>
    </row>
    <row r="364" spans="1:17" s="105" customFormat="1" ht="15.75" x14ac:dyDescent="0.25">
      <c r="A364" s="106" t="s">
        <v>1030</v>
      </c>
      <c r="B364" s="204">
        <v>44852</v>
      </c>
      <c r="C364" s="203" t="s">
        <v>1041</v>
      </c>
      <c r="D364" s="203" t="s">
        <v>1122</v>
      </c>
      <c r="E364" s="161">
        <v>56</v>
      </c>
      <c r="F364" s="22">
        <v>44.55</v>
      </c>
      <c r="G364" s="202"/>
      <c r="H364" s="204">
        <v>44852</v>
      </c>
      <c r="I364" s="219">
        <v>40</v>
      </c>
      <c r="J364" s="205">
        <v>44.55</v>
      </c>
      <c r="K364" s="205">
        <f t="shared" si="34"/>
        <v>1782</v>
      </c>
      <c r="L364" s="209">
        <v>4</v>
      </c>
      <c r="M364" s="209">
        <f>+E364+I364-L364</f>
        <v>92</v>
      </c>
      <c r="N364" s="220" t="s">
        <v>1037</v>
      </c>
      <c r="O364" s="209" t="s">
        <v>947</v>
      </c>
      <c r="P364" s="205">
        <f t="shared" si="33"/>
        <v>4098.5999999999995</v>
      </c>
      <c r="Q364" s="215"/>
    </row>
    <row r="365" spans="1:17" s="105" customFormat="1" ht="15.75" x14ac:dyDescent="0.25">
      <c r="A365" s="106" t="s">
        <v>1031</v>
      </c>
      <c r="B365" s="204">
        <v>44851</v>
      </c>
      <c r="C365" s="203" t="s">
        <v>1042</v>
      </c>
      <c r="D365" s="203" t="s">
        <v>1122</v>
      </c>
      <c r="E365" s="161">
        <v>1</v>
      </c>
      <c r="F365" s="22">
        <v>650</v>
      </c>
      <c r="G365" s="202"/>
      <c r="H365" s="204">
        <v>44851</v>
      </c>
      <c r="I365" s="219">
        <v>2</v>
      </c>
      <c r="J365" s="205">
        <v>650</v>
      </c>
      <c r="K365" s="205">
        <f t="shared" si="34"/>
        <v>1300</v>
      </c>
      <c r="L365" s="209"/>
      <c r="M365" s="209">
        <f t="shared" si="29"/>
        <v>3</v>
      </c>
      <c r="N365" s="220" t="s">
        <v>1037</v>
      </c>
      <c r="O365" s="209" t="s">
        <v>947</v>
      </c>
      <c r="P365" s="205">
        <f t="shared" si="33"/>
        <v>1950</v>
      </c>
      <c r="Q365" s="215"/>
    </row>
    <row r="366" spans="1:17" s="105" customFormat="1" ht="15.75" x14ac:dyDescent="0.25">
      <c r="A366" s="106" t="s">
        <v>1032</v>
      </c>
      <c r="B366" s="204">
        <v>44852</v>
      </c>
      <c r="C366" s="203" t="s">
        <v>1043</v>
      </c>
      <c r="D366" s="203" t="s">
        <v>1122</v>
      </c>
      <c r="E366" s="161"/>
      <c r="F366" s="22">
        <v>27</v>
      </c>
      <c r="G366" s="202"/>
      <c r="H366" s="204">
        <v>44852</v>
      </c>
      <c r="I366" s="219">
        <f>10*12</f>
        <v>120</v>
      </c>
      <c r="J366" s="205">
        <v>27</v>
      </c>
      <c r="K366" s="205">
        <f>+J366*I366</f>
        <v>3240</v>
      </c>
      <c r="L366" s="209">
        <f>72-12</f>
        <v>60</v>
      </c>
      <c r="M366" s="209">
        <f t="shared" si="29"/>
        <v>60</v>
      </c>
      <c r="N366" s="220" t="s">
        <v>1037</v>
      </c>
      <c r="O366" s="209" t="s">
        <v>947</v>
      </c>
      <c r="P366" s="205">
        <f t="shared" si="33"/>
        <v>1620</v>
      </c>
      <c r="Q366" s="215"/>
    </row>
    <row r="367" spans="1:17" s="105" customFormat="1" ht="15.75" x14ac:dyDescent="0.25">
      <c r="A367" s="106" t="s">
        <v>1033</v>
      </c>
      <c r="B367" s="204">
        <v>44852</v>
      </c>
      <c r="C367" s="203" t="s">
        <v>1044</v>
      </c>
      <c r="D367" s="203" t="s">
        <v>1122</v>
      </c>
      <c r="E367" s="161"/>
      <c r="F367" s="22">
        <v>45.89</v>
      </c>
      <c r="G367" s="202"/>
      <c r="H367" s="204">
        <v>44852</v>
      </c>
      <c r="I367" s="219">
        <v>120</v>
      </c>
      <c r="J367" s="205">
        <v>45.89</v>
      </c>
      <c r="K367" s="205">
        <f>+J367*I367</f>
        <v>5506.8</v>
      </c>
      <c r="L367" s="209">
        <v>72</v>
      </c>
      <c r="M367" s="209">
        <f t="shared" si="29"/>
        <v>48</v>
      </c>
      <c r="N367" s="220" t="s">
        <v>1037</v>
      </c>
      <c r="O367" s="209" t="s">
        <v>947</v>
      </c>
      <c r="P367" s="205">
        <f t="shared" si="33"/>
        <v>2202.7200000000003</v>
      </c>
      <c r="Q367" s="215"/>
    </row>
    <row r="368" spans="1:17" s="105" customFormat="1" ht="15.75" x14ac:dyDescent="0.25">
      <c r="A368" s="106" t="s">
        <v>1034</v>
      </c>
      <c r="B368" s="204">
        <v>44852</v>
      </c>
      <c r="C368" s="203" t="s">
        <v>1045</v>
      </c>
      <c r="D368" s="203" t="s">
        <v>1122</v>
      </c>
      <c r="E368" s="161"/>
      <c r="F368" s="22">
        <v>51.33</v>
      </c>
      <c r="G368" s="202"/>
      <c r="H368" s="204">
        <v>44852</v>
      </c>
      <c r="I368" s="219">
        <v>120</v>
      </c>
      <c r="J368" s="205">
        <v>51.33</v>
      </c>
      <c r="K368" s="205">
        <f t="shared" ref="K368:K383" si="35">+J368*I368</f>
        <v>6159.5999999999995</v>
      </c>
      <c r="L368" s="209"/>
      <c r="M368" s="209">
        <f t="shared" ref="M368:M426" si="36">+E368+I368-L368</f>
        <v>120</v>
      </c>
      <c r="N368" s="220" t="s">
        <v>1037</v>
      </c>
      <c r="O368" s="209" t="s">
        <v>947</v>
      </c>
      <c r="P368" s="205">
        <f t="shared" si="33"/>
        <v>6159.5999999999995</v>
      </c>
      <c r="Q368" s="215"/>
    </row>
    <row r="369" spans="1:17" s="105" customFormat="1" ht="15.75" x14ac:dyDescent="0.25">
      <c r="A369" s="106" t="s">
        <v>1057</v>
      </c>
      <c r="B369" s="204">
        <v>44852</v>
      </c>
      <c r="C369" s="203" t="s">
        <v>1046</v>
      </c>
      <c r="D369" s="203" t="s">
        <v>1122</v>
      </c>
      <c r="E369" s="161"/>
      <c r="F369" s="22">
        <v>127.65</v>
      </c>
      <c r="G369" s="202"/>
      <c r="H369" s="204">
        <v>44852</v>
      </c>
      <c r="I369" s="219">
        <v>120</v>
      </c>
      <c r="J369" s="205">
        <v>127.65</v>
      </c>
      <c r="K369" s="205">
        <f t="shared" si="35"/>
        <v>15318</v>
      </c>
      <c r="L369" s="209">
        <v>1</v>
      </c>
      <c r="M369" s="209">
        <f t="shared" si="36"/>
        <v>119</v>
      </c>
      <c r="N369" s="220" t="s">
        <v>1037</v>
      </c>
      <c r="O369" s="209" t="s">
        <v>947</v>
      </c>
      <c r="P369" s="205">
        <f t="shared" si="33"/>
        <v>15190.35</v>
      </c>
      <c r="Q369" s="215"/>
    </row>
    <row r="370" spans="1:17" s="105" customFormat="1" ht="15.75" x14ac:dyDescent="0.25">
      <c r="A370" s="106" t="s">
        <v>1058</v>
      </c>
      <c r="B370" s="204">
        <v>44852</v>
      </c>
      <c r="C370" s="203" t="s">
        <v>1047</v>
      </c>
      <c r="D370" s="203" t="s">
        <v>1122</v>
      </c>
      <c r="E370" s="161"/>
      <c r="F370" s="22">
        <v>5442.16</v>
      </c>
      <c r="G370" s="202"/>
      <c r="H370" s="204">
        <v>44852</v>
      </c>
      <c r="I370" s="219">
        <v>5</v>
      </c>
      <c r="J370" s="205">
        <v>5442.16</v>
      </c>
      <c r="K370" s="205">
        <f t="shared" si="35"/>
        <v>27210.799999999999</v>
      </c>
      <c r="L370" s="209">
        <v>1</v>
      </c>
      <c r="M370" s="209">
        <f t="shared" si="36"/>
        <v>4</v>
      </c>
      <c r="N370" s="220" t="s">
        <v>1037</v>
      </c>
      <c r="O370" s="209" t="s">
        <v>947</v>
      </c>
      <c r="P370" s="205">
        <f t="shared" si="33"/>
        <v>21768.639999999999</v>
      </c>
      <c r="Q370" s="215"/>
    </row>
    <row r="371" spans="1:17" s="105" customFormat="1" ht="15.75" x14ac:dyDescent="0.25">
      <c r="A371" s="106" t="s">
        <v>1059</v>
      </c>
      <c r="B371" s="204">
        <v>44852</v>
      </c>
      <c r="C371" s="203" t="s">
        <v>1048</v>
      </c>
      <c r="D371" s="203" t="s">
        <v>1122</v>
      </c>
      <c r="E371" s="161"/>
      <c r="F371" s="22">
        <v>5330</v>
      </c>
      <c r="G371" s="202"/>
      <c r="H371" s="204">
        <v>44852</v>
      </c>
      <c r="I371" s="219">
        <v>1</v>
      </c>
      <c r="J371" s="205">
        <v>5330</v>
      </c>
      <c r="K371" s="205">
        <f t="shared" si="35"/>
        <v>5330</v>
      </c>
      <c r="L371" s="209">
        <v>1</v>
      </c>
      <c r="M371" s="209">
        <f t="shared" si="36"/>
        <v>0</v>
      </c>
      <c r="N371" s="220" t="s">
        <v>1037</v>
      </c>
      <c r="O371" s="209" t="s">
        <v>947</v>
      </c>
      <c r="P371" s="205">
        <f t="shared" si="33"/>
        <v>0</v>
      </c>
      <c r="Q371" s="215"/>
    </row>
    <row r="372" spans="1:17" s="105" customFormat="1" ht="15.75" x14ac:dyDescent="0.25">
      <c r="A372" s="106" t="s">
        <v>1060</v>
      </c>
      <c r="B372" s="204">
        <v>44852</v>
      </c>
      <c r="C372" s="203" t="s">
        <v>1049</v>
      </c>
      <c r="D372" s="203" t="s">
        <v>1122</v>
      </c>
      <c r="E372" s="161"/>
      <c r="F372" s="22">
        <v>678.24</v>
      </c>
      <c r="G372" s="202"/>
      <c r="H372" s="204">
        <v>44852</v>
      </c>
      <c r="I372" s="219">
        <v>5</v>
      </c>
      <c r="J372" s="205">
        <v>678.24</v>
      </c>
      <c r="K372" s="205">
        <f t="shared" si="35"/>
        <v>3391.2</v>
      </c>
      <c r="L372" s="209">
        <v>1</v>
      </c>
      <c r="M372" s="209">
        <f t="shared" si="36"/>
        <v>4</v>
      </c>
      <c r="N372" s="220" t="s">
        <v>1037</v>
      </c>
      <c r="O372" s="209" t="s">
        <v>947</v>
      </c>
      <c r="P372" s="205">
        <f t="shared" si="33"/>
        <v>2712.96</v>
      </c>
      <c r="Q372" s="215"/>
    </row>
    <row r="373" spans="1:17" s="105" customFormat="1" ht="15.75" x14ac:dyDescent="0.25">
      <c r="A373" s="106" t="s">
        <v>1061</v>
      </c>
      <c r="B373" s="204">
        <v>44852</v>
      </c>
      <c r="C373" s="203" t="s">
        <v>1050</v>
      </c>
      <c r="D373" s="203" t="s">
        <v>1122</v>
      </c>
      <c r="E373" s="161"/>
      <c r="F373" s="22">
        <v>678.24</v>
      </c>
      <c r="G373" s="202"/>
      <c r="H373" s="204">
        <v>44852</v>
      </c>
      <c r="I373" s="219">
        <v>5</v>
      </c>
      <c r="J373" s="205">
        <v>678.24</v>
      </c>
      <c r="K373" s="205">
        <f t="shared" si="35"/>
        <v>3391.2</v>
      </c>
      <c r="L373" s="209">
        <v>1</v>
      </c>
      <c r="M373" s="209">
        <f t="shared" si="36"/>
        <v>4</v>
      </c>
      <c r="N373" s="220" t="s">
        <v>1037</v>
      </c>
      <c r="O373" s="209" t="s">
        <v>947</v>
      </c>
      <c r="P373" s="205">
        <f t="shared" si="33"/>
        <v>2712.96</v>
      </c>
      <c r="Q373" s="215"/>
    </row>
    <row r="374" spans="1:17" s="105" customFormat="1" ht="15.75" x14ac:dyDescent="0.25">
      <c r="A374" s="106" t="s">
        <v>1062</v>
      </c>
      <c r="B374" s="204">
        <v>44852</v>
      </c>
      <c r="C374" s="203" t="s">
        <v>1051</v>
      </c>
      <c r="D374" s="203" t="s">
        <v>1122</v>
      </c>
      <c r="E374" s="161"/>
      <c r="F374" s="22">
        <v>511</v>
      </c>
      <c r="G374" s="202"/>
      <c r="H374" s="204">
        <v>44852</v>
      </c>
      <c r="I374" s="219">
        <v>3</v>
      </c>
      <c r="J374" s="205">
        <v>511</v>
      </c>
      <c r="K374" s="205">
        <f t="shared" si="35"/>
        <v>1533</v>
      </c>
      <c r="L374" s="209">
        <v>2</v>
      </c>
      <c r="M374" s="209">
        <f t="shared" si="36"/>
        <v>1</v>
      </c>
      <c r="N374" s="220" t="s">
        <v>1037</v>
      </c>
      <c r="O374" s="209" t="s">
        <v>947</v>
      </c>
      <c r="P374" s="205">
        <f t="shared" si="33"/>
        <v>511</v>
      </c>
      <c r="Q374" s="215"/>
    </row>
    <row r="375" spans="1:17" s="105" customFormat="1" ht="15.75" x14ac:dyDescent="0.25">
      <c r="A375" s="106" t="s">
        <v>1063</v>
      </c>
      <c r="B375" s="204">
        <v>44852</v>
      </c>
      <c r="C375" s="203" t="s">
        <v>1052</v>
      </c>
      <c r="D375" s="203" t="s">
        <v>1122</v>
      </c>
      <c r="E375" s="161"/>
      <c r="F375" s="22">
        <v>511</v>
      </c>
      <c r="G375" s="202"/>
      <c r="H375" s="204">
        <v>44852</v>
      </c>
      <c r="I375" s="219">
        <v>3</v>
      </c>
      <c r="J375" s="205">
        <v>511</v>
      </c>
      <c r="K375" s="205">
        <f t="shared" si="35"/>
        <v>1533</v>
      </c>
      <c r="L375" s="209">
        <v>1</v>
      </c>
      <c r="M375" s="209">
        <f t="shared" si="36"/>
        <v>2</v>
      </c>
      <c r="N375" s="220" t="s">
        <v>1037</v>
      </c>
      <c r="O375" s="209" t="s">
        <v>947</v>
      </c>
      <c r="P375" s="205">
        <f t="shared" si="33"/>
        <v>1022</v>
      </c>
      <c r="Q375" s="215"/>
    </row>
    <row r="376" spans="1:17" s="105" customFormat="1" ht="15.75" x14ac:dyDescent="0.25">
      <c r="A376" s="106" t="s">
        <v>1064</v>
      </c>
      <c r="B376" s="204">
        <v>44852</v>
      </c>
      <c r="C376" s="203" t="s">
        <v>1053</v>
      </c>
      <c r="D376" s="203" t="s">
        <v>1122</v>
      </c>
      <c r="E376" s="161"/>
      <c r="F376" s="22">
        <v>511</v>
      </c>
      <c r="G376" s="202"/>
      <c r="H376" s="204">
        <v>44852</v>
      </c>
      <c r="I376" s="219">
        <v>3</v>
      </c>
      <c r="J376" s="205">
        <v>511</v>
      </c>
      <c r="K376" s="205">
        <f t="shared" si="35"/>
        <v>1533</v>
      </c>
      <c r="L376" s="209">
        <v>2</v>
      </c>
      <c r="M376" s="209">
        <f t="shared" si="36"/>
        <v>1</v>
      </c>
      <c r="N376" s="220" t="s">
        <v>1037</v>
      </c>
      <c r="O376" s="209" t="s">
        <v>947</v>
      </c>
      <c r="P376" s="205">
        <f t="shared" si="33"/>
        <v>511</v>
      </c>
      <c r="Q376" s="215"/>
    </row>
    <row r="377" spans="1:17" s="105" customFormat="1" ht="15.75" x14ac:dyDescent="0.25">
      <c r="A377" s="106" t="s">
        <v>1065</v>
      </c>
      <c r="B377" s="204">
        <v>44852</v>
      </c>
      <c r="C377" s="203" t="s">
        <v>1054</v>
      </c>
      <c r="D377" s="203" t="s">
        <v>1122</v>
      </c>
      <c r="E377" s="161"/>
      <c r="F377" s="22">
        <v>511</v>
      </c>
      <c r="G377" s="202"/>
      <c r="H377" s="204">
        <v>44852</v>
      </c>
      <c r="I377" s="219">
        <v>3</v>
      </c>
      <c r="J377" s="205">
        <v>511</v>
      </c>
      <c r="K377" s="205">
        <f t="shared" si="35"/>
        <v>1533</v>
      </c>
      <c r="L377" s="209">
        <v>1</v>
      </c>
      <c r="M377" s="209">
        <f t="shared" si="36"/>
        <v>2</v>
      </c>
      <c r="N377" s="220" t="s">
        <v>1037</v>
      </c>
      <c r="O377" s="209" t="s">
        <v>947</v>
      </c>
      <c r="P377" s="205">
        <f t="shared" si="33"/>
        <v>1022</v>
      </c>
      <c r="Q377" s="215"/>
    </row>
    <row r="378" spans="1:17" s="105" customFormat="1" ht="15.75" x14ac:dyDescent="0.25">
      <c r="A378" s="106" t="s">
        <v>1066</v>
      </c>
      <c r="B378" s="204">
        <v>44852</v>
      </c>
      <c r="C378" s="203" t="s">
        <v>1055</v>
      </c>
      <c r="D378" s="203" t="s">
        <v>1122</v>
      </c>
      <c r="E378" s="161">
        <v>32</v>
      </c>
      <c r="F378" s="22">
        <v>3.32</v>
      </c>
      <c r="G378" s="202"/>
      <c r="H378" s="204">
        <v>44852</v>
      </c>
      <c r="I378" s="219">
        <v>20</v>
      </c>
      <c r="J378" s="205">
        <v>3.32</v>
      </c>
      <c r="K378" s="205">
        <f t="shared" si="35"/>
        <v>66.399999999999991</v>
      </c>
      <c r="L378" s="209"/>
      <c r="M378" s="209">
        <f t="shared" si="36"/>
        <v>52</v>
      </c>
      <c r="N378" s="220" t="s">
        <v>1037</v>
      </c>
      <c r="O378" s="209" t="s">
        <v>947</v>
      </c>
      <c r="P378" s="205">
        <f t="shared" si="33"/>
        <v>172.64</v>
      </c>
      <c r="Q378" s="215"/>
    </row>
    <row r="379" spans="1:17" s="105" customFormat="1" ht="15.75" x14ac:dyDescent="0.25">
      <c r="A379" s="106" t="s">
        <v>1067</v>
      </c>
      <c r="B379" s="204">
        <v>44852</v>
      </c>
      <c r="C379" s="203" t="s">
        <v>1056</v>
      </c>
      <c r="D379" s="203" t="s">
        <v>1122</v>
      </c>
      <c r="E379" s="161"/>
      <c r="F379" s="22">
        <v>64.900000000000006</v>
      </c>
      <c r="G379" s="202"/>
      <c r="H379" s="204">
        <v>44852</v>
      </c>
      <c r="I379" s="219">
        <v>5</v>
      </c>
      <c r="J379" s="205">
        <v>64.900000000000006</v>
      </c>
      <c r="K379" s="205">
        <f t="shared" si="35"/>
        <v>324.5</v>
      </c>
      <c r="L379" s="209"/>
      <c r="M379" s="209">
        <f t="shared" si="36"/>
        <v>5</v>
      </c>
      <c r="N379" s="220" t="s">
        <v>1037</v>
      </c>
      <c r="O379" s="209" t="s">
        <v>947</v>
      </c>
      <c r="P379" s="205">
        <f t="shared" si="33"/>
        <v>324.5</v>
      </c>
      <c r="Q379" s="215"/>
    </row>
    <row r="380" spans="1:17" s="105" customFormat="1" ht="15.75" x14ac:dyDescent="0.25">
      <c r="A380" s="106" t="s">
        <v>1067</v>
      </c>
      <c r="B380" s="204">
        <v>44852</v>
      </c>
      <c r="C380" s="203" t="s">
        <v>1056</v>
      </c>
      <c r="D380" s="203" t="s">
        <v>1122</v>
      </c>
      <c r="E380" s="161"/>
      <c r="F380" s="22">
        <v>64.900000000000006</v>
      </c>
      <c r="G380" s="202"/>
      <c r="H380" s="204">
        <v>44852</v>
      </c>
      <c r="I380" s="219">
        <v>5</v>
      </c>
      <c r="J380" s="205">
        <v>64.900000000000006</v>
      </c>
      <c r="K380" s="205">
        <f t="shared" si="35"/>
        <v>324.5</v>
      </c>
      <c r="L380" s="209"/>
      <c r="M380" s="209">
        <f t="shared" si="36"/>
        <v>5</v>
      </c>
      <c r="N380" s="220" t="s">
        <v>1037</v>
      </c>
      <c r="O380" s="209" t="s">
        <v>947</v>
      </c>
      <c r="P380" s="205">
        <f t="shared" si="33"/>
        <v>324.5</v>
      </c>
      <c r="Q380" s="215"/>
    </row>
    <row r="381" spans="1:17" s="105" customFormat="1" ht="15.75" x14ac:dyDescent="0.25">
      <c r="A381" s="106" t="s">
        <v>1068</v>
      </c>
      <c r="B381" s="204">
        <v>44865</v>
      </c>
      <c r="C381" s="203" t="s">
        <v>1077</v>
      </c>
      <c r="D381" s="203" t="s">
        <v>1122</v>
      </c>
      <c r="E381" s="161"/>
      <c r="F381" s="22">
        <v>8720.2000000000007</v>
      </c>
      <c r="G381" s="202"/>
      <c r="H381" s="204">
        <v>44865</v>
      </c>
      <c r="I381" s="219">
        <v>6</v>
      </c>
      <c r="J381" s="205">
        <v>8720.2000000000007</v>
      </c>
      <c r="K381" s="205">
        <f t="shared" si="35"/>
        <v>52321.200000000004</v>
      </c>
      <c r="L381" s="209">
        <v>1</v>
      </c>
      <c r="M381" s="209">
        <f t="shared" si="36"/>
        <v>5</v>
      </c>
      <c r="N381" s="220" t="s">
        <v>1078</v>
      </c>
      <c r="O381" s="209" t="s">
        <v>947</v>
      </c>
      <c r="P381" s="205">
        <f t="shared" si="33"/>
        <v>43601</v>
      </c>
      <c r="Q381" s="215"/>
    </row>
    <row r="382" spans="1:17" s="105" customFormat="1" ht="15.75" x14ac:dyDescent="0.25">
      <c r="A382" s="106" t="s">
        <v>1073</v>
      </c>
      <c r="B382" s="204">
        <v>44865</v>
      </c>
      <c r="C382" s="203" t="s">
        <v>1079</v>
      </c>
      <c r="D382" s="203" t="s">
        <v>1122</v>
      </c>
      <c r="E382" s="161"/>
      <c r="F382" s="22">
        <v>7729</v>
      </c>
      <c r="G382" s="202"/>
      <c r="H382" s="204">
        <v>44865</v>
      </c>
      <c r="I382" s="219">
        <v>5</v>
      </c>
      <c r="J382" s="205">
        <v>7729</v>
      </c>
      <c r="K382" s="205">
        <f t="shared" si="35"/>
        <v>38645</v>
      </c>
      <c r="L382" s="209"/>
      <c r="M382" s="209">
        <f t="shared" si="36"/>
        <v>5</v>
      </c>
      <c r="N382" s="220" t="s">
        <v>1078</v>
      </c>
      <c r="O382" s="209" t="s">
        <v>947</v>
      </c>
      <c r="P382" s="205">
        <f t="shared" si="33"/>
        <v>38645</v>
      </c>
      <c r="Q382" s="215"/>
    </row>
    <row r="383" spans="1:17" s="105" customFormat="1" ht="15.75" x14ac:dyDescent="0.25">
      <c r="A383" s="106" t="s">
        <v>1074</v>
      </c>
      <c r="B383" s="204">
        <v>44865</v>
      </c>
      <c r="C383" s="203" t="s">
        <v>1080</v>
      </c>
      <c r="D383" s="203" t="s">
        <v>1122</v>
      </c>
      <c r="E383" s="161"/>
      <c r="F383" s="22">
        <v>4897</v>
      </c>
      <c r="G383" s="202"/>
      <c r="H383" s="204">
        <v>44865</v>
      </c>
      <c r="I383" s="219">
        <v>10</v>
      </c>
      <c r="J383" s="205">
        <v>4897</v>
      </c>
      <c r="K383" s="205">
        <f t="shared" si="35"/>
        <v>48970</v>
      </c>
      <c r="L383" s="209">
        <v>1</v>
      </c>
      <c r="M383" s="209">
        <f t="shared" si="36"/>
        <v>9</v>
      </c>
      <c r="N383" s="220" t="s">
        <v>1078</v>
      </c>
      <c r="O383" s="209" t="s">
        <v>947</v>
      </c>
      <c r="P383" s="205">
        <f t="shared" si="33"/>
        <v>44073</v>
      </c>
      <c r="Q383" s="215"/>
    </row>
    <row r="384" spans="1:17" s="105" customFormat="1" ht="15.75" x14ac:dyDescent="0.25">
      <c r="A384" s="106" t="s">
        <v>1075</v>
      </c>
      <c r="B384" s="204">
        <v>44879</v>
      </c>
      <c r="C384" s="203" t="s">
        <v>1072</v>
      </c>
      <c r="D384" s="203" t="s">
        <v>1122</v>
      </c>
      <c r="E384" s="161"/>
      <c r="F384" s="22">
        <v>3717</v>
      </c>
      <c r="G384" s="202"/>
      <c r="H384" s="204">
        <v>44879</v>
      </c>
      <c r="I384" s="219">
        <v>10</v>
      </c>
      <c r="J384" s="205">
        <v>3717</v>
      </c>
      <c r="K384" s="205">
        <f>+J384*I384</f>
        <v>37170</v>
      </c>
      <c r="L384" s="209"/>
      <c r="M384" s="209">
        <f t="shared" si="36"/>
        <v>10</v>
      </c>
      <c r="N384" s="220"/>
      <c r="O384" s="209" t="s">
        <v>946</v>
      </c>
      <c r="P384" s="205">
        <f t="shared" si="33"/>
        <v>37170</v>
      </c>
      <c r="Q384" s="215"/>
    </row>
    <row r="385" spans="1:17" s="105" customFormat="1" ht="15.75" x14ac:dyDescent="0.25">
      <c r="A385" s="106" t="s">
        <v>1076</v>
      </c>
      <c r="B385" s="201"/>
      <c r="C385" s="203" t="s">
        <v>1070</v>
      </c>
      <c r="D385" s="203" t="s">
        <v>1122</v>
      </c>
      <c r="E385" s="161"/>
      <c r="F385" s="22"/>
      <c r="G385" s="202"/>
      <c r="H385" s="204"/>
      <c r="I385" s="219"/>
      <c r="J385" s="205"/>
      <c r="K385" s="205"/>
      <c r="L385" s="209">
        <v>1</v>
      </c>
      <c r="M385" s="209">
        <f t="shared" si="36"/>
        <v>-1</v>
      </c>
      <c r="N385" s="220"/>
      <c r="O385" s="209" t="s">
        <v>947</v>
      </c>
      <c r="P385" s="205">
        <f t="shared" si="33"/>
        <v>0</v>
      </c>
      <c r="Q385" s="215"/>
    </row>
    <row r="386" spans="1:17" s="105" customFormat="1" ht="15.75" x14ac:dyDescent="0.25">
      <c r="A386" s="106" t="s">
        <v>1081</v>
      </c>
      <c r="B386" s="201"/>
      <c r="C386" s="203" t="s">
        <v>1071</v>
      </c>
      <c r="D386" s="203" t="s">
        <v>1122</v>
      </c>
      <c r="E386" s="161"/>
      <c r="F386" s="22"/>
      <c r="G386" s="202"/>
      <c r="H386" s="204"/>
      <c r="I386" s="219"/>
      <c r="J386" s="205"/>
      <c r="K386" s="205"/>
      <c r="L386" s="209">
        <v>3</v>
      </c>
      <c r="M386" s="209">
        <f t="shared" si="36"/>
        <v>-3</v>
      </c>
      <c r="N386" s="220"/>
      <c r="O386" s="209" t="s">
        <v>947</v>
      </c>
      <c r="P386" s="205">
        <f t="shared" si="33"/>
        <v>0</v>
      </c>
      <c r="Q386" s="215"/>
    </row>
    <row r="387" spans="1:17" s="105" customFormat="1" ht="15.75" x14ac:dyDescent="0.25">
      <c r="A387" s="106" t="s">
        <v>1082</v>
      </c>
      <c r="B387" s="201"/>
      <c r="C387" s="203" t="s">
        <v>1069</v>
      </c>
      <c r="D387" s="203" t="s">
        <v>1122</v>
      </c>
      <c r="E387" s="161"/>
      <c r="F387" s="22"/>
      <c r="G387" s="202"/>
      <c r="H387" s="204"/>
      <c r="I387" s="219"/>
      <c r="J387" s="205"/>
      <c r="K387" s="205"/>
      <c r="L387" s="209">
        <v>1</v>
      </c>
      <c r="M387" s="209">
        <f t="shared" si="36"/>
        <v>-1</v>
      </c>
      <c r="N387" s="220"/>
      <c r="O387" s="209" t="s">
        <v>946</v>
      </c>
      <c r="P387" s="205">
        <f t="shared" si="33"/>
        <v>0</v>
      </c>
      <c r="Q387" s="215"/>
    </row>
    <row r="388" spans="1:17" s="105" customFormat="1" ht="31.5" x14ac:dyDescent="0.25">
      <c r="A388" s="106" t="s">
        <v>1083</v>
      </c>
      <c r="B388" s="204">
        <v>44903</v>
      </c>
      <c r="C388" s="203" t="s">
        <v>1239</v>
      </c>
      <c r="D388" s="203" t="s">
        <v>1122</v>
      </c>
      <c r="E388" s="161"/>
      <c r="F388" s="22">
        <v>81.13</v>
      </c>
      <c r="G388" s="202"/>
      <c r="H388" s="204">
        <v>44903</v>
      </c>
      <c r="I388" s="219">
        <v>360</v>
      </c>
      <c r="J388" s="205">
        <v>81.13</v>
      </c>
      <c r="K388" s="205">
        <f>+J388*I388</f>
        <v>29206.799999999999</v>
      </c>
      <c r="L388" s="209">
        <f>360+12+60+12</f>
        <v>444</v>
      </c>
      <c r="M388" s="209">
        <f t="shared" si="36"/>
        <v>-84</v>
      </c>
      <c r="N388" s="220" t="s">
        <v>1006</v>
      </c>
      <c r="O388" s="209" t="s">
        <v>945</v>
      </c>
      <c r="P388" s="205">
        <f t="shared" si="33"/>
        <v>-6814.92</v>
      </c>
      <c r="Q388" s="215"/>
    </row>
    <row r="389" spans="1:17" s="105" customFormat="1" ht="15.75" x14ac:dyDescent="0.25">
      <c r="A389" s="106" t="s">
        <v>1099</v>
      </c>
      <c r="B389" s="204">
        <v>45019</v>
      </c>
      <c r="C389" s="203" t="s">
        <v>1085</v>
      </c>
      <c r="D389" s="203" t="s">
        <v>1122</v>
      </c>
      <c r="E389" s="161"/>
      <c r="F389" s="22">
        <v>81.13</v>
      </c>
      <c r="G389" s="202"/>
      <c r="H389" s="204">
        <v>45019</v>
      </c>
      <c r="I389" s="219">
        <f>90*6</f>
        <v>540</v>
      </c>
      <c r="J389" s="205">
        <v>117.02</v>
      </c>
      <c r="K389" s="205">
        <f t="shared" ref="K389:K424" si="37">+J389*I389</f>
        <v>63190.799999999996</v>
      </c>
      <c r="L389" s="209">
        <f>410+24+3+18+12+12+18+18+18</f>
        <v>533</v>
      </c>
      <c r="M389" s="218">
        <f>+E389+I389-L389+6</f>
        <v>13</v>
      </c>
      <c r="N389" s="220"/>
      <c r="O389" s="209" t="s">
        <v>945</v>
      </c>
      <c r="P389" s="205">
        <f t="shared" si="33"/>
        <v>1054.69</v>
      </c>
      <c r="Q389" s="215"/>
    </row>
    <row r="390" spans="1:17" s="105" customFormat="1" ht="15.75" x14ac:dyDescent="0.25">
      <c r="A390" s="106" t="s">
        <v>1100</v>
      </c>
      <c r="B390" s="204">
        <v>45019</v>
      </c>
      <c r="C390" s="203" t="s">
        <v>1086</v>
      </c>
      <c r="D390" s="203" t="s">
        <v>1122</v>
      </c>
      <c r="E390" s="161"/>
      <c r="F390" s="22">
        <v>454.3</v>
      </c>
      <c r="G390" s="202"/>
      <c r="H390" s="204">
        <v>45019</v>
      </c>
      <c r="I390" s="219">
        <f>80+15</f>
        <v>95</v>
      </c>
      <c r="J390" s="205">
        <v>454.3</v>
      </c>
      <c r="K390" s="205">
        <f t="shared" si="37"/>
        <v>43158.5</v>
      </c>
      <c r="L390" s="209">
        <f>10+1+3+1+1+3+1+1</f>
        <v>21</v>
      </c>
      <c r="M390" s="209">
        <f t="shared" si="36"/>
        <v>74</v>
      </c>
      <c r="N390" s="220"/>
      <c r="O390" s="209" t="s">
        <v>945</v>
      </c>
      <c r="P390" s="205">
        <f t="shared" si="33"/>
        <v>33618.200000000004</v>
      </c>
      <c r="Q390" s="215"/>
    </row>
    <row r="391" spans="1:17" s="105" customFormat="1" ht="18.75" customHeight="1" x14ac:dyDescent="0.25">
      <c r="A391" s="106" t="s">
        <v>1101</v>
      </c>
      <c r="B391" s="204">
        <v>44903</v>
      </c>
      <c r="C391" s="203" t="s">
        <v>1087</v>
      </c>
      <c r="D391" s="203" t="s">
        <v>1122</v>
      </c>
      <c r="E391" s="161"/>
      <c r="F391" s="22">
        <v>116.53</v>
      </c>
      <c r="G391" s="202"/>
      <c r="H391" s="204">
        <v>44903</v>
      </c>
      <c r="I391" s="219">
        <f>20*4</f>
        <v>80</v>
      </c>
      <c r="J391" s="205">
        <v>116.53</v>
      </c>
      <c r="K391" s="205">
        <f t="shared" si="37"/>
        <v>9322.4</v>
      </c>
      <c r="L391" s="209">
        <f>9+1+2+4+1+44+1+1+1+1+1+3+1+2+1+1+1+1+1+2+1+3</f>
        <v>83</v>
      </c>
      <c r="M391" s="209">
        <f t="shared" si="36"/>
        <v>-3</v>
      </c>
      <c r="N391" s="220" t="s">
        <v>1006</v>
      </c>
      <c r="O391" s="209" t="s">
        <v>945</v>
      </c>
      <c r="P391" s="205">
        <f t="shared" si="33"/>
        <v>-349.59000000000003</v>
      </c>
      <c r="Q391" s="215"/>
    </row>
    <row r="392" spans="1:17" s="105" customFormat="1" ht="18.75" customHeight="1" x14ac:dyDescent="0.25">
      <c r="A392" s="106" t="s">
        <v>1102</v>
      </c>
      <c r="B392" s="204">
        <v>44903</v>
      </c>
      <c r="C392" s="203" t="s">
        <v>1088</v>
      </c>
      <c r="D392" s="203" t="s">
        <v>1122</v>
      </c>
      <c r="E392" s="161"/>
      <c r="F392" s="22">
        <v>101.33</v>
      </c>
      <c r="G392" s="202"/>
      <c r="H392" s="204">
        <v>44903</v>
      </c>
      <c r="I392" s="219">
        <f>2*12</f>
        <v>24</v>
      </c>
      <c r="J392" s="205">
        <v>101.33</v>
      </c>
      <c r="K392" s="205">
        <f t="shared" si="37"/>
        <v>2431.92</v>
      </c>
      <c r="L392" s="209">
        <v>24</v>
      </c>
      <c r="M392" s="209">
        <f t="shared" si="36"/>
        <v>0</v>
      </c>
      <c r="N392" s="220" t="s">
        <v>1006</v>
      </c>
      <c r="O392" s="209" t="s">
        <v>945</v>
      </c>
      <c r="P392" s="205">
        <f t="shared" si="33"/>
        <v>0</v>
      </c>
      <c r="Q392" s="215"/>
    </row>
    <row r="393" spans="1:17" s="105" customFormat="1" ht="24" customHeight="1" x14ac:dyDescent="0.25">
      <c r="A393" s="106" t="s">
        <v>1103</v>
      </c>
      <c r="B393" s="204">
        <v>44903</v>
      </c>
      <c r="C393" s="203" t="s">
        <v>1089</v>
      </c>
      <c r="D393" s="203" t="s">
        <v>1122</v>
      </c>
      <c r="E393" s="161"/>
      <c r="F393" s="22">
        <v>101.33</v>
      </c>
      <c r="G393" s="202"/>
      <c r="H393" s="204">
        <v>44903</v>
      </c>
      <c r="I393" s="219">
        <f>2*12</f>
        <v>24</v>
      </c>
      <c r="J393" s="205">
        <v>101.33</v>
      </c>
      <c r="K393" s="205">
        <f t="shared" si="37"/>
        <v>2431.92</v>
      </c>
      <c r="L393" s="209">
        <v>24</v>
      </c>
      <c r="M393" s="209">
        <f t="shared" si="36"/>
        <v>0</v>
      </c>
      <c r="N393" s="220" t="s">
        <v>1006</v>
      </c>
      <c r="O393" s="209" t="s">
        <v>945</v>
      </c>
      <c r="P393" s="205">
        <f t="shared" si="33"/>
        <v>0</v>
      </c>
      <c r="Q393" s="215"/>
    </row>
    <row r="394" spans="1:17" s="105" customFormat="1" ht="20.25" customHeight="1" x14ac:dyDescent="0.25">
      <c r="A394" s="106" t="s">
        <v>1104</v>
      </c>
      <c r="B394" s="204">
        <v>44903</v>
      </c>
      <c r="C394" s="203" t="s">
        <v>1090</v>
      </c>
      <c r="D394" s="203" t="s">
        <v>1122</v>
      </c>
      <c r="E394" s="161"/>
      <c r="F394" s="22">
        <v>79.010000000000005</v>
      </c>
      <c r="G394" s="202"/>
      <c r="H394" s="204">
        <v>44903</v>
      </c>
      <c r="I394" s="219">
        <v>24</v>
      </c>
      <c r="J394" s="205">
        <v>79.010000000000005</v>
      </c>
      <c r="K394" s="205">
        <f t="shared" si="37"/>
        <v>1896.2400000000002</v>
      </c>
      <c r="L394" s="209">
        <v>24</v>
      </c>
      <c r="M394" s="209">
        <f t="shared" si="36"/>
        <v>0</v>
      </c>
      <c r="N394" s="220" t="s">
        <v>1006</v>
      </c>
      <c r="O394" s="209" t="s">
        <v>945</v>
      </c>
      <c r="P394" s="205">
        <f t="shared" si="33"/>
        <v>0</v>
      </c>
      <c r="Q394" s="215"/>
    </row>
    <row r="395" spans="1:17" s="105" customFormat="1" ht="21" customHeight="1" x14ac:dyDescent="0.25">
      <c r="A395" s="106" t="s">
        <v>1105</v>
      </c>
      <c r="B395" s="204">
        <v>44903</v>
      </c>
      <c r="C395" s="203" t="s">
        <v>1091</v>
      </c>
      <c r="D395" s="203" t="s">
        <v>1122</v>
      </c>
      <c r="E395" s="161"/>
      <c r="F395" s="22">
        <v>67.7</v>
      </c>
      <c r="G395" s="202"/>
      <c r="H395" s="204">
        <v>44903</v>
      </c>
      <c r="I395" s="219">
        <v>24</v>
      </c>
      <c r="J395" s="205">
        <v>67.7</v>
      </c>
      <c r="K395" s="205">
        <f t="shared" si="37"/>
        <v>1624.8000000000002</v>
      </c>
      <c r="L395" s="209">
        <v>24</v>
      </c>
      <c r="M395" s="209">
        <f t="shared" si="36"/>
        <v>0</v>
      </c>
      <c r="N395" s="220" t="s">
        <v>1006</v>
      </c>
      <c r="O395" s="209" t="s">
        <v>945</v>
      </c>
      <c r="P395" s="205">
        <f t="shared" si="33"/>
        <v>0</v>
      </c>
      <c r="Q395" s="215"/>
    </row>
    <row r="396" spans="1:17" s="105" customFormat="1" ht="20.25" customHeight="1" x14ac:dyDescent="0.25">
      <c r="A396" s="106" t="s">
        <v>1106</v>
      </c>
      <c r="B396" s="204">
        <v>44903</v>
      </c>
      <c r="C396" s="203" t="s">
        <v>1092</v>
      </c>
      <c r="D396" s="203" t="s">
        <v>1122</v>
      </c>
      <c r="E396" s="161"/>
      <c r="F396" s="22">
        <v>195.83</v>
      </c>
      <c r="G396" s="202"/>
      <c r="H396" s="204">
        <v>44903</v>
      </c>
      <c r="I396" s="219">
        <v>24</v>
      </c>
      <c r="J396" s="205">
        <v>195.83</v>
      </c>
      <c r="K396" s="205">
        <f t="shared" si="37"/>
        <v>4699.92</v>
      </c>
      <c r="L396" s="209">
        <v>24</v>
      </c>
      <c r="M396" s="209">
        <f t="shared" si="36"/>
        <v>0</v>
      </c>
      <c r="N396" s="220" t="s">
        <v>1006</v>
      </c>
      <c r="O396" s="209" t="s">
        <v>945</v>
      </c>
      <c r="P396" s="205">
        <f t="shared" si="33"/>
        <v>0</v>
      </c>
      <c r="Q396" s="215"/>
    </row>
    <row r="397" spans="1:17" s="105" customFormat="1" ht="18.75" customHeight="1" x14ac:dyDescent="0.25">
      <c r="A397" s="106" t="s">
        <v>1107</v>
      </c>
      <c r="B397" s="204">
        <v>44903</v>
      </c>
      <c r="C397" s="203" t="s">
        <v>1093</v>
      </c>
      <c r="D397" s="203" t="s">
        <v>1122</v>
      </c>
      <c r="E397" s="161"/>
      <c r="F397" s="22">
        <v>126.8</v>
      </c>
      <c r="G397" s="202"/>
      <c r="H397" s="204">
        <v>44903</v>
      </c>
      <c r="I397" s="219">
        <v>24</v>
      </c>
      <c r="J397" s="205">
        <v>126.8</v>
      </c>
      <c r="K397" s="205">
        <f t="shared" si="37"/>
        <v>3043.2</v>
      </c>
      <c r="L397" s="209">
        <v>24</v>
      </c>
      <c r="M397" s="209">
        <f t="shared" si="36"/>
        <v>0</v>
      </c>
      <c r="N397" s="220" t="s">
        <v>1006</v>
      </c>
      <c r="O397" s="209" t="s">
        <v>945</v>
      </c>
      <c r="P397" s="205">
        <f t="shared" si="33"/>
        <v>0</v>
      </c>
      <c r="Q397" s="215"/>
    </row>
    <row r="398" spans="1:17" s="105" customFormat="1" ht="18.75" customHeight="1" x14ac:dyDescent="0.25">
      <c r="A398" s="106" t="s">
        <v>1108</v>
      </c>
      <c r="B398" s="204">
        <v>44903</v>
      </c>
      <c r="C398" s="203" t="s">
        <v>1094</v>
      </c>
      <c r="D398" s="203" t="s">
        <v>1122</v>
      </c>
      <c r="E398" s="161"/>
      <c r="F398" s="22">
        <v>129.85</v>
      </c>
      <c r="G398" s="202"/>
      <c r="H398" s="204">
        <v>44903</v>
      </c>
      <c r="I398" s="219">
        <v>24</v>
      </c>
      <c r="J398" s="205">
        <v>129.85</v>
      </c>
      <c r="K398" s="205">
        <f t="shared" si="37"/>
        <v>3116.3999999999996</v>
      </c>
      <c r="L398" s="209">
        <v>24</v>
      </c>
      <c r="M398" s="209">
        <f t="shared" si="36"/>
        <v>0</v>
      </c>
      <c r="N398" s="220" t="s">
        <v>1006</v>
      </c>
      <c r="O398" s="209" t="s">
        <v>945</v>
      </c>
      <c r="P398" s="205">
        <f t="shared" si="33"/>
        <v>0</v>
      </c>
      <c r="Q398" s="215"/>
    </row>
    <row r="399" spans="1:17" s="105" customFormat="1" ht="21.75" customHeight="1" x14ac:dyDescent="0.25">
      <c r="A399" s="106" t="s">
        <v>1109</v>
      </c>
      <c r="B399" s="204">
        <v>44903</v>
      </c>
      <c r="C399" s="203" t="s">
        <v>1095</v>
      </c>
      <c r="D399" s="203" t="s">
        <v>1122</v>
      </c>
      <c r="E399" s="161"/>
      <c r="F399" s="22">
        <v>1606.5</v>
      </c>
      <c r="G399" s="202"/>
      <c r="H399" s="204">
        <v>44903</v>
      </c>
      <c r="I399" s="219">
        <v>4</v>
      </c>
      <c r="J399" s="205">
        <v>1606.5</v>
      </c>
      <c r="K399" s="205">
        <f t="shared" si="37"/>
        <v>6426</v>
      </c>
      <c r="L399" s="209">
        <v>4</v>
      </c>
      <c r="M399" s="209">
        <f t="shared" si="36"/>
        <v>0</v>
      </c>
      <c r="N399" s="220" t="s">
        <v>1006</v>
      </c>
      <c r="O399" s="209" t="s">
        <v>945</v>
      </c>
      <c r="P399" s="205">
        <f t="shared" si="33"/>
        <v>0</v>
      </c>
      <c r="Q399" s="215"/>
    </row>
    <row r="400" spans="1:17" s="105" customFormat="1" ht="21.75" customHeight="1" x14ac:dyDescent="0.25">
      <c r="A400" s="106" t="s">
        <v>1110</v>
      </c>
      <c r="B400" s="204">
        <v>44903</v>
      </c>
      <c r="C400" s="203" t="s">
        <v>1096</v>
      </c>
      <c r="D400" s="203" t="s">
        <v>1122</v>
      </c>
      <c r="E400" s="161"/>
      <c r="F400" s="22">
        <v>134.13</v>
      </c>
      <c r="G400" s="202"/>
      <c r="H400" s="204">
        <v>44903</v>
      </c>
      <c r="I400" s="219">
        <v>24</v>
      </c>
      <c r="J400" s="205">
        <v>134.13</v>
      </c>
      <c r="K400" s="205">
        <f t="shared" si="37"/>
        <v>3219.12</v>
      </c>
      <c r="L400" s="209">
        <v>24</v>
      </c>
      <c r="M400" s="209">
        <f t="shared" si="36"/>
        <v>0</v>
      </c>
      <c r="N400" s="220" t="s">
        <v>1006</v>
      </c>
      <c r="O400" s="209" t="s">
        <v>945</v>
      </c>
      <c r="P400" s="205">
        <f t="shared" si="33"/>
        <v>0</v>
      </c>
      <c r="Q400" s="215"/>
    </row>
    <row r="401" spans="1:17" s="105" customFormat="1" ht="20.25" customHeight="1" x14ac:dyDescent="0.25">
      <c r="A401" s="106" t="s">
        <v>1111</v>
      </c>
      <c r="B401" s="204">
        <v>44903</v>
      </c>
      <c r="C401" s="203" t="s">
        <v>1097</v>
      </c>
      <c r="D401" s="203" t="s">
        <v>1122</v>
      </c>
      <c r="E401" s="161"/>
      <c r="F401" s="22">
        <v>147.35</v>
      </c>
      <c r="G401" s="202"/>
      <c r="H401" s="204">
        <v>44903</v>
      </c>
      <c r="I401" s="219">
        <v>24</v>
      </c>
      <c r="J401" s="205">
        <v>147.35</v>
      </c>
      <c r="K401" s="205">
        <f t="shared" si="37"/>
        <v>3536.3999999999996</v>
      </c>
      <c r="L401" s="209">
        <v>24</v>
      </c>
      <c r="M401" s="209">
        <f t="shared" si="36"/>
        <v>0</v>
      </c>
      <c r="N401" s="220" t="s">
        <v>1006</v>
      </c>
      <c r="O401" s="209" t="s">
        <v>945</v>
      </c>
      <c r="P401" s="205">
        <f t="shared" si="33"/>
        <v>0</v>
      </c>
      <c r="Q401" s="215"/>
    </row>
    <row r="402" spans="1:17" s="105" customFormat="1" ht="20.25" customHeight="1" x14ac:dyDescent="0.25">
      <c r="A402" s="106" t="s">
        <v>1112</v>
      </c>
      <c r="B402" s="204">
        <v>44903</v>
      </c>
      <c r="C402" s="203" t="s">
        <v>1098</v>
      </c>
      <c r="D402" s="203" t="s">
        <v>1122</v>
      </c>
      <c r="E402" s="161"/>
      <c r="F402" s="22">
        <v>1100.5</v>
      </c>
      <c r="G402" s="202"/>
      <c r="H402" s="204">
        <v>44903</v>
      </c>
      <c r="I402" s="219">
        <v>2</v>
      </c>
      <c r="J402" s="205">
        <v>1100.5</v>
      </c>
      <c r="K402" s="205">
        <f t="shared" si="37"/>
        <v>2201</v>
      </c>
      <c r="L402" s="209">
        <v>2</v>
      </c>
      <c r="M402" s="209">
        <f t="shared" si="36"/>
        <v>0</v>
      </c>
      <c r="N402" s="220" t="s">
        <v>1006</v>
      </c>
      <c r="O402" s="209" t="s">
        <v>945</v>
      </c>
      <c r="P402" s="205">
        <f t="shared" si="33"/>
        <v>0</v>
      </c>
      <c r="Q402" s="215"/>
    </row>
    <row r="403" spans="1:17" s="105" customFormat="1" ht="15.75" x14ac:dyDescent="0.25">
      <c r="A403" s="106" t="s">
        <v>1119</v>
      </c>
      <c r="B403" s="201"/>
      <c r="C403" s="203" t="s">
        <v>1114</v>
      </c>
      <c r="D403" s="203" t="s">
        <v>1122</v>
      </c>
      <c r="E403" s="161"/>
      <c r="F403" s="22"/>
      <c r="G403" s="202"/>
      <c r="H403" s="204"/>
      <c r="I403" s="219"/>
      <c r="J403" s="205"/>
      <c r="K403" s="205">
        <f t="shared" si="37"/>
        <v>0</v>
      </c>
      <c r="L403" s="209">
        <f>22+1</f>
        <v>23</v>
      </c>
      <c r="M403" s="209">
        <f t="shared" si="36"/>
        <v>-23</v>
      </c>
      <c r="N403" s="220"/>
      <c r="O403" s="209" t="s">
        <v>946</v>
      </c>
      <c r="P403" s="205">
        <f t="shared" si="33"/>
        <v>0</v>
      </c>
      <c r="Q403" s="215"/>
    </row>
    <row r="404" spans="1:17" s="105" customFormat="1" ht="16.5" customHeight="1" x14ac:dyDescent="0.25">
      <c r="A404" s="106" t="s">
        <v>1124</v>
      </c>
      <c r="B404" s="201">
        <v>45020</v>
      </c>
      <c r="C404" s="203" t="s">
        <v>1129</v>
      </c>
      <c r="D404" s="203" t="s">
        <v>1122</v>
      </c>
      <c r="E404" s="160">
        <v>50</v>
      </c>
      <c r="F404" s="22"/>
      <c r="G404" s="202"/>
      <c r="H404" s="204"/>
      <c r="I404" s="219"/>
      <c r="J404" s="205"/>
      <c r="K404" s="205">
        <f t="shared" si="37"/>
        <v>0</v>
      </c>
      <c r="L404" s="209">
        <v>5</v>
      </c>
      <c r="M404" s="209">
        <f t="shared" si="36"/>
        <v>45</v>
      </c>
      <c r="N404" s="220" t="s">
        <v>1132</v>
      </c>
      <c r="O404" s="209" t="s">
        <v>946</v>
      </c>
      <c r="P404" s="205">
        <f t="shared" si="33"/>
        <v>0</v>
      </c>
      <c r="Q404" s="215"/>
    </row>
    <row r="405" spans="1:17" s="105" customFormat="1" ht="19.5" customHeight="1" x14ac:dyDescent="0.25">
      <c r="A405" s="106" t="s">
        <v>1125</v>
      </c>
      <c r="B405" s="201">
        <v>45020</v>
      </c>
      <c r="C405" s="203" t="s">
        <v>1130</v>
      </c>
      <c r="D405" s="203"/>
      <c r="E405" s="160"/>
      <c r="F405" s="22"/>
      <c r="G405" s="202"/>
      <c r="H405" s="204"/>
      <c r="I405" s="219"/>
      <c r="J405" s="205"/>
      <c r="K405" s="205">
        <f t="shared" si="37"/>
        <v>0</v>
      </c>
      <c r="L405" s="209"/>
      <c r="M405" s="209">
        <f t="shared" si="36"/>
        <v>0</v>
      </c>
      <c r="N405" s="220" t="s">
        <v>1132</v>
      </c>
      <c r="O405" s="209" t="s">
        <v>946</v>
      </c>
      <c r="P405" s="205">
        <f t="shared" si="33"/>
        <v>0</v>
      </c>
      <c r="Q405" s="215"/>
    </row>
    <row r="406" spans="1:17" s="105" customFormat="1" ht="17.25" customHeight="1" x14ac:dyDescent="0.25">
      <c r="A406" s="106" t="s">
        <v>1126</v>
      </c>
      <c r="B406" s="201">
        <v>45020</v>
      </c>
      <c r="C406" s="203" t="s">
        <v>1131</v>
      </c>
      <c r="D406" s="203" t="s">
        <v>1122</v>
      </c>
      <c r="E406" s="160">
        <v>40</v>
      </c>
      <c r="F406" s="22">
        <v>17.7</v>
      </c>
      <c r="G406" s="202"/>
      <c r="H406" s="201">
        <v>45020</v>
      </c>
      <c r="I406" s="219">
        <v>40</v>
      </c>
      <c r="J406" s="205">
        <v>17.7</v>
      </c>
      <c r="K406" s="205">
        <f t="shared" si="37"/>
        <v>708</v>
      </c>
      <c r="L406" s="209"/>
      <c r="M406" s="209">
        <f t="shared" si="36"/>
        <v>80</v>
      </c>
      <c r="N406" s="220" t="s">
        <v>1132</v>
      </c>
      <c r="O406" s="209" t="s">
        <v>946</v>
      </c>
      <c r="P406" s="205">
        <f t="shared" si="33"/>
        <v>1416</v>
      </c>
      <c r="Q406" s="215"/>
    </row>
    <row r="407" spans="1:17" s="105" customFormat="1" ht="15.75" x14ac:dyDescent="0.25">
      <c r="A407" s="106" t="s">
        <v>1127</v>
      </c>
      <c r="B407" s="201">
        <v>45020</v>
      </c>
      <c r="C407" s="203" t="s">
        <v>1133</v>
      </c>
      <c r="D407" s="203" t="s">
        <v>1122</v>
      </c>
      <c r="E407" s="160">
        <v>10</v>
      </c>
      <c r="F407" s="22">
        <v>206.61</v>
      </c>
      <c r="G407" s="202"/>
      <c r="H407" s="201">
        <v>45020</v>
      </c>
      <c r="I407" s="219">
        <v>10</v>
      </c>
      <c r="J407" s="205">
        <v>206.61</v>
      </c>
      <c r="K407" s="205">
        <f t="shared" si="37"/>
        <v>2066.1000000000004</v>
      </c>
      <c r="L407" s="209"/>
      <c r="M407" s="209">
        <f t="shared" si="36"/>
        <v>20</v>
      </c>
      <c r="N407" s="220"/>
      <c r="O407" s="209" t="s">
        <v>946</v>
      </c>
      <c r="P407" s="205">
        <f t="shared" si="33"/>
        <v>4132.2000000000007</v>
      </c>
      <c r="Q407" s="215"/>
    </row>
    <row r="408" spans="1:17" s="105" customFormat="1" ht="15.75" x14ac:dyDescent="0.25">
      <c r="A408" s="106" t="s">
        <v>1128</v>
      </c>
      <c r="B408" s="201">
        <v>45020</v>
      </c>
      <c r="C408" s="203" t="s">
        <v>1134</v>
      </c>
      <c r="D408" s="203" t="s">
        <v>1122</v>
      </c>
      <c r="E408" s="160">
        <v>10</v>
      </c>
      <c r="F408" s="22">
        <v>377.6</v>
      </c>
      <c r="G408" s="202"/>
      <c r="H408" s="201">
        <v>45020</v>
      </c>
      <c r="I408" s="219">
        <v>10</v>
      </c>
      <c r="J408" s="205">
        <v>377.6</v>
      </c>
      <c r="K408" s="205">
        <f t="shared" si="37"/>
        <v>3776</v>
      </c>
      <c r="L408" s="209"/>
      <c r="M408" s="209">
        <f t="shared" si="36"/>
        <v>20</v>
      </c>
      <c r="N408" s="220"/>
      <c r="O408" s="209" t="s">
        <v>946</v>
      </c>
      <c r="P408" s="205">
        <f t="shared" si="33"/>
        <v>7552</v>
      </c>
      <c r="Q408" s="215"/>
    </row>
    <row r="409" spans="1:17" s="105" customFormat="1" ht="15.75" x14ac:dyDescent="0.25">
      <c r="A409" s="106" t="s">
        <v>1151</v>
      </c>
      <c r="B409" s="201">
        <v>45020</v>
      </c>
      <c r="C409" s="203" t="s">
        <v>1135</v>
      </c>
      <c r="D409" s="203" t="s">
        <v>1122</v>
      </c>
      <c r="E409" s="160">
        <v>10</v>
      </c>
      <c r="F409" s="22">
        <v>2619.6</v>
      </c>
      <c r="G409" s="202"/>
      <c r="H409" s="201">
        <v>45020</v>
      </c>
      <c r="I409" s="219">
        <v>10</v>
      </c>
      <c r="J409" s="205">
        <v>2619.6</v>
      </c>
      <c r="K409" s="205">
        <f t="shared" si="37"/>
        <v>26196</v>
      </c>
      <c r="L409" s="209"/>
      <c r="M409" s="209">
        <f t="shared" si="36"/>
        <v>20</v>
      </c>
      <c r="N409" s="220"/>
      <c r="O409" s="209" t="s">
        <v>946</v>
      </c>
      <c r="P409" s="205">
        <f t="shared" ref="P409:P439" si="38">+F409*M409</f>
        <v>52392</v>
      </c>
      <c r="Q409" s="215"/>
    </row>
    <row r="410" spans="1:17" s="105" customFormat="1" ht="15.75" x14ac:dyDescent="0.25">
      <c r="A410" s="106" t="s">
        <v>1152</v>
      </c>
      <c r="B410" s="201">
        <v>45020</v>
      </c>
      <c r="C410" s="203" t="s">
        <v>1136</v>
      </c>
      <c r="D410" s="203" t="s">
        <v>1122</v>
      </c>
      <c r="E410" s="160">
        <v>5</v>
      </c>
      <c r="F410" s="22">
        <v>354</v>
      </c>
      <c r="G410" s="202"/>
      <c r="H410" s="201">
        <v>45020</v>
      </c>
      <c r="I410" s="219">
        <v>5</v>
      </c>
      <c r="J410" s="205">
        <v>354</v>
      </c>
      <c r="K410" s="205">
        <f t="shared" si="37"/>
        <v>1770</v>
      </c>
      <c r="L410" s="209"/>
      <c r="M410" s="209">
        <f t="shared" si="36"/>
        <v>10</v>
      </c>
      <c r="N410" s="220"/>
      <c r="O410" s="209" t="s">
        <v>946</v>
      </c>
      <c r="P410" s="205">
        <f t="shared" si="38"/>
        <v>3540</v>
      </c>
      <c r="Q410" s="215"/>
    </row>
    <row r="411" spans="1:17" s="105" customFormat="1" ht="15.75" x14ac:dyDescent="0.25">
      <c r="A411" s="106" t="s">
        <v>1153</v>
      </c>
      <c r="B411" s="201">
        <v>45020</v>
      </c>
      <c r="C411" s="203" t="s">
        <v>1137</v>
      </c>
      <c r="D411" s="203" t="s">
        <v>1122</v>
      </c>
      <c r="E411" s="160">
        <v>12</v>
      </c>
      <c r="F411" s="22">
        <v>1829</v>
      </c>
      <c r="G411" s="202"/>
      <c r="H411" s="201">
        <v>45020</v>
      </c>
      <c r="I411" s="219">
        <v>12</v>
      </c>
      <c r="J411" s="205">
        <v>1829</v>
      </c>
      <c r="K411" s="205">
        <f t="shared" si="37"/>
        <v>21948</v>
      </c>
      <c r="L411" s="209"/>
      <c r="M411" s="209">
        <f t="shared" si="36"/>
        <v>24</v>
      </c>
      <c r="N411" s="220"/>
      <c r="O411" s="209" t="s">
        <v>946</v>
      </c>
      <c r="P411" s="205">
        <f t="shared" si="38"/>
        <v>43896</v>
      </c>
      <c r="Q411" s="215"/>
    </row>
    <row r="412" spans="1:17" s="105" customFormat="1" ht="15.75" x14ac:dyDescent="0.25">
      <c r="A412" s="106" t="s">
        <v>1154</v>
      </c>
      <c r="B412" s="201">
        <v>45020</v>
      </c>
      <c r="C412" s="203" t="s">
        <v>1138</v>
      </c>
      <c r="D412" s="203" t="s">
        <v>1122</v>
      </c>
      <c r="E412" s="160">
        <v>3</v>
      </c>
      <c r="F412" s="22">
        <v>4543</v>
      </c>
      <c r="G412" s="202"/>
      <c r="H412" s="201">
        <v>45020</v>
      </c>
      <c r="I412" s="219">
        <v>3</v>
      </c>
      <c r="J412" s="205">
        <v>4543</v>
      </c>
      <c r="K412" s="205">
        <f t="shared" si="37"/>
        <v>13629</v>
      </c>
      <c r="L412" s="209"/>
      <c r="M412" s="209">
        <f t="shared" si="36"/>
        <v>6</v>
      </c>
      <c r="N412" s="220"/>
      <c r="O412" s="209" t="s">
        <v>946</v>
      </c>
      <c r="P412" s="205">
        <f t="shared" si="38"/>
        <v>27258</v>
      </c>
      <c r="Q412" s="215"/>
    </row>
    <row r="413" spans="1:17" s="105" customFormat="1" ht="15.75" x14ac:dyDescent="0.25">
      <c r="A413" s="106" t="s">
        <v>1155</v>
      </c>
      <c r="B413" s="201">
        <v>45020</v>
      </c>
      <c r="C413" s="203" t="s">
        <v>1139</v>
      </c>
      <c r="D413" s="203" t="s">
        <v>1122</v>
      </c>
      <c r="E413" s="160">
        <v>10</v>
      </c>
      <c r="F413" s="22">
        <v>153.4</v>
      </c>
      <c r="G413" s="202"/>
      <c r="H413" s="201">
        <v>45020</v>
      </c>
      <c r="I413" s="219">
        <v>10</v>
      </c>
      <c r="J413" s="205">
        <v>153.4</v>
      </c>
      <c r="K413" s="205">
        <f t="shared" si="37"/>
        <v>1534</v>
      </c>
      <c r="L413" s="209"/>
      <c r="M413" s="209">
        <f t="shared" si="36"/>
        <v>20</v>
      </c>
      <c r="N413" s="220"/>
      <c r="O413" s="209" t="s">
        <v>946</v>
      </c>
      <c r="P413" s="205">
        <f t="shared" si="38"/>
        <v>3068</v>
      </c>
      <c r="Q413" s="215"/>
    </row>
    <row r="414" spans="1:17" s="105" customFormat="1" ht="15.75" x14ac:dyDescent="0.25">
      <c r="A414" s="106" t="s">
        <v>1156</v>
      </c>
      <c r="B414" s="201">
        <v>45020</v>
      </c>
      <c r="C414" s="203" t="s">
        <v>1140</v>
      </c>
      <c r="D414" s="203" t="s">
        <v>1122</v>
      </c>
      <c r="E414" s="160">
        <v>3</v>
      </c>
      <c r="F414" s="22">
        <v>4425</v>
      </c>
      <c r="G414" s="202"/>
      <c r="H414" s="201">
        <v>45020</v>
      </c>
      <c r="I414" s="219">
        <v>3</v>
      </c>
      <c r="J414" s="205">
        <v>4425</v>
      </c>
      <c r="K414" s="205">
        <f t="shared" si="37"/>
        <v>13275</v>
      </c>
      <c r="L414" s="209">
        <v>3</v>
      </c>
      <c r="M414" s="209">
        <f t="shared" si="36"/>
        <v>3</v>
      </c>
      <c r="N414" s="220"/>
      <c r="O414" s="209" t="s">
        <v>945</v>
      </c>
      <c r="P414" s="205">
        <f t="shared" si="38"/>
        <v>13275</v>
      </c>
      <c r="Q414" s="215"/>
    </row>
    <row r="415" spans="1:17" s="105" customFormat="1" ht="15.75" x14ac:dyDescent="0.25">
      <c r="A415" s="106" t="s">
        <v>1157</v>
      </c>
      <c r="B415" s="201">
        <v>45020</v>
      </c>
      <c r="C415" s="203" t="s">
        <v>1141</v>
      </c>
      <c r="D415" s="203" t="s">
        <v>1122</v>
      </c>
      <c r="E415" s="160">
        <v>10</v>
      </c>
      <c r="F415" s="22">
        <v>276.12</v>
      </c>
      <c r="G415" s="202"/>
      <c r="H415" s="201">
        <v>45020</v>
      </c>
      <c r="I415" s="219">
        <v>10</v>
      </c>
      <c r="J415" s="205">
        <v>276.12</v>
      </c>
      <c r="K415" s="205">
        <f t="shared" si="37"/>
        <v>2761.2</v>
      </c>
      <c r="L415" s="209"/>
      <c r="M415" s="209">
        <f t="shared" si="36"/>
        <v>20</v>
      </c>
      <c r="N415" s="220"/>
      <c r="O415" s="209" t="s">
        <v>946</v>
      </c>
      <c r="P415" s="205">
        <f t="shared" si="38"/>
        <v>5522.4</v>
      </c>
      <c r="Q415" s="215"/>
    </row>
    <row r="416" spans="1:17" s="105" customFormat="1" ht="15.75" x14ac:dyDescent="0.25">
      <c r="A416" s="106" t="s">
        <v>1158</v>
      </c>
      <c r="B416" s="201">
        <v>45020</v>
      </c>
      <c r="C416" s="203" t="s">
        <v>1142</v>
      </c>
      <c r="D416" s="203" t="s">
        <v>1122</v>
      </c>
      <c r="E416" s="160">
        <v>10</v>
      </c>
      <c r="F416" s="22">
        <v>348.1</v>
      </c>
      <c r="G416" s="202"/>
      <c r="H416" s="201">
        <v>45020</v>
      </c>
      <c r="I416" s="219">
        <v>10</v>
      </c>
      <c r="J416" s="205">
        <v>348.1</v>
      </c>
      <c r="K416" s="205">
        <f t="shared" si="37"/>
        <v>3481</v>
      </c>
      <c r="L416" s="209"/>
      <c r="M416" s="209">
        <f t="shared" si="36"/>
        <v>20</v>
      </c>
      <c r="N416" s="220"/>
      <c r="O416" s="209" t="s">
        <v>946</v>
      </c>
      <c r="P416" s="205">
        <f t="shared" si="38"/>
        <v>6962</v>
      </c>
      <c r="Q416" s="215"/>
    </row>
    <row r="417" spans="1:17" s="105" customFormat="1" ht="15.75" x14ac:dyDescent="0.25">
      <c r="A417" s="106" t="s">
        <v>1159</v>
      </c>
      <c r="B417" s="201">
        <v>45020</v>
      </c>
      <c r="C417" s="203" t="s">
        <v>1143</v>
      </c>
      <c r="D417" s="203" t="s">
        <v>1122</v>
      </c>
      <c r="E417" s="160">
        <v>12</v>
      </c>
      <c r="F417" s="22">
        <v>165.16</v>
      </c>
      <c r="G417" s="202"/>
      <c r="H417" s="201">
        <v>45020</v>
      </c>
      <c r="I417" s="219">
        <v>12</v>
      </c>
      <c r="J417" s="205">
        <v>165.16</v>
      </c>
      <c r="K417" s="205">
        <f t="shared" si="37"/>
        <v>1981.92</v>
      </c>
      <c r="L417" s="209"/>
      <c r="M417" s="209">
        <f t="shared" si="36"/>
        <v>24</v>
      </c>
      <c r="N417" s="220"/>
      <c r="O417" s="209" t="s">
        <v>946</v>
      </c>
      <c r="P417" s="205">
        <f t="shared" si="38"/>
        <v>3963.84</v>
      </c>
      <c r="Q417" s="215"/>
    </row>
    <row r="418" spans="1:17" s="105" customFormat="1" ht="15.75" x14ac:dyDescent="0.25">
      <c r="A418" s="106" t="s">
        <v>1160</v>
      </c>
      <c r="B418" s="201">
        <v>45020</v>
      </c>
      <c r="C418" s="203" t="s">
        <v>1144</v>
      </c>
      <c r="D418" s="203" t="s">
        <v>1122</v>
      </c>
      <c r="E418" s="160">
        <v>1</v>
      </c>
      <c r="F418" s="22">
        <v>48675</v>
      </c>
      <c r="G418" s="202"/>
      <c r="H418" s="201">
        <v>45020</v>
      </c>
      <c r="I418" s="219">
        <v>1</v>
      </c>
      <c r="J418" s="205">
        <v>48675</v>
      </c>
      <c r="K418" s="205">
        <f t="shared" si="37"/>
        <v>48675</v>
      </c>
      <c r="L418" s="209"/>
      <c r="M418" s="209">
        <f t="shared" si="36"/>
        <v>2</v>
      </c>
      <c r="N418" s="220"/>
      <c r="O418" s="209" t="s">
        <v>946</v>
      </c>
      <c r="P418" s="205">
        <f t="shared" si="38"/>
        <v>97350</v>
      </c>
      <c r="Q418" s="215"/>
    </row>
    <row r="419" spans="1:17" s="105" customFormat="1" ht="15.75" x14ac:dyDescent="0.25">
      <c r="A419" s="106" t="s">
        <v>1161</v>
      </c>
      <c r="B419" s="201">
        <v>45020</v>
      </c>
      <c r="C419" s="203" t="s">
        <v>1145</v>
      </c>
      <c r="D419" s="203" t="s">
        <v>1122</v>
      </c>
      <c r="E419" s="160">
        <v>1</v>
      </c>
      <c r="F419" s="22">
        <v>67571.820000000007</v>
      </c>
      <c r="G419" s="202"/>
      <c r="H419" s="201">
        <v>45020</v>
      </c>
      <c r="I419" s="219">
        <v>1</v>
      </c>
      <c r="J419" s="205">
        <v>67571.820000000007</v>
      </c>
      <c r="K419" s="205">
        <f t="shared" si="37"/>
        <v>67571.820000000007</v>
      </c>
      <c r="L419" s="209"/>
      <c r="M419" s="209">
        <f t="shared" si="36"/>
        <v>2</v>
      </c>
      <c r="N419" s="220"/>
      <c r="O419" s="209" t="s">
        <v>946</v>
      </c>
      <c r="P419" s="205">
        <f t="shared" si="38"/>
        <v>135143.64000000001</v>
      </c>
      <c r="Q419" s="215"/>
    </row>
    <row r="420" spans="1:17" s="105" customFormat="1" ht="15.75" x14ac:dyDescent="0.25">
      <c r="A420" s="106" t="s">
        <v>1162</v>
      </c>
      <c r="B420" s="201">
        <v>45020</v>
      </c>
      <c r="C420" s="203" t="s">
        <v>1146</v>
      </c>
      <c r="D420" s="203" t="s">
        <v>1122</v>
      </c>
      <c r="E420" s="160">
        <v>15</v>
      </c>
      <c r="F420" s="22">
        <v>873.2</v>
      </c>
      <c r="G420" s="202"/>
      <c r="H420" s="201">
        <v>45020</v>
      </c>
      <c r="I420" s="219">
        <v>15</v>
      </c>
      <c r="J420" s="205">
        <v>873.2</v>
      </c>
      <c r="K420" s="205">
        <f t="shared" si="37"/>
        <v>13098</v>
      </c>
      <c r="L420" s="209"/>
      <c r="M420" s="209">
        <f t="shared" si="36"/>
        <v>30</v>
      </c>
      <c r="N420" s="220"/>
      <c r="O420" s="209" t="s">
        <v>946</v>
      </c>
      <c r="P420" s="205">
        <f t="shared" si="38"/>
        <v>26196</v>
      </c>
      <c r="Q420" s="215"/>
    </row>
    <row r="421" spans="1:17" s="105" customFormat="1" ht="15.75" x14ac:dyDescent="0.25">
      <c r="A421" s="106" t="s">
        <v>1163</v>
      </c>
      <c r="B421" s="201">
        <v>45020</v>
      </c>
      <c r="C421" s="203" t="s">
        <v>1147</v>
      </c>
      <c r="D421" s="203" t="s">
        <v>1122</v>
      </c>
      <c r="E421" s="161">
        <v>20</v>
      </c>
      <c r="F421" s="22">
        <v>324.5</v>
      </c>
      <c r="G421" s="202"/>
      <c r="H421" s="201">
        <v>45020</v>
      </c>
      <c r="I421" s="219">
        <v>20</v>
      </c>
      <c r="J421" s="205">
        <v>324.5</v>
      </c>
      <c r="K421" s="205">
        <f t="shared" si="37"/>
        <v>6490</v>
      </c>
      <c r="L421" s="209"/>
      <c r="M421" s="209">
        <f t="shared" si="36"/>
        <v>40</v>
      </c>
      <c r="N421" s="220"/>
      <c r="O421" s="209" t="s">
        <v>946</v>
      </c>
      <c r="P421" s="205">
        <f t="shared" si="38"/>
        <v>12980</v>
      </c>
      <c r="Q421" s="215"/>
    </row>
    <row r="422" spans="1:17" s="105" customFormat="1" ht="15.75" x14ac:dyDescent="0.25">
      <c r="A422" s="106" t="s">
        <v>1164</v>
      </c>
      <c r="B422" s="201">
        <v>45020</v>
      </c>
      <c r="C422" s="203" t="s">
        <v>1148</v>
      </c>
      <c r="D422" s="203" t="s">
        <v>1122</v>
      </c>
      <c r="E422" s="161">
        <v>300</v>
      </c>
      <c r="F422" s="22">
        <v>3.48</v>
      </c>
      <c r="G422" s="202"/>
      <c r="H422" s="201">
        <v>45020</v>
      </c>
      <c r="I422" s="219">
        <v>300</v>
      </c>
      <c r="J422" s="205">
        <v>3.48</v>
      </c>
      <c r="K422" s="205">
        <f t="shared" si="37"/>
        <v>1044</v>
      </c>
      <c r="L422" s="209"/>
      <c r="M422" s="209">
        <f t="shared" si="36"/>
        <v>600</v>
      </c>
      <c r="N422" s="220"/>
      <c r="O422" s="209" t="s">
        <v>946</v>
      </c>
      <c r="P422" s="205">
        <f t="shared" si="38"/>
        <v>2088</v>
      </c>
      <c r="Q422" s="215"/>
    </row>
    <row r="423" spans="1:17" s="105" customFormat="1" ht="15.75" x14ac:dyDescent="0.25">
      <c r="A423" s="106" t="s">
        <v>1165</v>
      </c>
      <c r="B423" s="201">
        <v>45020</v>
      </c>
      <c r="C423" s="203" t="s">
        <v>1149</v>
      </c>
      <c r="D423" s="203" t="s">
        <v>1122</v>
      </c>
      <c r="E423" s="161">
        <v>3</v>
      </c>
      <c r="F423" s="22">
        <v>1062</v>
      </c>
      <c r="G423" s="202"/>
      <c r="H423" s="201">
        <v>45020</v>
      </c>
      <c r="I423" s="219">
        <v>3</v>
      </c>
      <c r="J423" s="13">
        <v>1062</v>
      </c>
      <c r="K423" s="205">
        <f t="shared" si="37"/>
        <v>3186</v>
      </c>
      <c r="L423" s="209"/>
      <c r="M423" s="209">
        <f t="shared" si="36"/>
        <v>6</v>
      </c>
      <c r="N423" s="220"/>
      <c r="O423" s="209" t="s">
        <v>946</v>
      </c>
      <c r="P423" s="205">
        <f t="shared" si="38"/>
        <v>6372</v>
      </c>
      <c r="Q423" s="215"/>
    </row>
    <row r="424" spans="1:17" s="105" customFormat="1" ht="15.75" x14ac:dyDescent="0.25">
      <c r="A424" s="106" t="s">
        <v>1166</v>
      </c>
      <c r="B424" s="201">
        <v>45020</v>
      </c>
      <c r="C424" s="203" t="s">
        <v>1150</v>
      </c>
      <c r="D424" s="203" t="s">
        <v>1122</v>
      </c>
      <c r="E424" s="161">
        <v>7</v>
      </c>
      <c r="F424" s="22">
        <v>1298</v>
      </c>
      <c r="G424" s="202"/>
      <c r="H424" s="201">
        <v>45020</v>
      </c>
      <c r="I424" s="219">
        <v>7</v>
      </c>
      <c r="J424" s="13">
        <v>1298</v>
      </c>
      <c r="K424" s="205">
        <f t="shared" si="37"/>
        <v>9086</v>
      </c>
      <c r="L424" s="209">
        <v>1</v>
      </c>
      <c r="M424" s="209">
        <f t="shared" si="36"/>
        <v>13</v>
      </c>
      <c r="N424" s="220"/>
      <c r="O424" s="209" t="s">
        <v>946</v>
      </c>
      <c r="P424" s="205">
        <f t="shared" si="38"/>
        <v>16874</v>
      </c>
      <c r="Q424" s="215"/>
    </row>
    <row r="425" spans="1:17" s="105" customFormat="1" ht="15.75" x14ac:dyDescent="0.25">
      <c r="A425" s="106" t="s">
        <v>1169</v>
      </c>
      <c r="B425" s="201">
        <v>45019</v>
      </c>
      <c r="C425" s="203" t="s">
        <v>1171</v>
      </c>
      <c r="D425" s="203" t="s">
        <v>1172</v>
      </c>
      <c r="E425" s="161"/>
      <c r="F425" s="22">
        <v>3540</v>
      </c>
      <c r="G425" s="202"/>
      <c r="H425" s="201">
        <v>45019</v>
      </c>
      <c r="I425" s="219">
        <v>15</v>
      </c>
      <c r="J425" s="13">
        <v>3540</v>
      </c>
      <c r="K425" s="205">
        <f>+J425*I425</f>
        <v>53100</v>
      </c>
      <c r="L425" s="209">
        <v>1</v>
      </c>
      <c r="M425" s="209">
        <f t="shared" si="36"/>
        <v>14</v>
      </c>
      <c r="N425" s="220"/>
      <c r="O425" s="209" t="s">
        <v>945</v>
      </c>
      <c r="P425" s="205">
        <f>+F425*M425</f>
        <v>49560</v>
      </c>
      <c r="Q425" s="215"/>
    </row>
    <row r="426" spans="1:17" s="105" customFormat="1" ht="15.75" x14ac:dyDescent="0.25">
      <c r="A426" s="106" t="s">
        <v>1170</v>
      </c>
      <c r="B426" s="201">
        <v>45019</v>
      </c>
      <c r="C426" s="203" t="s">
        <v>1174</v>
      </c>
      <c r="D426" s="203" t="s">
        <v>1173</v>
      </c>
      <c r="E426" s="161">
        <v>6</v>
      </c>
      <c r="F426" s="22">
        <v>1500.96</v>
      </c>
      <c r="G426" s="202"/>
      <c r="H426" s="201">
        <v>45019</v>
      </c>
      <c r="I426" s="219">
        <f>16*6</f>
        <v>96</v>
      </c>
      <c r="J426" s="13">
        <v>1500.96</v>
      </c>
      <c r="K426" s="205">
        <f>+J426*I426</f>
        <v>144092.16</v>
      </c>
      <c r="L426" s="209">
        <f>11+1+1+1+2+1</f>
        <v>17</v>
      </c>
      <c r="M426" s="209">
        <f t="shared" si="36"/>
        <v>85</v>
      </c>
      <c r="N426" s="220"/>
      <c r="O426" s="209" t="s">
        <v>945</v>
      </c>
      <c r="P426" s="205">
        <f t="shared" si="38"/>
        <v>127581.6</v>
      </c>
      <c r="Q426" s="215"/>
    </row>
    <row r="427" spans="1:17" s="105" customFormat="1" ht="15.75" x14ac:dyDescent="0.25">
      <c r="A427" s="106" t="s">
        <v>1177</v>
      </c>
      <c r="B427" s="201">
        <v>45019</v>
      </c>
      <c r="C427" s="203" t="s">
        <v>1175</v>
      </c>
      <c r="D427" s="203" t="s">
        <v>1176</v>
      </c>
      <c r="E427" s="161">
        <v>0</v>
      </c>
      <c r="F427" s="22">
        <v>154.51</v>
      </c>
      <c r="G427" s="202"/>
      <c r="H427" s="201">
        <v>45127</v>
      </c>
      <c r="I427" s="219">
        <v>36</v>
      </c>
      <c r="J427" s="13">
        <v>181.92</v>
      </c>
      <c r="K427" s="205">
        <f>+J427*I427</f>
        <v>6549.12</v>
      </c>
      <c r="L427" s="209">
        <v>1</v>
      </c>
      <c r="M427" s="209">
        <f>+E427+I427-L427</f>
        <v>35</v>
      </c>
      <c r="N427" s="220"/>
      <c r="O427" s="209" t="s">
        <v>945</v>
      </c>
      <c r="P427" s="205">
        <f>+F427*M427</f>
        <v>5407.8499999999995</v>
      </c>
      <c r="Q427" s="215"/>
    </row>
    <row r="428" spans="1:17" s="105" customFormat="1" ht="15.75" x14ac:dyDescent="0.25">
      <c r="A428" s="106" t="s">
        <v>1178</v>
      </c>
      <c r="B428" s="201">
        <v>45019</v>
      </c>
      <c r="C428" s="203" t="s">
        <v>1179</v>
      </c>
      <c r="D428" s="203" t="s">
        <v>1122</v>
      </c>
      <c r="E428" s="161">
        <v>5</v>
      </c>
      <c r="F428" s="22">
        <v>223.06</v>
      </c>
      <c r="G428" s="202"/>
      <c r="H428" s="201">
        <v>45019</v>
      </c>
      <c r="I428" s="219">
        <v>12</v>
      </c>
      <c r="J428" s="13">
        <v>223.06</v>
      </c>
      <c r="K428" s="205">
        <f t="shared" ref="K428:K439" si="39">+J428*I428</f>
        <v>2676.7200000000003</v>
      </c>
      <c r="L428" s="209"/>
      <c r="M428" s="209">
        <f>+E428+I428-L428</f>
        <v>17</v>
      </c>
      <c r="N428" s="220"/>
      <c r="O428" s="209" t="s">
        <v>945</v>
      </c>
      <c r="P428" s="205">
        <f t="shared" si="38"/>
        <v>3792.02</v>
      </c>
      <c r="Q428" s="215"/>
    </row>
    <row r="429" spans="1:17" s="105" customFormat="1" ht="15.75" x14ac:dyDescent="0.25">
      <c r="A429" s="106" t="s">
        <v>1181</v>
      </c>
      <c r="B429" s="201">
        <v>45019</v>
      </c>
      <c r="C429" s="203" t="s">
        <v>1180</v>
      </c>
      <c r="D429" s="203" t="s">
        <v>1122</v>
      </c>
      <c r="E429" s="161"/>
      <c r="F429" s="22">
        <v>236</v>
      </c>
      <c r="G429" s="202"/>
      <c r="H429" s="201">
        <v>45019</v>
      </c>
      <c r="I429" s="219">
        <v>12</v>
      </c>
      <c r="J429" s="13">
        <v>236</v>
      </c>
      <c r="K429" s="205">
        <f t="shared" si="39"/>
        <v>2832</v>
      </c>
      <c r="L429" s="217">
        <v>1</v>
      </c>
      <c r="M429" s="209">
        <f t="shared" ref="M429:M476" si="40">+E429+I429-L429</f>
        <v>11</v>
      </c>
      <c r="N429" s="220"/>
      <c r="O429" s="209" t="s">
        <v>945</v>
      </c>
      <c r="P429" s="205">
        <f t="shared" si="38"/>
        <v>2596</v>
      </c>
      <c r="Q429" s="215"/>
    </row>
    <row r="430" spans="1:17" s="105" customFormat="1" ht="15.75" x14ac:dyDescent="0.25">
      <c r="A430" s="106" t="s">
        <v>1182</v>
      </c>
      <c r="B430" s="201">
        <v>45019</v>
      </c>
      <c r="C430" s="203" t="s">
        <v>1183</v>
      </c>
      <c r="D430" s="203" t="s">
        <v>1122</v>
      </c>
      <c r="E430" s="161"/>
      <c r="F430" s="22">
        <v>248.52</v>
      </c>
      <c r="G430" s="202"/>
      <c r="H430" s="201">
        <v>45019</v>
      </c>
      <c r="I430" s="219">
        <v>12</v>
      </c>
      <c r="J430" s="13">
        <v>248.52</v>
      </c>
      <c r="K430" s="205">
        <f t="shared" si="39"/>
        <v>2982.2400000000002</v>
      </c>
      <c r="L430" s="217">
        <f>6+2</f>
        <v>8</v>
      </c>
      <c r="M430" s="209">
        <f t="shared" si="40"/>
        <v>4</v>
      </c>
      <c r="N430" s="220"/>
      <c r="O430" s="209" t="s">
        <v>945</v>
      </c>
      <c r="P430" s="205">
        <f t="shared" si="38"/>
        <v>994.08</v>
      </c>
      <c r="Q430" s="215"/>
    </row>
    <row r="431" spans="1:17" s="105" customFormat="1" ht="15.75" x14ac:dyDescent="0.25">
      <c r="A431" s="106" t="s">
        <v>1184</v>
      </c>
      <c r="B431" s="201">
        <v>45019</v>
      </c>
      <c r="C431" s="203" t="s">
        <v>650</v>
      </c>
      <c r="D431" s="203" t="s">
        <v>1122</v>
      </c>
      <c r="E431" s="161">
        <v>1900</v>
      </c>
      <c r="F431" s="22">
        <v>4.01</v>
      </c>
      <c r="G431" s="202"/>
      <c r="H431" s="201">
        <v>45019</v>
      </c>
      <c r="I431" s="219">
        <v>700</v>
      </c>
      <c r="J431" s="130">
        <v>4.01</v>
      </c>
      <c r="K431" s="205">
        <f t="shared" si="39"/>
        <v>2807</v>
      </c>
      <c r="L431" s="217">
        <f>300+100+100+100</f>
        <v>600</v>
      </c>
      <c r="M431" s="209">
        <f t="shared" si="40"/>
        <v>2000</v>
      </c>
      <c r="N431" s="220"/>
      <c r="O431" s="209" t="s">
        <v>945</v>
      </c>
      <c r="P431" s="205">
        <f t="shared" si="38"/>
        <v>8020</v>
      </c>
      <c r="Q431" s="215"/>
    </row>
    <row r="432" spans="1:17" s="105" customFormat="1" ht="15.75" x14ac:dyDescent="0.25">
      <c r="A432" s="106" t="s">
        <v>1185</v>
      </c>
      <c r="B432" s="201">
        <v>45019</v>
      </c>
      <c r="C432" s="203" t="s">
        <v>1186</v>
      </c>
      <c r="D432" s="203" t="s">
        <v>1122</v>
      </c>
      <c r="E432" s="161">
        <v>50</v>
      </c>
      <c r="F432" s="22">
        <v>66.67</v>
      </c>
      <c r="G432" s="202">
        <f>+E432*F432</f>
        <v>3333.5</v>
      </c>
      <c r="H432" s="201">
        <v>45019</v>
      </c>
      <c r="I432" s="219"/>
      <c r="J432" s="13">
        <v>66.67</v>
      </c>
      <c r="K432" s="205">
        <f t="shared" si="39"/>
        <v>0</v>
      </c>
      <c r="L432" s="217">
        <v>3</v>
      </c>
      <c r="M432" s="209">
        <f t="shared" si="40"/>
        <v>47</v>
      </c>
      <c r="N432" s="222"/>
      <c r="O432" s="217" t="s">
        <v>945</v>
      </c>
      <c r="P432" s="205">
        <f t="shared" si="38"/>
        <v>3133.4900000000002</v>
      </c>
      <c r="Q432" s="215"/>
    </row>
    <row r="433" spans="1:17" s="105" customFormat="1" ht="15.75" x14ac:dyDescent="0.25">
      <c r="A433" s="106" t="s">
        <v>1187</v>
      </c>
      <c r="B433" s="201">
        <v>45016</v>
      </c>
      <c r="C433" s="203" t="s">
        <v>1189</v>
      </c>
      <c r="D433" s="203" t="s">
        <v>1122</v>
      </c>
      <c r="E433" s="161">
        <v>8</v>
      </c>
      <c r="F433" s="22">
        <v>3371.25</v>
      </c>
      <c r="G433" s="202"/>
      <c r="H433" s="201">
        <v>45016</v>
      </c>
      <c r="I433" s="219">
        <v>8</v>
      </c>
      <c r="J433" s="130">
        <v>3371.25</v>
      </c>
      <c r="K433" s="205">
        <f t="shared" si="39"/>
        <v>26970</v>
      </c>
      <c r="L433" s="217"/>
      <c r="M433" s="209">
        <f t="shared" si="40"/>
        <v>16</v>
      </c>
      <c r="N433" s="222"/>
      <c r="O433" s="217" t="s">
        <v>945</v>
      </c>
      <c r="P433" s="205">
        <f t="shared" si="38"/>
        <v>53940</v>
      </c>
      <c r="Q433" s="215"/>
    </row>
    <row r="434" spans="1:17" s="105" customFormat="1" ht="15.75" x14ac:dyDescent="0.25">
      <c r="A434" s="106" t="s">
        <v>1188</v>
      </c>
      <c r="B434" s="201">
        <v>45016</v>
      </c>
      <c r="C434" s="203" t="s">
        <v>1191</v>
      </c>
      <c r="D434" s="203" t="s">
        <v>1122</v>
      </c>
      <c r="E434" s="161"/>
      <c r="F434" s="22">
        <v>510.94</v>
      </c>
      <c r="G434" s="202"/>
      <c r="H434" s="201">
        <v>45016</v>
      </c>
      <c r="I434" s="219">
        <v>5</v>
      </c>
      <c r="J434" s="130">
        <v>510.94</v>
      </c>
      <c r="K434" s="221">
        <f t="shared" si="39"/>
        <v>2554.6999999999998</v>
      </c>
      <c r="L434" s="217"/>
      <c r="M434" s="209">
        <f t="shared" si="40"/>
        <v>5</v>
      </c>
      <c r="N434" s="222"/>
      <c r="O434" s="217" t="s">
        <v>945</v>
      </c>
      <c r="P434" s="205">
        <f>+F434*M434</f>
        <v>2554.6999999999998</v>
      </c>
      <c r="Q434" s="215"/>
    </row>
    <row r="435" spans="1:17" s="105" customFormat="1" ht="15.75" x14ac:dyDescent="0.25">
      <c r="A435" s="106" t="s">
        <v>1197</v>
      </c>
      <c r="B435" s="201">
        <v>45016</v>
      </c>
      <c r="C435" s="203" t="s">
        <v>1192</v>
      </c>
      <c r="D435" s="203" t="s">
        <v>1122</v>
      </c>
      <c r="E435" s="161">
        <v>0</v>
      </c>
      <c r="F435" s="22">
        <v>7003.3</v>
      </c>
      <c r="G435" s="202"/>
      <c r="H435" s="201">
        <v>45016</v>
      </c>
      <c r="I435" s="219">
        <v>4</v>
      </c>
      <c r="J435" s="130">
        <v>7003.3</v>
      </c>
      <c r="K435" s="221">
        <f t="shared" si="39"/>
        <v>28013.200000000001</v>
      </c>
      <c r="L435" s="217">
        <v>4</v>
      </c>
      <c r="M435" s="209">
        <f t="shared" si="40"/>
        <v>0</v>
      </c>
      <c r="N435" s="222"/>
      <c r="O435" s="217" t="s">
        <v>945</v>
      </c>
      <c r="P435" s="205">
        <f>+F435*M435</f>
        <v>0</v>
      </c>
      <c r="Q435" s="215"/>
    </row>
    <row r="436" spans="1:17" s="105" customFormat="1" ht="15.75" x14ac:dyDescent="0.25">
      <c r="A436" s="106" t="s">
        <v>1198</v>
      </c>
      <c r="B436" s="201">
        <v>45016</v>
      </c>
      <c r="C436" s="203" t="s">
        <v>1193</v>
      </c>
      <c r="D436" s="203" t="s">
        <v>1122</v>
      </c>
      <c r="E436" s="161"/>
      <c r="F436" s="22">
        <v>55.61</v>
      </c>
      <c r="G436" s="202"/>
      <c r="H436" s="201">
        <v>45016</v>
      </c>
      <c r="I436" s="219">
        <v>80</v>
      </c>
      <c r="J436" s="130">
        <v>55.61</v>
      </c>
      <c r="K436" s="221">
        <f t="shared" si="39"/>
        <v>4448.8</v>
      </c>
      <c r="L436" s="217">
        <v>1</v>
      </c>
      <c r="M436" s="209">
        <f t="shared" si="40"/>
        <v>79</v>
      </c>
      <c r="N436" s="222"/>
      <c r="O436" s="217" t="s">
        <v>946</v>
      </c>
      <c r="P436" s="205">
        <f t="shared" si="38"/>
        <v>4393.1899999999996</v>
      </c>
      <c r="Q436" s="215"/>
    </row>
    <row r="437" spans="1:17" s="105" customFormat="1" ht="15.75" x14ac:dyDescent="0.25">
      <c r="A437" s="106" t="s">
        <v>1199</v>
      </c>
      <c r="B437" s="201">
        <v>45016</v>
      </c>
      <c r="C437" s="203" t="s">
        <v>1194</v>
      </c>
      <c r="D437" s="203" t="s">
        <v>1122</v>
      </c>
      <c r="E437" s="161"/>
      <c r="F437" s="22">
        <v>21.82</v>
      </c>
      <c r="G437" s="202"/>
      <c r="H437" s="201">
        <v>45016</v>
      </c>
      <c r="I437" s="219">
        <v>80</v>
      </c>
      <c r="J437" s="130">
        <v>21.82</v>
      </c>
      <c r="K437" s="221">
        <f t="shared" si="39"/>
        <v>1745.6</v>
      </c>
      <c r="L437" s="217"/>
      <c r="M437" s="209">
        <f t="shared" si="40"/>
        <v>80</v>
      </c>
      <c r="N437" s="222"/>
      <c r="O437" s="217" t="s">
        <v>946</v>
      </c>
      <c r="P437" s="205">
        <f t="shared" si="38"/>
        <v>1745.6</v>
      </c>
      <c r="Q437" s="215"/>
    </row>
    <row r="438" spans="1:17" s="105" customFormat="1" ht="15.75" x14ac:dyDescent="0.25">
      <c r="A438" s="106" t="s">
        <v>1200</v>
      </c>
      <c r="B438" s="201">
        <v>45016</v>
      </c>
      <c r="C438" s="203" t="s">
        <v>1195</v>
      </c>
      <c r="D438" s="203" t="s">
        <v>1122</v>
      </c>
      <c r="E438" s="161"/>
      <c r="F438" s="22">
        <v>35240.699999999997</v>
      </c>
      <c r="G438" s="202"/>
      <c r="H438" s="201">
        <v>45016</v>
      </c>
      <c r="I438" s="219">
        <v>4</v>
      </c>
      <c r="J438" s="130">
        <v>35240.699999999997</v>
      </c>
      <c r="K438" s="221">
        <f t="shared" si="39"/>
        <v>140962.79999999999</v>
      </c>
      <c r="L438" s="217">
        <v>4</v>
      </c>
      <c r="M438" s="209">
        <f t="shared" si="40"/>
        <v>0</v>
      </c>
      <c r="N438" s="222"/>
      <c r="O438" s="217" t="s">
        <v>946</v>
      </c>
      <c r="P438" s="205">
        <f t="shared" si="38"/>
        <v>0</v>
      </c>
      <c r="Q438" s="215"/>
    </row>
    <row r="439" spans="1:17" s="105" customFormat="1" ht="15.75" x14ac:dyDescent="0.25">
      <c r="A439" s="106" t="s">
        <v>1201</v>
      </c>
      <c r="B439" s="201">
        <v>45016</v>
      </c>
      <c r="C439" s="203" t="s">
        <v>1196</v>
      </c>
      <c r="D439" s="203" t="s">
        <v>1122</v>
      </c>
      <c r="E439" s="161"/>
      <c r="F439" s="22">
        <v>1770</v>
      </c>
      <c r="G439" s="210"/>
      <c r="H439" s="201">
        <v>45016</v>
      </c>
      <c r="I439" s="219">
        <v>30</v>
      </c>
      <c r="J439" s="130">
        <v>1770</v>
      </c>
      <c r="K439" s="221">
        <f t="shared" si="39"/>
        <v>53100</v>
      </c>
      <c r="L439" s="217">
        <v>30</v>
      </c>
      <c r="M439" s="217">
        <f t="shared" si="40"/>
        <v>0</v>
      </c>
      <c r="N439" s="222"/>
      <c r="O439" s="217" t="s">
        <v>947</v>
      </c>
      <c r="P439" s="221">
        <f t="shared" si="38"/>
        <v>0</v>
      </c>
      <c r="Q439" s="215"/>
    </row>
    <row r="440" spans="1:17" s="105" customFormat="1" ht="15.75" x14ac:dyDescent="0.25">
      <c r="A440" s="106" t="s">
        <v>1202</v>
      </c>
      <c r="B440" s="201"/>
      <c r="C440" s="203" t="s">
        <v>1205</v>
      </c>
      <c r="D440" s="203" t="s">
        <v>1122</v>
      </c>
      <c r="E440" s="161"/>
      <c r="F440" s="22"/>
      <c r="G440" s="210"/>
      <c r="H440" s="223"/>
      <c r="I440" s="219"/>
      <c r="J440" s="130"/>
      <c r="K440" s="221"/>
      <c r="L440" s="217">
        <v>12</v>
      </c>
      <c r="M440" s="217">
        <f t="shared" si="40"/>
        <v>-12</v>
      </c>
      <c r="N440" s="222"/>
      <c r="O440" s="217" t="s">
        <v>947</v>
      </c>
      <c r="P440" s="221"/>
      <c r="Q440" s="215"/>
    </row>
    <row r="441" spans="1:17" s="105" customFormat="1" ht="15.75" x14ac:dyDescent="0.25">
      <c r="A441" s="106" t="s">
        <v>1203</v>
      </c>
      <c r="B441" s="201"/>
      <c r="C441" s="203" t="s">
        <v>1206</v>
      </c>
      <c r="D441" s="203" t="s">
        <v>1122</v>
      </c>
      <c r="E441" s="161"/>
      <c r="F441" s="22"/>
      <c r="G441" s="210"/>
      <c r="H441" s="223"/>
      <c r="I441" s="219">
        <v>310</v>
      </c>
      <c r="J441" s="130"/>
      <c r="K441" s="221"/>
      <c r="L441" s="217">
        <v>24</v>
      </c>
      <c r="M441" s="217">
        <f t="shared" si="40"/>
        <v>286</v>
      </c>
      <c r="N441" s="222"/>
      <c r="O441" s="217" t="s">
        <v>947</v>
      </c>
      <c r="P441" s="221"/>
      <c r="Q441" s="215"/>
    </row>
    <row r="442" spans="1:17" s="105" customFormat="1" ht="15.75" x14ac:dyDescent="0.25">
      <c r="A442" s="106" t="s">
        <v>1204</v>
      </c>
      <c r="B442" s="201"/>
      <c r="C442" s="203" t="s">
        <v>1207</v>
      </c>
      <c r="D442" s="203" t="s">
        <v>1122</v>
      </c>
      <c r="E442" s="161"/>
      <c r="F442" s="22"/>
      <c r="G442" s="210"/>
      <c r="H442" s="223"/>
      <c r="I442" s="219">
        <v>101</v>
      </c>
      <c r="J442" s="130"/>
      <c r="K442" s="221"/>
      <c r="L442" s="217">
        <v>15</v>
      </c>
      <c r="M442" s="217">
        <f t="shared" si="40"/>
        <v>86</v>
      </c>
      <c r="N442" s="222"/>
      <c r="O442" s="217" t="s">
        <v>947</v>
      </c>
      <c r="P442" s="221"/>
      <c r="Q442" s="215"/>
    </row>
    <row r="443" spans="1:17" s="105" customFormat="1" ht="15.75" x14ac:dyDescent="0.25">
      <c r="A443" s="106" t="s">
        <v>1213</v>
      </c>
      <c r="B443" s="201"/>
      <c r="C443" s="203" t="s">
        <v>1208</v>
      </c>
      <c r="D443" s="203" t="s">
        <v>1122</v>
      </c>
      <c r="E443" s="161"/>
      <c r="F443" s="22"/>
      <c r="G443" s="210"/>
      <c r="H443" s="223"/>
      <c r="I443" s="219">
        <v>500</v>
      </c>
      <c r="J443" s="130"/>
      <c r="K443" s="221"/>
      <c r="L443" s="217">
        <f>15+54</f>
        <v>69</v>
      </c>
      <c r="M443" s="217">
        <f t="shared" si="40"/>
        <v>431</v>
      </c>
      <c r="N443" s="222"/>
      <c r="O443" s="217" t="s">
        <v>947</v>
      </c>
      <c r="P443" s="221"/>
      <c r="Q443" s="215"/>
    </row>
    <row r="444" spans="1:17" s="105" customFormat="1" ht="15.75" x14ac:dyDescent="0.25">
      <c r="A444" s="106" t="s">
        <v>1214</v>
      </c>
      <c r="B444" s="201"/>
      <c r="C444" s="203" t="s">
        <v>1209</v>
      </c>
      <c r="D444" s="203" t="s">
        <v>1122</v>
      </c>
      <c r="E444" s="161"/>
      <c r="F444" s="22"/>
      <c r="G444" s="210"/>
      <c r="H444" s="223"/>
      <c r="I444" s="219">
        <v>300</v>
      </c>
      <c r="J444" s="130"/>
      <c r="K444" s="221"/>
      <c r="L444" s="217">
        <v>100</v>
      </c>
      <c r="M444" s="217">
        <f>+E444+I444-L444</f>
        <v>200</v>
      </c>
      <c r="N444" s="222"/>
      <c r="O444" s="217" t="s">
        <v>947</v>
      </c>
      <c r="P444" s="221"/>
      <c r="Q444" s="215"/>
    </row>
    <row r="445" spans="1:17" s="105" customFormat="1" ht="15.75" x14ac:dyDescent="0.25">
      <c r="A445" s="106" t="s">
        <v>1215</v>
      </c>
      <c r="B445" s="201"/>
      <c r="C445" s="203" t="s">
        <v>1210</v>
      </c>
      <c r="D445" s="203" t="s">
        <v>1122</v>
      </c>
      <c r="E445" s="161"/>
      <c r="F445" s="22"/>
      <c r="G445" s="210"/>
      <c r="H445" s="223"/>
      <c r="I445" s="219">
        <v>99</v>
      </c>
      <c r="J445" s="130"/>
      <c r="K445" s="221"/>
      <c r="L445" s="217">
        <v>3</v>
      </c>
      <c r="M445" s="217">
        <f t="shared" si="40"/>
        <v>96</v>
      </c>
      <c r="N445" s="222"/>
      <c r="O445" s="217" t="s">
        <v>947</v>
      </c>
      <c r="P445" s="221"/>
      <c r="Q445" s="215"/>
    </row>
    <row r="446" spans="1:17" s="105" customFormat="1" ht="15.75" x14ac:dyDescent="0.25">
      <c r="A446" s="106" t="s">
        <v>1216</v>
      </c>
      <c r="B446" s="201"/>
      <c r="C446" s="203" t="s">
        <v>1211</v>
      </c>
      <c r="D446" s="203" t="s">
        <v>1122</v>
      </c>
      <c r="E446" s="161"/>
      <c r="F446" s="22"/>
      <c r="G446" s="210"/>
      <c r="H446" s="223"/>
      <c r="I446" s="219"/>
      <c r="J446" s="130"/>
      <c r="K446" s="221"/>
      <c r="L446" s="217">
        <v>4</v>
      </c>
      <c r="M446" s="217">
        <f t="shared" si="40"/>
        <v>-4</v>
      </c>
      <c r="N446" s="222"/>
      <c r="O446" s="217" t="s">
        <v>946</v>
      </c>
      <c r="P446" s="221"/>
      <c r="Q446" s="215"/>
    </row>
    <row r="447" spans="1:17" s="105" customFormat="1" ht="15.75" x14ac:dyDescent="0.25">
      <c r="A447" s="106" t="s">
        <v>1217</v>
      </c>
      <c r="B447" s="201"/>
      <c r="C447" s="203" t="s">
        <v>1212</v>
      </c>
      <c r="D447" s="203" t="s">
        <v>1122</v>
      </c>
      <c r="E447" s="161"/>
      <c r="F447" s="22"/>
      <c r="G447" s="210"/>
      <c r="H447" s="223"/>
      <c r="I447" s="219"/>
      <c r="J447" s="130"/>
      <c r="K447" s="221"/>
      <c r="L447" s="217">
        <v>1</v>
      </c>
      <c r="M447" s="217">
        <f t="shared" si="40"/>
        <v>-1</v>
      </c>
      <c r="N447" s="222"/>
      <c r="O447" s="217" t="s">
        <v>946</v>
      </c>
      <c r="P447" s="221"/>
      <c r="Q447" s="215"/>
    </row>
    <row r="448" spans="1:17" s="105" customFormat="1" ht="15.75" x14ac:dyDescent="0.25">
      <c r="A448" s="106" t="s">
        <v>1245</v>
      </c>
      <c r="B448" s="201"/>
      <c r="C448" s="203" t="s">
        <v>1221</v>
      </c>
      <c r="D448" s="203" t="s">
        <v>1122</v>
      </c>
      <c r="E448" s="161"/>
      <c r="F448" s="22"/>
      <c r="G448" s="210"/>
      <c r="H448" s="223"/>
      <c r="I448" s="219">
        <v>10</v>
      </c>
      <c r="J448" s="130">
        <v>361.99</v>
      </c>
      <c r="K448" s="221">
        <f t="shared" ref="K448" si="41">+J448*I448</f>
        <v>3619.9</v>
      </c>
      <c r="L448" s="217">
        <v>1</v>
      </c>
      <c r="M448" s="217">
        <f t="shared" si="40"/>
        <v>9</v>
      </c>
      <c r="N448" s="222"/>
      <c r="O448" s="217" t="s">
        <v>945</v>
      </c>
      <c r="P448" s="221"/>
      <c r="Q448" s="215"/>
    </row>
    <row r="449" spans="1:17" s="105" customFormat="1" ht="15.75" x14ac:dyDescent="0.25">
      <c r="A449" s="106" t="s">
        <v>1246</v>
      </c>
      <c r="B449" s="201"/>
      <c r="C449" s="203" t="s">
        <v>1225</v>
      </c>
      <c r="D449" s="203" t="s">
        <v>1122</v>
      </c>
      <c r="E449" s="161"/>
      <c r="F449" s="22"/>
      <c r="G449" s="210"/>
      <c r="H449" s="223"/>
      <c r="I449" s="219">
        <v>6</v>
      </c>
      <c r="J449" s="130"/>
      <c r="K449" s="221"/>
      <c r="L449" s="217"/>
      <c r="M449" s="217">
        <f t="shared" si="40"/>
        <v>6</v>
      </c>
      <c r="N449" s="222"/>
      <c r="O449" s="217" t="s">
        <v>947</v>
      </c>
      <c r="P449" s="221"/>
      <c r="Q449" s="215"/>
    </row>
    <row r="450" spans="1:17" s="105" customFormat="1" ht="15.75" x14ac:dyDescent="0.25">
      <c r="A450" s="106" t="s">
        <v>1247</v>
      </c>
      <c r="B450" s="201">
        <v>45042</v>
      </c>
      <c r="C450" s="203" t="s">
        <v>1226</v>
      </c>
      <c r="D450" s="203" t="s">
        <v>1122</v>
      </c>
      <c r="E450" s="161">
        <f>12*4</f>
        <v>48</v>
      </c>
      <c r="F450" s="22"/>
      <c r="G450" s="210"/>
      <c r="H450" s="211">
        <v>45042</v>
      </c>
      <c r="I450" s="219"/>
      <c r="J450" s="130"/>
      <c r="K450" s="221"/>
      <c r="L450" s="217">
        <f>48-33+1</f>
        <v>16</v>
      </c>
      <c r="M450" s="217">
        <f t="shared" si="40"/>
        <v>32</v>
      </c>
      <c r="N450" s="222"/>
      <c r="O450" s="217" t="s">
        <v>947</v>
      </c>
      <c r="P450" s="221"/>
      <c r="Q450" s="215"/>
    </row>
    <row r="451" spans="1:17" s="105" customFormat="1" ht="15.75" x14ac:dyDescent="0.25">
      <c r="A451" s="106" t="s">
        <v>1248</v>
      </c>
      <c r="B451" s="201">
        <v>45042</v>
      </c>
      <c r="C451" s="203" t="s">
        <v>1227</v>
      </c>
      <c r="D451" s="203" t="s">
        <v>1122</v>
      </c>
      <c r="E451" s="161">
        <v>10</v>
      </c>
      <c r="F451" s="22">
        <v>38.29</v>
      </c>
      <c r="G451" s="210"/>
      <c r="H451" s="211">
        <v>45042</v>
      </c>
      <c r="I451" s="219">
        <v>10</v>
      </c>
      <c r="J451" s="130">
        <v>38.29</v>
      </c>
      <c r="K451" s="221">
        <f t="shared" ref="K451" si="42">+J451*I451</f>
        <v>382.9</v>
      </c>
      <c r="L451" s="217"/>
      <c r="M451" s="217">
        <f t="shared" si="40"/>
        <v>20</v>
      </c>
      <c r="N451" s="222"/>
      <c r="O451" s="217" t="s">
        <v>947</v>
      </c>
      <c r="P451" s="205">
        <f>+F451*M451</f>
        <v>765.8</v>
      </c>
      <c r="Q451" s="215"/>
    </row>
    <row r="452" spans="1:17" s="105" customFormat="1" ht="15.75" x14ac:dyDescent="0.25">
      <c r="A452" s="106" t="s">
        <v>1249</v>
      </c>
      <c r="B452" s="201"/>
      <c r="C452" s="203" t="s">
        <v>1229</v>
      </c>
      <c r="D452" s="203" t="s">
        <v>1122</v>
      </c>
      <c r="E452" s="161"/>
      <c r="F452" s="22"/>
      <c r="G452" s="210"/>
      <c r="H452" s="211"/>
      <c r="I452" s="219">
        <v>100</v>
      </c>
      <c r="J452" s="130"/>
      <c r="K452" s="221"/>
      <c r="L452" s="217">
        <v>50</v>
      </c>
      <c r="M452" s="217">
        <f t="shared" si="40"/>
        <v>50</v>
      </c>
      <c r="N452" s="222"/>
      <c r="O452" s="217" t="s">
        <v>947</v>
      </c>
      <c r="P452" s="205">
        <f t="shared" ref="P452:P475" si="43">+F452*M452</f>
        <v>0</v>
      </c>
      <c r="Q452" s="215"/>
    </row>
    <row r="453" spans="1:17" s="105" customFormat="1" ht="15.75" x14ac:dyDescent="0.25">
      <c r="A453" s="106" t="s">
        <v>1250</v>
      </c>
      <c r="B453" s="201"/>
      <c r="C453" s="203" t="s">
        <v>1230</v>
      </c>
      <c r="D453" s="203" t="s">
        <v>1122</v>
      </c>
      <c r="E453" s="161"/>
      <c r="F453" s="22">
        <v>71.650000000000006</v>
      </c>
      <c r="G453" s="210"/>
      <c r="H453" s="211"/>
      <c r="I453" s="219">
        <v>10</v>
      </c>
      <c r="J453" s="130">
        <v>71.650000000000006</v>
      </c>
      <c r="K453" s="205">
        <f t="shared" ref="K453:K474" si="44">+J453*I453</f>
        <v>716.5</v>
      </c>
      <c r="L453" s="217">
        <v>1</v>
      </c>
      <c r="M453" s="217">
        <f t="shared" si="40"/>
        <v>9</v>
      </c>
      <c r="N453" s="222"/>
      <c r="O453" s="217" t="s">
        <v>947</v>
      </c>
      <c r="P453" s="205">
        <f t="shared" si="43"/>
        <v>644.85</v>
      </c>
      <c r="Q453" s="215"/>
    </row>
    <row r="454" spans="1:17" s="105" customFormat="1" ht="15.75" x14ac:dyDescent="0.25">
      <c r="A454" s="106" t="s">
        <v>1251</v>
      </c>
      <c r="B454" s="201"/>
      <c r="C454" s="203" t="s">
        <v>1231</v>
      </c>
      <c r="D454" s="203" t="s">
        <v>1232</v>
      </c>
      <c r="E454" s="161"/>
      <c r="F454" s="22"/>
      <c r="G454" s="210"/>
      <c r="H454" s="211"/>
      <c r="I454" s="219">
        <v>13</v>
      </c>
      <c r="J454" s="130"/>
      <c r="K454" s="205">
        <f t="shared" si="44"/>
        <v>0</v>
      </c>
      <c r="L454" s="217"/>
      <c r="M454" s="217">
        <f t="shared" si="40"/>
        <v>13</v>
      </c>
      <c r="N454" s="222"/>
      <c r="O454" s="217" t="s">
        <v>947</v>
      </c>
      <c r="P454" s="205">
        <f t="shared" si="43"/>
        <v>0</v>
      </c>
      <c r="Q454" s="215"/>
    </row>
    <row r="455" spans="1:17" s="105" customFormat="1" ht="15.75" x14ac:dyDescent="0.25">
      <c r="A455" s="106" t="s">
        <v>1252</v>
      </c>
      <c r="B455" s="201">
        <v>44193</v>
      </c>
      <c r="C455" s="203" t="s">
        <v>1233</v>
      </c>
      <c r="D455" s="203" t="s">
        <v>1122</v>
      </c>
      <c r="E455" s="161"/>
      <c r="F455" s="22"/>
      <c r="G455" s="210"/>
      <c r="H455" s="201">
        <v>44193</v>
      </c>
      <c r="I455" s="219">
        <v>186</v>
      </c>
      <c r="J455" s="130"/>
      <c r="K455" s="205">
        <f t="shared" si="44"/>
        <v>0</v>
      </c>
      <c r="L455" s="217"/>
      <c r="M455" s="217">
        <f t="shared" si="40"/>
        <v>186</v>
      </c>
      <c r="N455" s="222"/>
      <c r="O455" s="217" t="s">
        <v>947</v>
      </c>
      <c r="P455" s="205">
        <f t="shared" si="43"/>
        <v>0</v>
      </c>
      <c r="Q455" s="215"/>
    </row>
    <row r="456" spans="1:17" s="105" customFormat="1" ht="15.75" x14ac:dyDescent="0.25">
      <c r="A456" s="106" t="s">
        <v>1253</v>
      </c>
      <c r="B456" s="201"/>
      <c r="C456" s="203" t="s">
        <v>1234</v>
      </c>
      <c r="D456" s="203" t="s">
        <v>1122</v>
      </c>
      <c r="E456" s="161"/>
      <c r="F456" s="22"/>
      <c r="G456" s="210"/>
      <c r="H456" s="211"/>
      <c r="I456" s="219">
        <v>2</v>
      </c>
      <c r="J456" s="130"/>
      <c r="K456" s="205">
        <f t="shared" si="44"/>
        <v>0</v>
      </c>
      <c r="L456" s="217">
        <v>2</v>
      </c>
      <c r="M456" s="217">
        <f t="shared" si="40"/>
        <v>0</v>
      </c>
      <c r="N456" s="222"/>
      <c r="O456" s="217" t="s">
        <v>947</v>
      </c>
      <c r="P456" s="205">
        <f t="shared" si="43"/>
        <v>0</v>
      </c>
      <c r="Q456" s="215"/>
    </row>
    <row r="457" spans="1:17" s="105" customFormat="1" ht="15.75" x14ac:dyDescent="0.25">
      <c r="A457" s="106" t="s">
        <v>1254</v>
      </c>
      <c r="B457" s="201"/>
      <c r="C457" s="203" t="s">
        <v>1235</v>
      </c>
      <c r="D457" s="203" t="s">
        <v>1122</v>
      </c>
      <c r="E457" s="161"/>
      <c r="F457" s="22"/>
      <c r="G457" s="210"/>
      <c r="H457" s="223"/>
      <c r="I457" s="219">
        <v>3</v>
      </c>
      <c r="J457" s="130"/>
      <c r="K457" s="205">
        <f t="shared" si="44"/>
        <v>0</v>
      </c>
      <c r="L457" s="217">
        <v>2</v>
      </c>
      <c r="M457" s="217">
        <f t="shared" si="40"/>
        <v>1</v>
      </c>
      <c r="N457" s="222"/>
      <c r="O457" s="217" t="s">
        <v>947</v>
      </c>
      <c r="P457" s="205">
        <f t="shared" si="43"/>
        <v>0</v>
      </c>
      <c r="Q457" s="215"/>
    </row>
    <row r="458" spans="1:17" s="105" customFormat="1" ht="15.75" x14ac:dyDescent="0.25">
      <c r="A458" s="106" t="s">
        <v>1255</v>
      </c>
      <c r="B458" s="201"/>
      <c r="C458" s="203" t="s">
        <v>1236</v>
      </c>
      <c r="D458" s="203" t="s">
        <v>1122</v>
      </c>
      <c r="E458" s="161"/>
      <c r="F458" s="22"/>
      <c r="G458" s="210"/>
      <c r="H458" s="223"/>
      <c r="I458" s="219">
        <v>2</v>
      </c>
      <c r="J458" s="130"/>
      <c r="K458" s="205">
        <f t="shared" si="44"/>
        <v>0</v>
      </c>
      <c r="L458" s="217">
        <v>2</v>
      </c>
      <c r="M458" s="217">
        <f t="shared" si="40"/>
        <v>0</v>
      </c>
      <c r="N458" s="222"/>
      <c r="O458" s="217" t="s">
        <v>947</v>
      </c>
      <c r="P458" s="205">
        <f t="shared" si="43"/>
        <v>0</v>
      </c>
      <c r="Q458" s="215"/>
    </row>
    <row r="459" spans="1:17" s="105" customFormat="1" ht="15.75" x14ac:dyDescent="0.25">
      <c r="A459" s="106" t="s">
        <v>1256</v>
      </c>
      <c r="B459" s="201"/>
      <c r="C459" s="203" t="s">
        <v>1237</v>
      </c>
      <c r="D459" s="203" t="s">
        <v>1122</v>
      </c>
      <c r="E459" s="161"/>
      <c r="F459" s="22"/>
      <c r="G459" s="210"/>
      <c r="H459" s="223"/>
      <c r="I459" s="219">
        <v>405</v>
      </c>
      <c r="J459" s="130"/>
      <c r="K459" s="205">
        <f t="shared" si="44"/>
        <v>0</v>
      </c>
      <c r="L459" s="217"/>
      <c r="M459" s="217">
        <f t="shared" si="40"/>
        <v>405</v>
      </c>
      <c r="N459" s="222"/>
      <c r="O459" s="217" t="s">
        <v>947</v>
      </c>
      <c r="P459" s="205">
        <f t="shared" si="43"/>
        <v>0</v>
      </c>
      <c r="Q459" s="215"/>
    </row>
    <row r="460" spans="1:17" s="105" customFormat="1" ht="15.75" x14ac:dyDescent="0.25">
      <c r="A460" s="106" t="s">
        <v>1257</v>
      </c>
      <c r="B460" s="201"/>
      <c r="C460" s="203" t="s">
        <v>1238</v>
      </c>
      <c r="D460" s="203" t="s">
        <v>1232</v>
      </c>
      <c r="E460" s="161"/>
      <c r="F460" s="22"/>
      <c r="G460" s="210"/>
      <c r="H460" s="223"/>
      <c r="I460" s="219">
        <v>3</v>
      </c>
      <c r="J460" s="130"/>
      <c r="K460" s="205">
        <f t="shared" si="44"/>
        <v>0</v>
      </c>
      <c r="L460" s="217"/>
      <c r="M460" s="217">
        <f t="shared" si="40"/>
        <v>3</v>
      </c>
      <c r="N460" s="222"/>
      <c r="O460" s="217" t="s">
        <v>947</v>
      </c>
      <c r="P460" s="205">
        <f t="shared" si="43"/>
        <v>0</v>
      </c>
      <c r="Q460" s="215"/>
    </row>
    <row r="461" spans="1:17" s="105" customFormat="1" ht="15.75" x14ac:dyDescent="0.25">
      <c r="A461" s="106" t="s">
        <v>1258</v>
      </c>
      <c r="B461" s="201">
        <v>45042</v>
      </c>
      <c r="C461" s="203" t="s">
        <v>1242</v>
      </c>
      <c r="D461" s="203" t="s">
        <v>1122</v>
      </c>
      <c r="E461" s="161"/>
      <c r="F461" s="22">
        <v>355.33</v>
      </c>
      <c r="G461" s="210"/>
      <c r="H461" s="223">
        <v>45042</v>
      </c>
      <c r="I461" s="219">
        <v>10</v>
      </c>
      <c r="J461" s="130">
        <v>355.33</v>
      </c>
      <c r="K461" s="205">
        <f t="shared" si="44"/>
        <v>3553.2999999999997</v>
      </c>
      <c r="L461" s="217">
        <f>2+1</f>
        <v>3</v>
      </c>
      <c r="M461" s="217">
        <f t="shared" si="40"/>
        <v>7</v>
      </c>
      <c r="N461" s="222"/>
      <c r="O461" s="217" t="s">
        <v>947</v>
      </c>
      <c r="P461" s="205">
        <f>+F461*M461</f>
        <v>2487.31</v>
      </c>
      <c r="Q461" s="215"/>
    </row>
    <row r="462" spans="1:17" s="105" customFormat="1" ht="15.75" x14ac:dyDescent="0.25">
      <c r="A462" s="106" t="s">
        <v>1259</v>
      </c>
      <c r="B462" s="201">
        <v>45042</v>
      </c>
      <c r="C462" s="203" t="s">
        <v>1243</v>
      </c>
      <c r="D462" s="203" t="s">
        <v>1122</v>
      </c>
      <c r="E462" s="161"/>
      <c r="F462" s="22">
        <v>24.95</v>
      </c>
      <c r="G462" s="210"/>
      <c r="H462" s="223">
        <v>45042</v>
      </c>
      <c r="I462" s="219">
        <v>28</v>
      </c>
      <c r="J462" s="130">
        <v>24.95</v>
      </c>
      <c r="K462" s="205">
        <f t="shared" si="44"/>
        <v>698.6</v>
      </c>
      <c r="L462" s="217">
        <v>3</v>
      </c>
      <c r="M462" s="217">
        <f t="shared" si="40"/>
        <v>25</v>
      </c>
      <c r="N462" s="222"/>
      <c r="O462" s="217" t="s">
        <v>947</v>
      </c>
      <c r="P462" s="205">
        <f t="shared" si="43"/>
        <v>623.75</v>
      </c>
      <c r="Q462" s="215"/>
    </row>
    <row r="463" spans="1:17" s="105" customFormat="1" ht="15.75" x14ac:dyDescent="0.25">
      <c r="A463" s="106" t="s">
        <v>1260</v>
      </c>
      <c r="B463" s="201">
        <v>45042</v>
      </c>
      <c r="C463" s="203" t="s">
        <v>1270</v>
      </c>
      <c r="D463" s="203" t="s">
        <v>1122</v>
      </c>
      <c r="E463" s="161"/>
      <c r="F463" s="22">
        <v>29</v>
      </c>
      <c r="G463" s="210"/>
      <c r="H463" s="223">
        <v>45042</v>
      </c>
      <c r="I463" s="219">
        <v>15</v>
      </c>
      <c r="J463" s="130">
        <v>29</v>
      </c>
      <c r="K463" s="205">
        <f t="shared" si="44"/>
        <v>435</v>
      </c>
      <c r="L463" s="217">
        <v>8</v>
      </c>
      <c r="M463" s="217">
        <f t="shared" si="40"/>
        <v>7</v>
      </c>
      <c r="N463" s="222"/>
      <c r="O463" s="217" t="s">
        <v>947</v>
      </c>
      <c r="P463" s="205">
        <f t="shared" si="43"/>
        <v>203</v>
      </c>
      <c r="Q463" s="215"/>
    </row>
    <row r="464" spans="1:17" s="105" customFormat="1" ht="15.75" x14ac:dyDescent="0.25">
      <c r="A464" s="106" t="s">
        <v>1261</v>
      </c>
      <c r="B464" s="201">
        <v>45042</v>
      </c>
      <c r="C464" s="203" t="s">
        <v>1244</v>
      </c>
      <c r="D464" s="203" t="s">
        <v>1122</v>
      </c>
      <c r="E464" s="161"/>
      <c r="F464" s="22">
        <v>17</v>
      </c>
      <c r="G464" s="210"/>
      <c r="H464" s="223">
        <v>45042</v>
      </c>
      <c r="I464" s="219">
        <v>36</v>
      </c>
      <c r="J464" s="130">
        <v>17</v>
      </c>
      <c r="K464" s="205">
        <f t="shared" si="44"/>
        <v>612</v>
      </c>
      <c r="L464" s="217"/>
      <c r="M464" s="217">
        <f t="shared" si="40"/>
        <v>36</v>
      </c>
      <c r="N464" s="222"/>
      <c r="O464" s="217" t="s">
        <v>947</v>
      </c>
      <c r="P464" s="205">
        <f t="shared" si="43"/>
        <v>612</v>
      </c>
      <c r="Q464" s="215"/>
    </row>
    <row r="465" spans="1:17" s="105" customFormat="1" ht="15.75" x14ac:dyDescent="0.25">
      <c r="A465" s="106" t="s">
        <v>1266</v>
      </c>
      <c r="B465" s="201">
        <v>45042</v>
      </c>
      <c r="C465" s="203" t="s">
        <v>1262</v>
      </c>
      <c r="D465" s="203" t="s">
        <v>1122</v>
      </c>
      <c r="E465" s="161"/>
      <c r="F465" s="22">
        <v>4204</v>
      </c>
      <c r="G465" s="210"/>
      <c r="H465" s="223">
        <v>45042</v>
      </c>
      <c r="I465" s="219">
        <v>2</v>
      </c>
      <c r="J465" s="130">
        <v>4204</v>
      </c>
      <c r="K465" s="205">
        <f t="shared" si="44"/>
        <v>8408</v>
      </c>
      <c r="L465" s="217"/>
      <c r="M465" s="217">
        <f t="shared" si="40"/>
        <v>2</v>
      </c>
      <c r="N465" s="222"/>
      <c r="O465" s="217" t="s">
        <v>947</v>
      </c>
      <c r="P465" s="205">
        <f t="shared" si="43"/>
        <v>8408</v>
      </c>
      <c r="Q465" s="215"/>
    </row>
    <row r="466" spans="1:17" s="105" customFormat="1" ht="15.75" x14ac:dyDescent="0.25">
      <c r="A466" s="106" t="s">
        <v>1267</v>
      </c>
      <c r="B466" s="201">
        <v>45042</v>
      </c>
      <c r="C466" s="203" t="s">
        <v>1263</v>
      </c>
      <c r="D466" s="203" t="s">
        <v>1122</v>
      </c>
      <c r="E466" s="161"/>
      <c r="F466" s="22">
        <v>4917.0600000000004</v>
      </c>
      <c r="G466" s="210"/>
      <c r="H466" s="223">
        <v>45042</v>
      </c>
      <c r="I466" s="219">
        <v>2</v>
      </c>
      <c r="J466" s="130">
        <v>4917.0600000000004</v>
      </c>
      <c r="K466" s="205">
        <f t="shared" si="44"/>
        <v>9834.1200000000008</v>
      </c>
      <c r="L466" s="217"/>
      <c r="M466" s="217">
        <f t="shared" si="40"/>
        <v>2</v>
      </c>
      <c r="N466" s="222"/>
      <c r="O466" s="217" t="s">
        <v>947</v>
      </c>
      <c r="P466" s="205">
        <f t="shared" si="43"/>
        <v>9834.1200000000008</v>
      </c>
      <c r="Q466" s="215"/>
    </row>
    <row r="467" spans="1:17" s="105" customFormat="1" ht="15.75" x14ac:dyDescent="0.25">
      <c r="A467" s="106" t="s">
        <v>1268</v>
      </c>
      <c r="B467" s="201">
        <v>45042</v>
      </c>
      <c r="C467" s="203" t="s">
        <v>1264</v>
      </c>
      <c r="D467" s="203" t="s">
        <v>1122</v>
      </c>
      <c r="E467" s="161"/>
      <c r="F467" s="22">
        <v>4917.0600000000004</v>
      </c>
      <c r="G467" s="210"/>
      <c r="H467" s="223">
        <v>45042</v>
      </c>
      <c r="I467" s="219">
        <v>2</v>
      </c>
      <c r="J467" s="130">
        <v>4917.0600000000004</v>
      </c>
      <c r="K467" s="205">
        <f t="shared" si="44"/>
        <v>9834.1200000000008</v>
      </c>
      <c r="L467" s="217"/>
      <c r="M467" s="217">
        <f t="shared" si="40"/>
        <v>2</v>
      </c>
      <c r="N467" s="222"/>
      <c r="O467" s="217" t="s">
        <v>947</v>
      </c>
      <c r="P467" s="205">
        <f t="shared" si="43"/>
        <v>9834.1200000000008</v>
      </c>
      <c r="Q467" s="215"/>
    </row>
    <row r="468" spans="1:17" s="105" customFormat="1" ht="15.75" x14ac:dyDescent="0.25">
      <c r="A468" s="106" t="s">
        <v>1269</v>
      </c>
      <c r="B468" s="201">
        <v>45042</v>
      </c>
      <c r="C468" s="203" t="s">
        <v>1265</v>
      </c>
      <c r="D468" s="203" t="s">
        <v>1122</v>
      </c>
      <c r="E468" s="161"/>
      <c r="F468" s="22">
        <v>4917.0600000000004</v>
      </c>
      <c r="G468" s="210"/>
      <c r="H468" s="223">
        <v>45042</v>
      </c>
      <c r="I468" s="219">
        <v>2</v>
      </c>
      <c r="J468" s="130">
        <v>4917.0600000000004</v>
      </c>
      <c r="K468" s="205">
        <f t="shared" si="44"/>
        <v>9834.1200000000008</v>
      </c>
      <c r="L468" s="217"/>
      <c r="M468" s="217">
        <f t="shared" si="40"/>
        <v>2</v>
      </c>
      <c r="N468" s="222"/>
      <c r="O468" s="217" t="s">
        <v>947</v>
      </c>
      <c r="P468" s="205">
        <f t="shared" si="43"/>
        <v>9834.1200000000008</v>
      </c>
      <c r="Q468" s="215"/>
    </row>
    <row r="469" spans="1:17" s="105" customFormat="1" ht="15.75" x14ac:dyDescent="0.25">
      <c r="A469" s="106" t="s">
        <v>1272</v>
      </c>
      <c r="B469" s="201">
        <v>45051</v>
      </c>
      <c r="C469" s="203" t="s">
        <v>1271</v>
      </c>
      <c r="D469" s="203" t="s">
        <v>1122</v>
      </c>
      <c r="E469" s="161"/>
      <c r="F469" s="22">
        <v>1298</v>
      </c>
      <c r="G469" s="210"/>
      <c r="H469" s="223">
        <v>45051</v>
      </c>
      <c r="I469" s="219">
        <v>3</v>
      </c>
      <c r="J469" s="130">
        <v>1298</v>
      </c>
      <c r="K469" s="221">
        <f t="shared" si="44"/>
        <v>3894</v>
      </c>
      <c r="L469" s="217">
        <v>3</v>
      </c>
      <c r="M469" s="217">
        <f t="shared" si="40"/>
        <v>0</v>
      </c>
      <c r="N469" s="222"/>
      <c r="O469" s="217" t="s">
        <v>947</v>
      </c>
      <c r="P469" s="205">
        <f t="shared" si="43"/>
        <v>0</v>
      </c>
      <c r="Q469" s="215"/>
    </row>
    <row r="470" spans="1:17" s="105" customFormat="1" ht="15.75" x14ac:dyDescent="0.25">
      <c r="A470" s="106" t="s">
        <v>1273</v>
      </c>
      <c r="B470" s="201">
        <v>45111</v>
      </c>
      <c r="C470" s="203" t="s">
        <v>1279</v>
      </c>
      <c r="D470" s="203" t="s">
        <v>1122</v>
      </c>
      <c r="E470" s="161"/>
      <c r="F470" s="22">
        <v>5099.96</v>
      </c>
      <c r="G470" s="210"/>
      <c r="H470" s="223"/>
      <c r="I470" s="219">
        <v>4</v>
      </c>
      <c r="J470" s="22">
        <v>5099.96</v>
      </c>
      <c r="K470" s="221">
        <f t="shared" si="44"/>
        <v>20399.84</v>
      </c>
      <c r="L470" s="217"/>
      <c r="M470" s="217">
        <f t="shared" si="40"/>
        <v>4</v>
      </c>
      <c r="N470" s="222"/>
      <c r="O470" s="217"/>
      <c r="P470" s="205">
        <f t="shared" si="43"/>
        <v>20399.84</v>
      </c>
      <c r="Q470" s="215"/>
    </row>
    <row r="471" spans="1:17" s="105" customFormat="1" ht="15.75" x14ac:dyDescent="0.25">
      <c r="A471" s="106" t="s">
        <v>1274</v>
      </c>
      <c r="B471" s="201">
        <v>45111</v>
      </c>
      <c r="C471" s="203" t="s">
        <v>1280</v>
      </c>
      <c r="D471" s="203" t="s">
        <v>1122</v>
      </c>
      <c r="E471" s="161"/>
      <c r="F471" s="22">
        <v>462.01</v>
      </c>
      <c r="G471" s="210"/>
      <c r="H471" s="223">
        <v>45111</v>
      </c>
      <c r="I471" s="219">
        <v>15</v>
      </c>
      <c r="J471" s="130">
        <v>462.01</v>
      </c>
      <c r="K471" s="221">
        <f t="shared" si="44"/>
        <v>6930.15</v>
      </c>
      <c r="L471" s="217"/>
      <c r="M471" s="217">
        <f t="shared" si="40"/>
        <v>15</v>
      </c>
      <c r="N471" s="222"/>
      <c r="O471" s="217"/>
      <c r="P471" s="205">
        <f t="shared" si="43"/>
        <v>6930.15</v>
      </c>
      <c r="Q471" s="215"/>
    </row>
    <row r="472" spans="1:17" s="105" customFormat="1" ht="15.75" x14ac:dyDescent="0.25">
      <c r="A472" s="106" t="s">
        <v>1275</v>
      </c>
      <c r="B472" s="201">
        <v>45111</v>
      </c>
      <c r="C472" s="203" t="s">
        <v>1281</v>
      </c>
      <c r="D472" s="203" t="s">
        <v>1122</v>
      </c>
      <c r="E472" s="161"/>
      <c r="F472" s="22">
        <v>1365</v>
      </c>
      <c r="G472" s="210"/>
      <c r="H472" s="223">
        <v>45111</v>
      </c>
      <c r="I472" s="219">
        <v>4</v>
      </c>
      <c r="J472" s="130">
        <v>1365</v>
      </c>
      <c r="K472" s="221">
        <f t="shared" si="44"/>
        <v>5460</v>
      </c>
      <c r="L472" s="217"/>
      <c r="M472" s="217">
        <f t="shared" si="40"/>
        <v>4</v>
      </c>
      <c r="N472" s="222"/>
      <c r="O472" s="217"/>
      <c r="P472" s="205">
        <f t="shared" si="43"/>
        <v>5460</v>
      </c>
      <c r="Q472" s="215"/>
    </row>
    <row r="473" spans="1:17" s="105" customFormat="1" ht="15.75" x14ac:dyDescent="0.25">
      <c r="A473" s="106" t="s">
        <v>1276</v>
      </c>
      <c r="B473" s="201">
        <v>45180</v>
      </c>
      <c r="C473" s="203" t="s">
        <v>1286</v>
      </c>
      <c r="D473" s="203" t="s">
        <v>1122</v>
      </c>
      <c r="E473" s="161"/>
      <c r="F473" s="22">
        <v>1559.96</v>
      </c>
      <c r="G473" s="210"/>
      <c r="H473" s="223">
        <v>45180</v>
      </c>
      <c r="I473" s="219">
        <v>14</v>
      </c>
      <c r="J473" s="130">
        <v>1559.96</v>
      </c>
      <c r="K473" s="205">
        <f t="shared" si="44"/>
        <v>21839.440000000002</v>
      </c>
      <c r="L473" s="217">
        <v>14</v>
      </c>
      <c r="M473" s="217">
        <f t="shared" si="40"/>
        <v>0</v>
      </c>
      <c r="N473" s="222"/>
      <c r="O473" s="217"/>
      <c r="P473" s="205">
        <f t="shared" si="43"/>
        <v>0</v>
      </c>
      <c r="Q473" s="215"/>
    </row>
    <row r="474" spans="1:17" s="105" customFormat="1" ht="15.75" x14ac:dyDescent="0.25">
      <c r="A474" s="106" t="s">
        <v>1287</v>
      </c>
      <c r="B474" s="201">
        <v>45180</v>
      </c>
      <c r="C474" s="203" t="s">
        <v>1290</v>
      </c>
      <c r="D474" s="203" t="s">
        <v>1122</v>
      </c>
      <c r="E474" s="161"/>
      <c r="F474" s="22">
        <v>3211.96</v>
      </c>
      <c r="G474" s="210"/>
      <c r="H474" s="223">
        <v>45088</v>
      </c>
      <c r="I474" s="224">
        <v>50</v>
      </c>
      <c r="J474" s="130">
        <v>3211.96</v>
      </c>
      <c r="K474" s="221">
        <f t="shared" si="44"/>
        <v>160598</v>
      </c>
      <c r="L474" s="217">
        <v>50</v>
      </c>
      <c r="M474" s="225">
        <f>+E474+I474-L474</f>
        <v>0</v>
      </c>
      <c r="N474" s="222"/>
      <c r="O474" s="217"/>
      <c r="P474" s="205">
        <f t="shared" si="43"/>
        <v>0</v>
      </c>
      <c r="Q474" s="215"/>
    </row>
    <row r="475" spans="1:17" s="105" customFormat="1" ht="13.5" customHeight="1" x14ac:dyDescent="0.25">
      <c r="A475" s="106" t="s">
        <v>1288</v>
      </c>
      <c r="B475" s="201"/>
      <c r="C475" s="203"/>
      <c r="D475" s="203"/>
      <c r="E475" s="161"/>
      <c r="F475" s="22"/>
      <c r="G475" s="210"/>
      <c r="H475" s="223"/>
      <c r="I475" s="224"/>
      <c r="J475" s="130"/>
      <c r="K475" s="221"/>
      <c r="L475" s="217"/>
      <c r="M475" s="217">
        <f t="shared" si="40"/>
        <v>0</v>
      </c>
      <c r="N475" s="222"/>
      <c r="O475" s="217"/>
      <c r="P475" s="205">
        <f t="shared" si="43"/>
        <v>0</v>
      </c>
      <c r="Q475" s="215"/>
    </row>
    <row r="476" spans="1:17" s="105" customFormat="1" ht="15.75" x14ac:dyDescent="0.25">
      <c r="A476" s="106" t="s">
        <v>1289</v>
      </c>
      <c r="B476" s="201"/>
      <c r="C476" s="203"/>
      <c r="D476" s="203"/>
      <c r="E476" s="161"/>
      <c r="F476" s="22"/>
      <c r="G476" s="210"/>
      <c r="H476" s="223"/>
      <c r="I476" s="224"/>
      <c r="J476" s="130"/>
      <c r="K476" s="221"/>
      <c r="L476" s="217"/>
      <c r="M476" s="217">
        <f t="shared" si="40"/>
        <v>0</v>
      </c>
      <c r="N476" s="222"/>
      <c r="O476" s="217"/>
      <c r="P476" s="221"/>
      <c r="Q476" s="215"/>
    </row>
    <row r="477" spans="1:17" x14ac:dyDescent="0.3">
      <c r="A477" s="226" t="s">
        <v>98</v>
      </c>
      <c r="B477" s="253"/>
      <c r="C477" s="254"/>
      <c r="D477" s="254"/>
      <c r="E477" s="254"/>
      <c r="F477" s="255"/>
      <c r="G477" s="227">
        <f>SUM(G8:G378)</f>
        <v>1733267.7903600002</v>
      </c>
      <c r="H477" s="227"/>
      <c r="I477" s="227"/>
      <c r="J477" s="227">
        <f>SUM(J8:J449)</f>
        <v>327484.03666666662</v>
      </c>
      <c r="K477" s="227">
        <f>SUM(K8:K449)</f>
        <v>2706028.4948000005</v>
      </c>
      <c r="L477" s="227">
        <f>SUM(L8:L449)</f>
        <v>22191</v>
      </c>
      <c r="M477" s="227">
        <f>SUM(M8:M457)</f>
        <v>22759.559999999998</v>
      </c>
      <c r="N477" s="227"/>
      <c r="O477" s="227"/>
      <c r="P477" s="227">
        <f>SUM(P8:P476)</f>
        <v>3783141.7815300035</v>
      </c>
    </row>
    <row r="478" spans="1:17" x14ac:dyDescent="0.3">
      <c r="A478" s="231"/>
      <c r="B478" s="232"/>
      <c r="C478" s="232"/>
      <c r="D478" s="232"/>
      <c r="E478" s="232"/>
      <c r="F478" s="232"/>
      <c r="G478" s="233"/>
      <c r="H478" s="233"/>
      <c r="I478" s="233"/>
      <c r="J478" s="233"/>
      <c r="K478" s="233"/>
      <c r="L478" s="233"/>
      <c r="M478" s="233"/>
      <c r="N478" s="233"/>
      <c r="O478" s="233"/>
      <c r="P478" s="233"/>
    </row>
    <row r="479" spans="1:17" x14ac:dyDescent="0.3">
      <c r="A479" s="197" t="s">
        <v>7</v>
      </c>
      <c r="C479" s="96"/>
      <c r="D479" s="96"/>
    </row>
    <row r="480" spans="1:17" x14ac:dyDescent="0.3">
      <c r="C480" s="96"/>
      <c r="D480" s="96"/>
    </row>
    <row r="481" spans="1:4" x14ac:dyDescent="0.3">
      <c r="B481" s="197" t="s">
        <v>531</v>
      </c>
      <c r="C481" s="96"/>
      <c r="D481" s="96"/>
    </row>
    <row r="482" spans="1:4" x14ac:dyDescent="0.3">
      <c r="C482" s="96"/>
      <c r="D482" s="96"/>
    </row>
    <row r="483" spans="1:4" x14ac:dyDescent="0.3">
      <c r="A483" s="228" t="s">
        <v>5</v>
      </c>
      <c r="C483" s="96"/>
      <c r="D483" s="96"/>
    </row>
    <row r="484" spans="1:4" x14ac:dyDescent="0.3">
      <c r="C484" s="96"/>
      <c r="D484" s="96"/>
    </row>
    <row r="485" spans="1:4" x14ac:dyDescent="0.3">
      <c r="A485" s="228"/>
      <c r="C485" s="96"/>
      <c r="D485" s="96"/>
    </row>
    <row r="486" spans="1:4" x14ac:dyDescent="0.3">
      <c r="A486" s="229" t="s">
        <v>924</v>
      </c>
      <c r="C486" s="96"/>
      <c r="D486" s="96"/>
    </row>
    <row r="487" spans="1:4" x14ac:dyDescent="0.3">
      <c r="A487" s="197" t="s">
        <v>925</v>
      </c>
      <c r="C487" s="96"/>
      <c r="D487" s="96"/>
    </row>
    <row r="488" spans="1:4" x14ac:dyDescent="0.3">
      <c r="C488" s="96" t="s">
        <v>506</v>
      </c>
      <c r="D488" s="96"/>
    </row>
  </sheetData>
  <mergeCells count="4">
    <mergeCell ref="A3:G3"/>
    <mergeCell ref="A4:G4"/>
    <mergeCell ref="A5:G5"/>
    <mergeCell ref="B477:F477"/>
  </mergeCells>
  <phoneticPr fontId="12" type="noConversion"/>
  <pageMargins left="0.7" right="0.7" top="0.75" bottom="0.75" header="0.3" footer="0.3"/>
  <pageSetup scale="60" orientation="portrait" horizontalDpi="360" verticalDpi="360" r:id="rId1"/>
  <rowBreaks count="1" manualBreakCount="1">
    <brk id="415" max="16" man="1"/>
  </rowBreaks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8"/>
  <sheetViews>
    <sheetView topLeftCell="A170" zoomScale="120" zoomScaleNormal="120" workbookViewId="0">
      <selection activeCell="D197" sqref="D197"/>
    </sheetView>
  </sheetViews>
  <sheetFormatPr baseColWidth="10" defaultColWidth="11.42578125" defaultRowHeight="15" x14ac:dyDescent="0.25"/>
  <cols>
    <col min="1" max="1" width="32.140625" customWidth="1"/>
    <col min="2" max="2" width="23" customWidth="1"/>
    <col min="3" max="3" width="49.5703125" customWidth="1"/>
    <col min="4" max="4" width="14.140625" customWidth="1"/>
    <col min="5" max="5" width="17.140625" customWidth="1"/>
    <col min="6" max="6" width="22.42578125" customWidth="1"/>
  </cols>
  <sheetData>
    <row r="3" spans="1:6" ht="26.25" x14ac:dyDescent="0.4">
      <c r="A3" s="234" t="s">
        <v>0</v>
      </c>
      <c r="B3" s="234"/>
      <c r="C3" s="234"/>
      <c r="D3" s="234"/>
      <c r="E3" s="234"/>
      <c r="F3" s="234"/>
    </row>
    <row r="4" spans="1:6" x14ac:dyDescent="0.25">
      <c r="A4" s="235" t="s">
        <v>1</v>
      </c>
      <c r="B4" s="236"/>
      <c r="C4" s="236"/>
      <c r="D4" s="236"/>
      <c r="E4" s="236"/>
      <c r="F4" s="236"/>
    </row>
    <row r="5" spans="1:6" ht="18.75" x14ac:dyDescent="0.3">
      <c r="A5" s="237" t="s">
        <v>510</v>
      </c>
      <c r="B5" s="237"/>
      <c r="C5" s="237"/>
      <c r="D5" s="237"/>
      <c r="E5" s="237"/>
      <c r="F5" s="237"/>
    </row>
    <row r="7" spans="1:6" ht="30" x14ac:dyDescent="0.25">
      <c r="A7" s="5" t="s">
        <v>118</v>
      </c>
      <c r="B7" s="6" t="s">
        <v>9</v>
      </c>
      <c r="C7" s="5" t="s">
        <v>2</v>
      </c>
      <c r="D7" s="5" t="s">
        <v>3</v>
      </c>
      <c r="E7" s="5" t="s">
        <v>117</v>
      </c>
      <c r="F7" s="5" t="s">
        <v>4</v>
      </c>
    </row>
    <row r="8" spans="1:6" s="8" customFormat="1" ht="15.75" x14ac:dyDescent="0.25">
      <c r="A8" s="15" t="s">
        <v>10</v>
      </c>
      <c r="B8" s="16">
        <v>44193</v>
      </c>
      <c r="C8" s="25" t="s">
        <v>144</v>
      </c>
      <c r="D8" s="14">
        <v>12</v>
      </c>
      <c r="E8" s="13">
        <v>1005</v>
      </c>
      <c r="F8" s="17">
        <f t="shared" ref="F8:F72" si="0">D8*E8</f>
        <v>12060</v>
      </c>
    </row>
    <row r="9" spans="1:6" s="8" customFormat="1" ht="15.75" x14ac:dyDescent="0.25">
      <c r="A9" s="15" t="s">
        <v>11</v>
      </c>
      <c r="B9" s="16">
        <v>44193</v>
      </c>
      <c r="C9" s="25" t="s">
        <v>145</v>
      </c>
      <c r="D9" s="14">
        <v>1</v>
      </c>
      <c r="E9" s="13">
        <v>215</v>
      </c>
      <c r="F9" s="17">
        <f t="shared" si="0"/>
        <v>215</v>
      </c>
    </row>
    <row r="10" spans="1:6" s="8" customFormat="1" ht="15.75" x14ac:dyDescent="0.25">
      <c r="A10" s="15" t="s">
        <v>120</v>
      </c>
      <c r="B10" s="16">
        <v>44193</v>
      </c>
      <c r="C10" s="25" t="s">
        <v>476</v>
      </c>
      <c r="D10" s="14">
        <v>3</v>
      </c>
      <c r="E10" s="13">
        <v>12</v>
      </c>
      <c r="F10" s="17">
        <f t="shared" si="0"/>
        <v>36</v>
      </c>
    </row>
    <row r="11" spans="1:6" s="8" customFormat="1" ht="15.75" x14ac:dyDescent="0.25">
      <c r="A11" s="15" t="s">
        <v>12</v>
      </c>
      <c r="B11" s="16" t="s">
        <v>107</v>
      </c>
      <c r="C11" s="25" t="s">
        <v>146</v>
      </c>
      <c r="D11" s="18">
        <v>4</v>
      </c>
      <c r="E11" s="19">
        <v>118</v>
      </c>
      <c r="F11" s="17">
        <f t="shared" si="0"/>
        <v>472</v>
      </c>
    </row>
    <row r="12" spans="1:6" s="8" customFormat="1" ht="15.75" x14ac:dyDescent="0.25">
      <c r="A12" s="15" t="s">
        <v>121</v>
      </c>
      <c r="B12" s="16">
        <v>44193</v>
      </c>
      <c r="C12" s="25" t="s">
        <v>477</v>
      </c>
      <c r="D12" s="14">
        <v>89</v>
      </c>
      <c r="E12" s="13">
        <v>15.84</v>
      </c>
      <c r="F12" s="17">
        <f t="shared" si="0"/>
        <v>1409.76</v>
      </c>
    </row>
    <row r="13" spans="1:6" s="8" customFormat="1" ht="15.75" x14ac:dyDescent="0.25">
      <c r="A13" s="15" t="s">
        <v>122</v>
      </c>
      <c r="B13" s="16">
        <v>44193</v>
      </c>
      <c r="C13" s="25" t="s">
        <v>478</v>
      </c>
      <c r="D13" s="14">
        <v>53</v>
      </c>
      <c r="E13" s="13">
        <v>22.41</v>
      </c>
      <c r="F13" s="17">
        <f t="shared" si="0"/>
        <v>1187.73</v>
      </c>
    </row>
    <row r="14" spans="1:6" s="8" customFormat="1" ht="15.75" x14ac:dyDescent="0.25">
      <c r="A14" s="15" t="s">
        <v>123</v>
      </c>
      <c r="B14" s="16">
        <v>44193</v>
      </c>
      <c r="C14" s="25" t="s">
        <v>147</v>
      </c>
      <c r="D14" s="14">
        <v>42</v>
      </c>
      <c r="E14" s="13">
        <v>15.84</v>
      </c>
      <c r="F14" s="17">
        <f t="shared" si="0"/>
        <v>665.28</v>
      </c>
    </row>
    <row r="15" spans="1:6" s="8" customFormat="1" ht="15.75" x14ac:dyDescent="0.25">
      <c r="A15" s="15" t="s">
        <v>13</v>
      </c>
      <c r="B15" s="16">
        <v>44193</v>
      </c>
      <c r="C15" s="25" t="s">
        <v>148</v>
      </c>
      <c r="D15" s="14">
        <v>35</v>
      </c>
      <c r="E15" s="13">
        <v>78.099999999999994</v>
      </c>
      <c r="F15" s="17">
        <f t="shared" si="0"/>
        <v>2733.5</v>
      </c>
    </row>
    <row r="16" spans="1:6" s="8" customFormat="1" ht="15.75" x14ac:dyDescent="0.25">
      <c r="A16" s="15" t="s">
        <v>14</v>
      </c>
      <c r="B16" s="16" t="s">
        <v>107</v>
      </c>
      <c r="C16" s="25" t="s">
        <v>501</v>
      </c>
      <c r="D16" s="14">
        <v>139</v>
      </c>
      <c r="E16" s="13">
        <v>5.17</v>
      </c>
      <c r="F16" s="17">
        <f t="shared" si="0"/>
        <v>718.63</v>
      </c>
    </row>
    <row r="17" spans="1:6" s="8" customFormat="1" ht="15.75" x14ac:dyDescent="0.25">
      <c r="A17" s="15" t="s">
        <v>15</v>
      </c>
      <c r="B17" s="16" t="s">
        <v>107</v>
      </c>
      <c r="C17" s="25" t="s">
        <v>149</v>
      </c>
      <c r="D17" s="14">
        <v>10</v>
      </c>
      <c r="E17" s="21">
        <v>15.84</v>
      </c>
      <c r="F17" s="17">
        <f t="shared" si="0"/>
        <v>158.4</v>
      </c>
    </row>
    <row r="18" spans="1:6" s="8" customFormat="1" ht="15.75" x14ac:dyDescent="0.25">
      <c r="A18" s="15" t="s">
        <v>124</v>
      </c>
      <c r="B18" s="16">
        <v>44193</v>
      </c>
      <c r="C18" s="25" t="s">
        <v>474</v>
      </c>
      <c r="D18" s="30">
        <v>20</v>
      </c>
      <c r="E18" s="13">
        <v>15</v>
      </c>
      <c r="F18" s="17">
        <f t="shared" si="0"/>
        <v>300</v>
      </c>
    </row>
    <row r="19" spans="1:6" s="8" customFormat="1" ht="15.75" x14ac:dyDescent="0.25">
      <c r="A19" s="15" t="s">
        <v>16</v>
      </c>
      <c r="B19" s="16">
        <v>44193</v>
      </c>
      <c r="C19" s="25" t="s">
        <v>150</v>
      </c>
      <c r="D19" s="30">
        <v>10</v>
      </c>
      <c r="E19" s="22">
        <v>15</v>
      </c>
      <c r="F19" s="17">
        <f t="shared" si="0"/>
        <v>150</v>
      </c>
    </row>
    <row r="20" spans="1:6" s="8" customFormat="1" ht="15.75" x14ac:dyDescent="0.25">
      <c r="A20" s="15" t="s">
        <v>17</v>
      </c>
      <c r="B20" s="16" t="s">
        <v>107</v>
      </c>
      <c r="C20" s="25" t="s">
        <v>151</v>
      </c>
      <c r="D20" s="30">
        <v>34</v>
      </c>
      <c r="E20" s="21">
        <v>15</v>
      </c>
      <c r="F20" s="17">
        <f t="shared" si="0"/>
        <v>510</v>
      </c>
    </row>
    <row r="21" spans="1:6" s="8" customFormat="1" ht="15.75" x14ac:dyDescent="0.25">
      <c r="A21" s="15" t="s">
        <v>18</v>
      </c>
      <c r="B21" s="16">
        <v>44193</v>
      </c>
      <c r="C21" s="9" t="s">
        <v>502</v>
      </c>
      <c r="D21" s="31">
        <v>7</v>
      </c>
      <c r="E21" s="13">
        <v>350</v>
      </c>
      <c r="F21" s="17">
        <f t="shared" si="0"/>
        <v>2450</v>
      </c>
    </row>
    <row r="22" spans="1:6" s="8" customFormat="1" ht="15.75" x14ac:dyDescent="0.25">
      <c r="A22" s="15" t="s">
        <v>19</v>
      </c>
      <c r="B22" s="16">
        <v>44193</v>
      </c>
      <c r="C22" s="25" t="s">
        <v>153</v>
      </c>
      <c r="D22" s="30">
        <v>9</v>
      </c>
      <c r="E22" s="13">
        <v>68</v>
      </c>
      <c r="F22" s="17">
        <f t="shared" si="0"/>
        <v>612</v>
      </c>
    </row>
    <row r="23" spans="1:6" s="8" customFormat="1" ht="15.75" x14ac:dyDescent="0.25">
      <c r="A23" s="15" t="s">
        <v>20</v>
      </c>
      <c r="B23" s="16">
        <v>44193</v>
      </c>
      <c r="C23" s="26" t="s">
        <v>154</v>
      </c>
      <c r="D23" s="30">
        <v>5</v>
      </c>
      <c r="E23" s="13">
        <v>9</v>
      </c>
      <c r="F23" s="17">
        <f t="shared" si="0"/>
        <v>45</v>
      </c>
    </row>
    <row r="24" spans="1:6" s="8" customFormat="1" ht="15.75" x14ac:dyDescent="0.25">
      <c r="A24" s="15" t="s">
        <v>21</v>
      </c>
      <c r="B24" s="16">
        <v>44193</v>
      </c>
      <c r="C24" s="26" t="s">
        <v>479</v>
      </c>
      <c r="D24" s="30">
        <v>1</v>
      </c>
      <c r="E24" s="13">
        <v>15</v>
      </c>
      <c r="F24" s="17">
        <f t="shared" si="0"/>
        <v>15</v>
      </c>
    </row>
    <row r="25" spans="1:6" s="8" customFormat="1" ht="15.75" x14ac:dyDescent="0.25">
      <c r="A25" s="15" t="s">
        <v>22</v>
      </c>
      <c r="B25" s="16" t="s">
        <v>107</v>
      </c>
      <c r="C25" s="26" t="s">
        <v>155</v>
      </c>
      <c r="D25" s="30">
        <v>1</v>
      </c>
      <c r="E25" s="21">
        <v>15</v>
      </c>
      <c r="F25" s="17">
        <f t="shared" si="0"/>
        <v>15</v>
      </c>
    </row>
    <row r="26" spans="1:6" s="8" customFormat="1" ht="15.75" x14ac:dyDescent="0.25">
      <c r="A26" s="15" t="s">
        <v>23</v>
      </c>
      <c r="B26" s="16" t="s">
        <v>107</v>
      </c>
      <c r="C26" s="26" t="s">
        <v>156</v>
      </c>
      <c r="D26" s="30">
        <v>500</v>
      </c>
      <c r="E26" s="21">
        <v>3200</v>
      </c>
      <c r="F26" s="17">
        <f t="shared" si="0"/>
        <v>1600000</v>
      </c>
    </row>
    <row r="27" spans="1:6" s="8" customFormat="1" ht="15.75" x14ac:dyDescent="0.25">
      <c r="A27" s="15" t="s">
        <v>24</v>
      </c>
      <c r="B27" s="16">
        <v>44193</v>
      </c>
      <c r="C27" s="26" t="s">
        <v>157</v>
      </c>
      <c r="D27" s="30">
        <v>5</v>
      </c>
      <c r="E27" s="13">
        <v>15</v>
      </c>
      <c r="F27" s="17">
        <f t="shared" si="0"/>
        <v>75</v>
      </c>
    </row>
    <row r="28" spans="1:6" s="8" customFormat="1" ht="15.75" x14ac:dyDescent="0.25">
      <c r="A28" s="15" t="s">
        <v>110</v>
      </c>
      <c r="B28" s="16">
        <v>44193</v>
      </c>
      <c r="C28" s="26" t="s">
        <v>158</v>
      </c>
      <c r="D28" s="30">
        <v>8</v>
      </c>
      <c r="E28" s="13">
        <v>45.95</v>
      </c>
      <c r="F28" s="17">
        <f t="shared" si="0"/>
        <v>367.6</v>
      </c>
    </row>
    <row r="29" spans="1:6" s="8" customFormat="1" ht="15.75" x14ac:dyDescent="0.25">
      <c r="A29" s="15" t="s">
        <v>125</v>
      </c>
      <c r="B29" s="16">
        <v>44193</v>
      </c>
      <c r="C29" s="9" t="s">
        <v>159</v>
      </c>
      <c r="D29" s="30">
        <v>5</v>
      </c>
      <c r="E29" s="13">
        <v>200</v>
      </c>
      <c r="F29" s="17">
        <f t="shared" si="0"/>
        <v>1000</v>
      </c>
    </row>
    <row r="30" spans="1:6" s="8" customFormat="1" ht="15.75" x14ac:dyDescent="0.25">
      <c r="A30" s="15" t="s">
        <v>25</v>
      </c>
      <c r="B30" s="16">
        <v>44193</v>
      </c>
      <c r="C30" s="9" t="s">
        <v>503</v>
      </c>
      <c r="D30" s="30">
        <v>9</v>
      </c>
      <c r="E30" s="13">
        <v>200</v>
      </c>
      <c r="F30" s="17">
        <f t="shared" si="0"/>
        <v>1800</v>
      </c>
    </row>
    <row r="31" spans="1:6" s="8" customFormat="1" ht="15.75" x14ac:dyDescent="0.25">
      <c r="A31" s="15" t="s">
        <v>126</v>
      </c>
      <c r="B31" s="16">
        <v>44193</v>
      </c>
      <c r="C31" s="9" t="s">
        <v>160</v>
      </c>
      <c r="D31" s="30">
        <v>13</v>
      </c>
      <c r="E31" s="13">
        <v>2.4500000000000002</v>
      </c>
      <c r="F31" s="17">
        <f t="shared" si="0"/>
        <v>31.85</v>
      </c>
    </row>
    <row r="32" spans="1:6" s="8" customFormat="1" ht="15.75" x14ac:dyDescent="0.25">
      <c r="A32" s="15" t="s">
        <v>26</v>
      </c>
      <c r="B32" s="16">
        <v>44193</v>
      </c>
      <c r="C32" s="9" t="s">
        <v>161</v>
      </c>
      <c r="D32" s="30">
        <v>12</v>
      </c>
      <c r="E32" s="13">
        <v>63.14</v>
      </c>
      <c r="F32" s="17">
        <f t="shared" si="0"/>
        <v>757.68000000000006</v>
      </c>
    </row>
    <row r="33" spans="1:6" s="8" customFormat="1" ht="15.75" x14ac:dyDescent="0.25">
      <c r="A33" s="15" t="s">
        <v>27</v>
      </c>
      <c r="B33" s="16">
        <v>44193</v>
      </c>
      <c r="C33" s="9" t="s">
        <v>162</v>
      </c>
      <c r="D33" s="30">
        <v>93</v>
      </c>
      <c r="E33" s="13">
        <v>200</v>
      </c>
      <c r="F33" s="17">
        <f t="shared" si="0"/>
        <v>18600</v>
      </c>
    </row>
    <row r="34" spans="1:6" s="8" customFormat="1" ht="15.75" x14ac:dyDescent="0.25">
      <c r="A34" s="15" t="s">
        <v>28</v>
      </c>
      <c r="B34" s="16">
        <v>44193</v>
      </c>
      <c r="C34" s="9" t="s">
        <v>163</v>
      </c>
      <c r="D34" s="30">
        <v>83</v>
      </c>
      <c r="E34" s="13">
        <v>2.4</v>
      </c>
      <c r="F34" s="17">
        <f t="shared" si="0"/>
        <v>199.2</v>
      </c>
    </row>
    <row r="35" spans="1:6" s="8" customFormat="1" ht="15.75" x14ac:dyDescent="0.25">
      <c r="A35" s="15" t="s">
        <v>127</v>
      </c>
      <c r="B35" s="16">
        <v>44193</v>
      </c>
      <c r="C35" s="9" t="s">
        <v>164</v>
      </c>
      <c r="D35" s="30">
        <v>1</v>
      </c>
      <c r="E35" s="13">
        <v>68</v>
      </c>
      <c r="F35" s="17">
        <f t="shared" si="0"/>
        <v>68</v>
      </c>
    </row>
    <row r="36" spans="1:6" s="8" customFormat="1" ht="15.75" x14ac:dyDescent="0.25">
      <c r="A36" s="15" t="s">
        <v>29</v>
      </c>
      <c r="B36" s="16">
        <v>44193</v>
      </c>
      <c r="C36" s="9" t="s">
        <v>504</v>
      </c>
      <c r="D36" s="30">
        <v>12</v>
      </c>
      <c r="E36" s="13">
        <v>1625</v>
      </c>
      <c r="F36" s="17">
        <f t="shared" si="0"/>
        <v>19500</v>
      </c>
    </row>
    <row r="37" spans="1:6" s="8" customFormat="1" ht="15.75" x14ac:dyDescent="0.25">
      <c r="A37" s="15" t="s">
        <v>30</v>
      </c>
      <c r="B37" s="16">
        <v>44193</v>
      </c>
      <c r="C37" s="26" t="s">
        <v>480</v>
      </c>
      <c r="D37" s="32">
        <v>2</v>
      </c>
      <c r="E37" s="13">
        <v>15.08</v>
      </c>
      <c r="F37" s="17">
        <f t="shared" si="0"/>
        <v>30.16</v>
      </c>
    </row>
    <row r="38" spans="1:6" s="8" customFormat="1" ht="15.75" x14ac:dyDescent="0.25">
      <c r="A38" s="15" t="s">
        <v>99</v>
      </c>
      <c r="B38" s="16">
        <v>44193</v>
      </c>
      <c r="C38" s="26" t="s">
        <v>481</v>
      </c>
      <c r="D38" s="32">
        <v>5</v>
      </c>
      <c r="E38" s="13">
        <v>3400</v>
      </c>
      <c r="F38" s="17">
        <f t="shared" si="0"/>
        <v>17000</v>
      </c>
    </row>
    <row r="39" spans="1:6" s="8" customFormat="1" ht="15.75" x14ac:dyDescent="0.25">
      <c r="A39" s="15" t="s">
        <v>31</v>
      </c>
      <c r="B39" s="16">
        <v>44193</v>
      </c>
      <c r="C39" s="26" t="s">
        <v>165</v>
      </c>
      <c r="D39" s="32">
        <v>11</v>
      </c>
      <c r="E39" s="13">
        <v>3000</v>
      </c>
      <c r="F39" s="17">
        <f t="shared" si="0"/>
        <v>33000</v>
      </c>
    </row>
    <row r="40" spans="1:6" s="8" customFormat="1" ht="15.75" x14ac:dyDescent="0.25">
      <c r="A40" s="15" t="s">
        <v>32</v>
      </c>
      <c r="B40" s="16">
        <v>44193</v>
      </c>
      <c r="C40" s="25" t="s">
        <v>166</v>
      </c>
      <c r="D40" s="14">
        <v>459</v>
      </c>
      <c r="E40" s="13">
        <v>25</v>
      </c>
      <c r="F40" s="17">
        <f t="shared" si="0"/>
        <v>11475</v>
      </c>
    </row>
    <row r="41" spans="1:6" s="8" customFormat="1" ht="15.75" x14ac:dyDescent="0.25">
      <c r="A41" s="15" t="s">
        <v>33</v>
      </c>
      <c r="B41" s="16">
        <v>44193</v>
      </c>
      <c r="C41" s="26" t="s">
        <v>167</v>
      </c>
      <c r="D41" s="32">
        <v>1</v>
      </c>
      <c r="E41" s="13">
        <v>6000</v>
      </c>
      <c r="F41" s="17">
        <f t="shared" si="0"/>
        <v>6000</v>
      </c>
    </row>
    <row r="42" spans="1:6" s="8" customFormat="1" ht="15.75" x14ac:dyDescent="0.25">
      <c r="A42" s="15" t="s">
        <v>34</v>
      </c>
      <c r="B42" s="23" t="s">
        <v>106</v>
      </c>
      <c r="C42" s="26" t="s">
        <v>168</v>
      </c>
      <c r="D42" s="32">
        <v>1</v>
      </c>
      <c r="E42" s="21">
        <v>7500</v>
      </c>
      <c r="F42" s="17">
        <f t="shared" si="0"/>
        <v>7500</v>
      </c>
    </row>
    <row r="43" spans="1:6" s="8" customFormat="1" ht="15.75" x14ac:dyDescent="0.25">
      <c r="A43" s="15" t="s">
        <v>111</v>
      </c>
      <c r="B43" s="16">
        <v>44193</v>
      </c>
      <c r="C43" s="26" t="s">
        <v>169</v>
      </c>
      <c r="D43" s="32">
        <v>4</v>
      </c>
      <c r="E43" s="13">
        <v>3000</v>
      </c>
      <c r="F43" s="17">
        <f t="shared" si="0"/>
        <v>12000</v>
      </c>
    </row>
    <row r="44" spans="1:6" s="8" customFormat="1" ht="15.75" x14ac:dyDescent="0.25">
      <c r="A44" s="15" t="s">
        <v>128</v>
      </c>
      <c r="B44" s="16">
        <v>44193</v>
      </c>
      <c r="C44" s="26" t="s">
        <v>482</v>
      </c>
      <c r="D44" s="32">
        <v>20</v>
      </c>
      <c r="E44" s="13">
        <v>3000</v>
      </c>
      <c r="F44" s="17">
        <f t="shared" si="0"/>
        <v>60000</v>
      </c>
    </row>
    <row r="45" spans="1:6" s="8" customFormat="1" ht="15.75" x14ac:dyDescent="0.25">
      <c r="A45" s="15" t="s">
        <v>129</v>
      </c>
      <c r="B45" s="16">
        <v>44193</v>
      </c>
      <c r="C45" s="26" t="s">
        <v>170</v>
      </c>
      <c r="D45" s="32">
        <v>13</v>
      </c>
      <c r="E45" s="13">
        <v>35</v>
      </c>
      <c r="F45" s="17">
        <f t="shared" si="0"/>
        <v>455</v>
      </c>
    </row>
    <row r="46" spans="1:6" s="8" customFormat="1" ht="15.75" x14ac:dyDescent="0.25">
      <c r="A46" s="15" t="s">
        <v>130</v>
      </c>
      <c r="B46" s="16">
        <v>44193</v>
      </c>
      <c r="C46" s="26" t="s">
        <v>483</v>
      </c>
      <c r="D46" s="32">
        <v>3</v>
      </c>
      <c r="E46" s="13">
        <v>3000</v>
      </c>
      <c r="F46" s="17">
        <f t="shared" si="0"/>
        <v>9000</v>
      </c>
    </row>
    <row r="47" spans="1:6" s="8" customFormat="1" ht="15.75" x14ac:dyDescent="0.25">
      <c r="A47" s="15" t="s">
        <v>35</v>
      </c>
      <c r="B47" s="16">
        <v>44193</v>
      </c>
      <c r="C47" s="26" t="s">
        <v>171</v>
      </c>
      <c r="D47" s="32">
        <v>6</v>
      </c>
      <c r="E47" s="13">
        <v>8100</v>
      </c>
      <c r="F47" s="17">
        <f t="shared" si="0"/>
        <v>48600</v>
      </c>
    </row>
    <row r="48" spans="1:6" s="8" customFormat="1" ht="15.75" x14ac:dyDescent="0.25">
      <c r="A48" s="15" t="s">
        <v>36</v>
      </c>
      <c r="B48" s="16">
        <v>44193</v>
      </c>
      <c r="C48" s="9" t="s">
        <v>172</v>
      </c>
      <c r="D48" s="33">
        <v>25</v>
      </c>
      <c r="E48" s="13">
        <v>18</v>
      </c>
      <c r="F48" s="17">
        <f t="shared" si="0"/>
        <v>450</v>
      </c>
    </row>
    <row r="49" spans="1:6" s="8" customFormat="1" ht="15.75" x14ac:dyDescent="0.25">
      <c r="A49" s="15" t="s">
        <v>37</v>
      </c>
      <c r="B49" s="23" t="s">
        <v>106</v>
      </c>
      <c r="C49" s="9" t="s">
        <v>173</v>
      </c>
      <c r="D49" s="33">
        <v>30</v>
      </c>
      <c r="E49" s="24">
        <v>15</v>
      </c>
      <c r="F49" s="17">
        <f t="shared" si="0"/>
        <v>450</v>
      </c>
    </row>
    <row r="50" spans="1:6" s="8" customFormat="1" ht="15.75" x14ac:dyDescent="0.25">
      <c r="A50" s="15" t="s">
        <v>38</v>
      </c>
      <c r="B50" s="16">
        <v>44193</v>
      </c>
      <c r="C50" s="9" t="s">
        <v>174</v>
      </c>
      <c r="D50" s="33">
        <v>50</v>
      </c>
      <c r="E50" s="13">
        <v>3200</v>
      </c>
      <c r="F50" s="17">
        <f t="shared" si="0"/>
        <v>160000</v>
      </c>
    </row>
    <row r="51" spans="1:6" s="8" customFormat="1" ht="15.75" x14ac:dyDescent="0.25">
      <c r="A51" s="15" t="s">
        <v>131</v>
      </c>
      <c r="B51" s="16">
        <v>44193</v>
      </c>
      <c r="C51" s="26" t="s">
        <v>175</v>
      </c>
      <c r="D51" s="14">
        <v>1</v>
      </c>
      <c r="E51" s="13">
        <v>2400</v>
      </c>
      <c r="F51" s="17">
        <f t="shared" si="0"/>
        <v>2400</v>
      </c>
    </row>
    <row r="52" spans="1:6" s="8" customFormat="1" ht="15.75" x14ac:dyDescent="0.25">
      <c r="A52" s="15" t="s">
        <v>39</v>
      </c>
      <c r="B52" s="16">
        <v>44193</v>
      </c>
      <c r="C52" s="9" t="s">
        <v>176</v>
      </c>
      <c r="D52" s="30">
        <v>8</v>
      </c>
      <c r="E52" s="13">
        <v>17.07</v>
      </c>
      <c r="F52" s="17">
        <f t="shared" si="0"/>
        <v>136.56</v>
      </c>
    </row>
    <row r="53" spans="1:6" s="8" customFormat="1" ht="15.75" x14ac:dyDescent="0.25">
      <c r="A53" s="15" t="s">
        <v>40</v>
      </c>
      <c r="B53" s="16">
        <v>44193</v>
      </c>
      <c r="C53" s="26" t="s">
        <v>484</v>
      </c>
      <c r="D53" s="30">
        <v>84</v>
      </c>
      <c r="E53" s="13">
        <v>1900</v>
      </c>
      <c r="F53" s="17">
        <f t="shared" si="0"/>
        <v>159600</v>
      </c>
    </row>
    <row r="54" spans="1:6" s="8" customFormat="1" ht="15.75" x14ac:dyDescent="0.25">
      <c r="A54" s="15" t="s">
        <v>41</v>
      </c>
      <c r="B54" s="23" t="s">
        <v>106</v>
      </c>
      <c r="C54" s="26" t="s">
        <v>485</v>
      </c>
      <c r="D54" s="30">
        <v>107</v>
      </c>
      <c r="E54" s="21">
        <v>122.43</v>
      </c>
      <c r="F54" s="17">
        <f t="shared" si="0"/>
        <v>13100.01</v>
      </c>
    </row>
    <row r="55" spans="1:6" s="8" customFormat="1" ht="15.75" x14ac:dyDescent="0.25">
      <c r="A55" s="15" t="s">
        <v>133</v>
      </c>
      <c r="B55" s="16">
        <v>44193</v>
      </c>
      <c r="C55" s="26" t="s">
        <v>177</v>
      </c>
      <c r="D55" s="30">
        <v>96</v>
      </c>
      <c r="E55" s="13">
        <v>200</v>
      </c>
      <c r="F55" s="17">
        <f t="shared" si="0"/>
        <v>19200</v>
      </c>
    </row>
    <row r="56" spans="1:6" s="8" customFormat="1" ht="15.75" x14ac:dyDescent="0.25">
      <c r="A56" s="15" t="s">
        <v>134</v>
      </c>
      <c r="B56" s="16">
        <v>44193</v>
      </c>
      <c r="C56" s="9" t="s">
        <v>178</v>
      </c>
      <c r="D56" s="30">
        <v>11</v>
      </c>
      <c r="E56" s="13">
        <v>37.74</v>
      </c>
      <c r="F56" s="17">
        <f t="shared" si="0"/>
        <v>415.14000000000004</v>
      </c>
    </row>
    <row r="57" spans="1:6" s="8" customFormat="1" ht="15.75" x14ac:dyDescent="0.25">
      <c r="A57" s="15" t="s">
        <v>42</v>
      </c>
      <c r="B57" s="16">
        <v>44193</v>
      </c>
      <c r="C57" s="9" t="s">
        <v>179</v>
      </c>
      <c r="D57" s="30">
        <v>7</v>
      </c>
      <c r="E57" s="13">
        <v>55</v>
      </c>
      <c r="F57" s="17">
        <f t="shared" si="0"/>
        <v>385</v>
      </c>
    </row>
    <row r="58" spans="1:6" s="8" customFormat="1" ht="15.75" x14ac:dyDescent="0.25">
      <c r="A58" s="15" t="s">
        <v>135</v>
      </c>
      <c r="B58" s="16">
        <v>44193</v>
      </c>
      <c r="C58" s="9" t="s">
        <v>180</v>
      </c>
      <c r="D58" s="30">
        <v>3</v>
      </c>
      <c r="E58" s="13">
        <v>66.3</v>
      </c>
      <c r="F58" s="17">
        <f t="shared" si="0"/>
        <v>198.89999999999998</v>
      </c>
    </row>
    <row r="59" spans="1:6" s="8" customFormat="1" ht="15.75" x14ac:dyDescent="0.25">
      <c r="A59" s="15" t="s">
        <v>43</v>
      </c>
      <c r="B59" s="16">
        <v>44193</v>
      </c>
      <c r="C59" s="26" t="s">
        <v>181</v>
      </c>
      <c r="D59" s="30">
        <v>1</v>
      </c>
      <c r="E59" s="13">
        <v>66.3</v>
      </c>
      <c r="F59" s="17">
        <f t="shared" si="0"/>
        <v>66.3</v>
      </c>
    </row>
    <row r="60" spans="1:6" s="8" customFormat="1" ht="15.75" x14ac:dyDescent="0.25">
      <c r="A60" s="15" t="s">
        <v>45</v>
      </c>
      <c r="B60" s="16">
        <v>44193</v>
      </c>
      <c r="C60" s="9" t="s">
        <v>182</v>
      </c>
      <c r="D60" s="30">
        <v>24</v>
      </c>
      <c r="E60" s="13">
        <v>30</v>
      </c>
      <c r="F60" s="17">
        <f t="shared" si="0"/>
        <v>720</v>
      </c>
    </row>
    <row r="61" spans="1:6" s="8" customFormat="1" ht="15.75" x14ac:dyDescent="0.25">
      <c r="A61" s="15" t="s">
        <v>46</v>
      </c>
      <c r="B61" s="16">
        <v>44193</v>
      </c>
      <c r="C61" s="9" t="s">
        <v>184</v>
      </c>
      <c r="D61" s="30">
        <v>2</v>
      </c>
      <c r="E61" s="13">
        <v>125</v>
      </c>
      <c r="F61" s="17">
        <f t="shared" si="0"/>
        <v>250</v>
      </c>
    </row>
    <row r="62" spans="1:6" s="8" customFormat="1" ht="15.75" x14ac:dyDescent="0.25">
      <c r="A62" s="15" t="s">
        <v>47</v>
      </c>
      <c r="B62" s="16">
        <v>44193</v>
      </c>
      <c r="C62" s="9" t="s">
        <v>185</v>
      </c>
      <c r="D62" s="30">
        <v>4</v>
      </c>
      <c r="E62" s="13">
        <v>16.559999999999999</v>
      </c>
      <c r="F62" s="17">
        <f t="shared" si="0"/>
        <v>66.239999999999995</v>
      </c>
    </row>
    <row r="63" spans="1:6" s="8" customFormat="1" ht="15.75" x14ac:dyDescent="0.25">
      <c r="A63" s="15" t="s">
        <v>48</v>
      </c>
      <c r="B63" s="16">
        <v>44193</v>
      </c>
      <c r="C63" s="9" t="s">
        <v>186</v>
      </c>
      <c r="D63" s="30">
        <v>6</v>
      </c>
      <c r="E63" s="13">
        <v>16.559999999999999</v>
      </c>
      <c r="F63" s="17">
        <f t="shared" si="0"/>
        <v>99.359999999999985</v>
      </c>
    </row>
    <row r="64" spans="1:6" s="8" customFormat="1" ht="15.75" x14ac:dyDescent="0.25">
      <c r="A64" s="15" t="s">
        <v>49</v>
      </c>
      <c r="B64" s="16">
        <v>44193</v>
      </c>
      <c r="C64" s="25" t="s">
        <v>486</v>
      </c>
      <c r="D64" s="14">
        <v>14</v>
      </c>
      <c r="E64" s="13">
        <v>150</v>
      </c>
      <c r="F64" s="17">
        <f t="shared" si="0"/>
        <v>2100</v>
      </c>
    </row>
    <row r="65" spans="1:6" s="8" customFormat="1" ht="15.75" x14ac:dyDescent="0.25">
      <c r="A65" s="15" t="s">
        <v>50</v>
      </c>
      <c r="B65" s="16">
        <v>44193</v>
      </c>
      <c r="C65" s="25" t="s">
        <v>187</v>
      </c>
      <c r="D65" s="14">
        <v>1</v>
      </c>
      <c r="E65" s="13">
        <v>16.559999999999999</v>
      </c>
      <c r="F65" s="17">
        <f t="shared" si="0"/>
        <v>16.559999999999999</v>
      </c>
    </row>
    <row r="66" spans="1:6" s="8" customFormat="1" ht="15.75" x14ac:dyDescent="0.25">
      <c r="A66" s="15" t="s">
        <v>51</v>
      </c>
      <c r="B66" s="16">
        <v>44193</v>
      </c>
      <c r="C66" s="25" t="s">
        <v>192</v>
      </c>
      <c r="D66" s="14">
        <v>2</v>
      </c>
      <c r="E66" s="13">
        <v>40</v>
      </c>
      <c r="F66" s="17">
        <f t="shared" si="0"/>
        <v>80</v>
      </c>
    </row>
    <row r="67" spans="1:6" s="8" customFormat="1" ht="15.75" x14ac:dyDescent="0.25">
      <c r="A67" s="15" t="s">
        <v>52</v>
      </c>
      <c r="B67" s="16">
        <v>44193</v>
      </c>
      <c r="C67" s="25" t="s">
        <v>191</v>
      </c>
      <c r="D67" s="14">
        <v>1</v>
      </c>
      <c r="E67" s="13">
        <v>21</v>
      </c>
      <c r="F67" s="17">
        <f t="shared" si="0"/>
        <v>21</v>
      </c>
    </row>
    <row r="68" spans="1:6" s="8" customFormat="1" ht="15.75" x14ac:dyDescent="0.25">
      <c r="A68" s="15" t="s">
        <v>53</v>
      </c>
      <c r="B68" s="16">
        <v>44193</v>
      </c>
      <c r="C68" s="25" t="s">
        <v>487</v>
      </c>
      <c r="D68" s="14">
        <v>39</v>
      </c>
      <c r="E68" s="13">
        <v>45</v>
      </c>
      <c r="F68" s="17">
        <f t="shared" si="0"/>
        <v>1755</v>
      </c>
    </row>
    <row r="69" spans="1:6" s="8" customFormat="1" ht="15.75" x14ac:dyDescent="0.25">
      <c r="A69" s="15" t="s">
        <v>44</v>
      </c>
      <c r="B69" s="16">
        <v>44193</v>
      </c>
      <c r="C69" s="25" t="s">
        <v>190</v>
      </c>
      <c r="D69" s="14">
        <v>5</v>
      </c>
      <c r="E69" s="13">
        <v>40</v>
      </c>
      <c r="F69" s="17">
        <f t="shared" si="0"/>
        <v>200</v>
      </c>
    </row>
    <row r="70" spans="1:6" s="8" customFormat="1" ht="15.75" x14ac:dyDescent="0.25">
      <c r="A70" s="15" t="s">
        <v>113</v>
      </c>
      <c r="B70" s="16">
        <v>44193</v>
      </c>
      <c r="C70" s="25" t="s">
        <v>189</v>
      </c>
      <c r="D70" s="14">
        <v>30</v>
      </c>
      <c r="E70" s="13">
        <v>45</v>
      </c>
      <c r="F70" s="17">
        <f t="shared" si="0"/>
        <v>1350</v>
      </c>
    </row>
    <row r="71" spans="1:6" s="8" customFormat="1" ht="15.75" x14ac:dyDescent="0.25">
      <c r="A71" s="15" t="s">
        <v>136</v>
      </c>
      <c r="B71" s="16">
        <v>44193</v>
      </c>
      <c r="C71" s="25" t="s">
        <v>488</v>
      </c>
      <c r="D71" s="14">
        <v>30</v>
      </c>
      <c r="E71" s="13">
        <v>3</v>
      </c>
      <c r="F71" s="17">
        <f t="shared" si="0"/>
        <v>90</v>
      </c>
    </row>
    <row r="72" spans="1:6" s="8" customFormat="1" ht="15.75" x14ac:dyDescent="0.25">
      <c r="A72" s="15" t="s">
        <v>137</v>
      </c>
      <c r="B72" s="16">
        <v>44193</v>
      </c>
      <c r="C72" s="25" t="s">
        <v>188</v>
      </c>
      <c r="D72" s="32">
        <v>10</v>
      </c>
      <c r="E72" s="13">
        <v>6.5</v>
      </c>
      <c r="F72" s="17">
        <f t="shared" si="0"/>
        <v>65</v>
      </c>
    </row>
    <row r="73" spans="1:6" s="8" customFormat="1" ht="15.75" x14ac:dyDescent="0.25">
      <c r="A73" s="15" t="s">
        <v>138</v>
      </c>
      <c r="B73" s="16">
        <v>44193</v>
      </c>
      <c r="C73" s="25" t="s">
        <v>193</v>
      </c>
      <c r="D73" s="32">
        <v>58</v>
      </c>
      <c r="E73" s="13">
        <v>5.05</v>
      </c>
      <c r="F73" s="17">
        <f t="shared" ref="F73:F136" si="1">D73*E73</f>
        <v>292.89999999999998</v>
      </c>
    </row>
    <row r="74" spans="1:6" s="8" customFormat="1" ht="15.75" x14ac:dyDescent="0.25">
      <c r="A74" s="15" t="s">
        <v>54</v>
      </c>
      <c r="B74" s="16">
        <v>44193</v>
      </c>
      <c r="C74" s="25" t="s">
        <v>194</v>
      </c>
      <c r="D74" s="32">
        <v>37</v>
      </c>
      <c r="E74" s="13">
        <v>42.95</v>
      </c>
      <c r="F74" s="17">
        <f t="shared" si="1"/>
        <v>1589.15</v>
      </c>
    </row>
    <row r="75" spans="1:6" s="8" customFormat="1" ht="15.75" x14ac:dyDescent="0.25">
      <c r="A75" s="15" t="s">
        <v>55</v>
      </c>
      <c r="B75" s="16">
        <v>44193</v>
      </c>
      <c r="C75" s="25" t="s">
        <v>195</v>
      </c>
      <c r="D75" s="30">
        <v>17</v>
      </c>
      <c r="E75" s="13">
        <v>19.95</v>
      </c>
      <c r="F75" s="17">
        <f t="shared" si="1"/>
        <v>339.15</v>
      </c>
    </row>
    <row r="76" spans="1:6" s="8" customFormat="1" ht="15.75" x14ac:dyDescent="0.25">
      <c r="A76" s="15" t="s">
        <v>56</v>
      </c>
      <c r="B76" s="16">
        <v>44193</v>
      </c>
      <c r="C76" s="25" t="s">
        <v>196</v>
      </c>
      <c r="D76" s="30">
        <v>25</v>
      </c>
      <c r="E76" s="13">
        <v>5.78</v>
      </c>
      <c r="F76" s="17">
        <f t="shared" si="1"/>
        <v>144.5</v>
      </c>
    </row>
    <row r="77" spans="1:6" s="8" customFormat="1" ht="15.75" x14ac:dyDescent="0.25">
      <c r="A77" s="15" t="s">
        <v>100</v>
      </c>
      <c r="B77" s="16">
        <v>44193</v>
      </c>
      <c r="C77" s="26" t="s">
        <v>197</v>
      </c>
      <c r="D77" s="30">
        <v>25</v>
      </c>
      <c r="E77" s="13">
        <v>719.2</v>
      </c>
      <c r="F77" s="17">
        <f t="shared" si="1"/>
        <v>17980</v>
      </c>
    </row>
    <row r="78" spans="1:6" s="8" customFormat="1" ht="15.75" x14ac:dyDescent="0.25">
      <c r="A78" s="15" t="s">
        <v>57</v>
      </c>
      <c r="B78" s="16">
        <v>44193</v>
      </c>
      <c r="C78" s="26" t="s">
        <v>78</v>
      </c>
      <c r="D78" s="30">
        <v>2</v>
      </c>
      <c r="E78" s="13">
        <v>5</v>
      </c>
      <c r="F78" s="17">
        <f t="shared" si="1"/>
        <v>10</v>
      </c>
    </row>
    <row r="79" spans="1:6" s="8" customFormat="1" ht="15.75" x14ac:dyDescent="0.25">
      <c r="A79" s="15" t="s">
        <v>139</v>
      </c>
      <c r="B79" s="16">
        <v>44193</v>
      </c>
      <c r="C79" s="26" t="s">
        <v>77</v>
      </c>
      <c r="D79" s="30">
        <v>6</v>
      </c>
      <c r="E79" s="13">
        <v>430</v>
      </c>
      <c r="F79" s="17">
        <f t="shared" si="1"/>
        <v>2580</v>
      </c>
    </row>
    <row r="80" spans="1:6" s="8" customFormat="1" ht="15.75" x14ac:dyDescent="0.25">
      <c r="A80" s="15" t="s">
        <v>140</v>
      </c>
      <c r="B80" s="16">
        <v>44193</v>
      </c>
      <c r="C80" s="26" t="s">
        <v>76</v>
      </c>
      <c r="D80" s="30">
        <v>2</v>
      </c>
      <c r="E80" s="13">
        <v>719.2</v>
      </c>
      <c r="F80" s="17">
        <f t="shared" si="1"/>
        <v>1438.4</v>
      </c>
    </row>
    <row r="81" spans="1:6" s="8" customFormat="1" ht="15.75" x14ac:dyDescent="0.25">
      <c r="A81" s="15" t="s">
        <v>141</v>
      </c>
      <c r="B81" s="23" t="s">
        <v>106</v>
      </c>
      <c r="C81" s="9" t="s">
        <v>198</v>
      </c>
      <c r="D81" s="30">
        <v>10</v>
      </c>
      <c r="E81" s="21">
        <v>1300</v>
      </c>
      <c r="F81" s="17">
        <f t="shared" si="1"/>
        <v>13000</v>
      </c>
    </row>
    <row r="82" spans="1:6" s="8" customFormat="1" ht="15.75" x14ac:dyDescent="0.25">
      <c r="A82" s="15" t="s">
        <v>58</v>
      </c>
      <c r="B82" s="23" t="s">
        <v>106</v>
      </c>
      <c r="C82" s="25" t="s">
        <v>489</v>
      </c>
      <c r="D82" s="30">
        <v>191</v>
      </c>
      <c r="E82" s="21">
        <v>216.8</v>
      </c>
      <c r="F82" s="17">
        <f t="shared" si="1"/>
        <v>41408.800000000003</v>
      </c>
    </row>
    <row r="83" spans="1:6" s="8" customFormat="1" ht="15.75" x14ac:dyDescent="0.25">
      <c r="A83" s="15" t="s">
        <v>59</v>
      </c>
      <c r="B83" s="16">
        <v>44193</v>
      </c>
      <c r="C83" s="27" t="s">
        <v>79</v>
      </c>
      <c r="D83" s="34">
        <v>205</v>
      </c>
      <c r="E83" s="13">
        <v>160</v>
      </c>
      <c r="F83" s="17">
        <f t="shared" si="1"/>
        <v>32800</v>
      </c>
    </row>
    <row r="84" spans="1:6" s="8" customFormat="1" ht="15.75" x14ac:dyDescent="0.25">
      <c r="A84" s="15" t="s">
        <v>60</v>
      </c>
      <c r="B84" s="16">
        <v>44193</v>
      </c>
      <c r="C84" s="26" t="s">
        <v>199</v>
      </c>
      <c r="D84" s="32">
        <v>1</v>
      </c>
      <c r="E84" s="13">
        <v>156.09</v>
      </c>
      <c r="F84" s="17">
        <f t="shared" si="1"/>
        <v>156.09</v>
      </c>
    </row>
    <row r="85" spans="1:6" s="8" customFormat="1" x14ac:dyDescent="0.25">
      <c r="A85" s="15" t="s">
        <v>61</v>
      </c>
      <c r="B85" s="23" t="s">
        <v>106</v>
      </c>
      <c r="C85" s="28" t="s">
        <v>200</v>
      </c>
      <c r="D85" s="35">
        <v>83</v>
      </c>
      <c r="E85" s="24">
        <v>28</v>
      </c>
      <c r="F85" s="17">
        <f t="shared" si="1"/>
        <v>2324</v>
      </c>
    </row>
    <row r="86" spans="1:6" s="8" customFormat="1" ht="15.75" x14ac:dyDescent="0.25">
      <c r="A86" s="15" t="s">
        <v>62</v>
      </c>
      <c r="B86" s="23" t="s">
        <v>114</v>
      </c>
      <c r="C86" s="26" t="s">
        <v>80</v>
      </c>
      <c r="D86" s="32">
        <v>9</v>
      </c>
      <c r="E86" s="21">
        <v>85</v>
      </c>
      <c r="F86" s="17">
        <f t="shared" si="1"/>
        <v>765</v>
      </c>
    </row>
    <row r="87" spans="1:6" s="8" customFormat="1" ht="15.75" x14ac:dyDescent="0.25">
      <c r="A87" s="15" t="s">
        <v>63</v>
      </c>
      <c r="B87" s="16">
        <v>44193</v>
      </c>
      <c r="C87" s="9" t="s">
        <v>201</v>
      </c>
      <c r="D87" s="33">
        <v>1</v>
      </c>
      <c r="E87" s="13">
        <v>550</v>
      </c>
      <c r="F87" s="17">
        <f t="shared" si="1"/>
        <v>550</v>
      </c>
    </row>
    <row r="88" spans="1:6" s="8" customFormat="1" ht="15.75" x14ac:dyDescent="0.25">
      <c r="A88" s="15" t="s">
        <v>64</v>
      </c>
      <c r="B88" s="16">
        <v>44193</v>
      </c>
      <c r="C88" s="25" t="s">
        <v>202</v>
      </c>
      <c r="D88" s="32">
        <v>13</v>
      </c>
      <c r="E88" s="13">
        <v>5</v>
      </c>
      <c r="F88" s="17">
        <f t="shared" si="1"/>
        <v>65</v>
      </c>
    </row>
    <row r="89" spans="1:6" s="8" customFormat="1" ht="15.75" x14ac:dyDescent="0.25">
      <c r="A89" s="15" t="s">
        <v>65</v>
      </c>
      <c r="B89" s="16">
        <v>44193</v>
      </c>
      <c r="C89" s="25" t="s">
        <v>81</v>
      </c>
      <c r="D89" s="32">
        <v>8</v>
      </c>
      <c r="E89" s="13">
        <v>95</v>
      </c>
      <c r="F89" s="17">
        <f t="shared" si="1"/>
        <v>760</v>
      </c>
    </row>
    <row r="90" spans="1:6" s="8" customFormat="1" ht="15.75" x14ac:dyDescent="0.25">
      <c r="A90" s="15" t="s">
        <v>66</v>
      </c>
      <c r="B90" s="16">
        <v>44193</v>
      </c>
      <c r="C90" s="26" t="s">
        <v>203</v>
      </c>
      <c r="D90" s="32">
        <v>1</v>
      </c>
      <c r="E90" s="13">
        <v>310</v>
      </c>
      <c r="F90" s="17">
        <f t="shared" si="1"/>
        <v>310</v>
      </c>
    </row>
    <row r="91" spans="1:6" s="8" customFormat="1" ht="15.75" x14ac:dyDescent="0.25">
      <c r="A91" s="15" t="s">
        <v>68</v>
      </c>
      <c r="B91" s="16">
        <v>44193</v>
      </c>
      <c r="C91" s="26" t="s">
        <v>204</v>
      </c>
      <c r="D91" s="14">
        <v>10</v>
      </c>
      <c r="E91" s="13">
        <v>35</v>
      </c>
      <c r="F91" s="17">
        <f t="shared" si="1"/>
        <v>350</v>
      </c>
    </row>
    <row r="92" spans="1:6" s="8" customFormat="1" ht="15.75" x14ac:dyDescent="0.25">
      <c r="A92" s="15" t="s">
        <v>67</v>
      </c>
      <c r="B92" s="16">
        <v>44193</v>
      </c>
      <c r="C92" s="9" t="s">
        <v>205</v>
      </c>
      <c r="D92" s="32">
        <v>14</v>
      </c>
      <c r="E92" s="13">
        <v>35</v>
      </c>
      <c r="F92" s="17">
        <f t="shared" si="1"/>
        <v>490</v>
      </c>
    </row>
    <row r="93" spans="1:6" s="8" customFormat="1" ht="15.75" x14ac:dyDescent="0.25">
      <c r="A93" s="15" t="s">
        <v>69</v>
      </c>
      <c r="B93" s="16">
        <v>44193</v>
      </c>
      <c r="C93" s="26" t="s">
        <v>206</v>
      </c>
      <c r="D93" s="33">
        <v>1</v>
      </c>
      <c r="E93" s="13">
        <v>425</v>
      </c>
      <c r="F93" s="17">
        <f t="shared" si="1"/>
        <v>425</v>
      </c>
    </row>
    <row r="94" spans="1:6" s="8" customFormat="1" ht="15.75" x14ac:dyDescent="0.25">
      <c r="A94" s="15" t="s">
        <v>103</v>
      </c>
      <c r="B94" s="23" t="s">
        <v>106</v>
      </c>
      <c r="C94" s="25" t="s">
        <v>207</v>
      </c>
      <c r="D94" s="32">
        <v>2</v>
      </c>
      <c r="E94" s="21">
        <v>2600</v>
      </c>
      <c r="F94" s="17">
        <f t="shared" si="1"/>
        <v>5200</v>
      </c>
    </row>
    <row r="95" spans="1:6" s="8" customFormat="1" ht="15.75" x14ac:dyDescent="0.25">
      <c r="A95" s="15" t="s">
        <v>104</v>
      </c>
      <c r="B95" s="23" t="s">
        <v>106</v>
      </c>
      <c r="C95" s="25" t="s">
        <v>490</v>
      </c>
      <c r="D95" s="32">
        <v>42</v>
      </c>
      <c r="E95" s="21">
        <v>2600</v>
      </c>
      <c r="F95" s="17">
        <f t="shared" si="1"/>
        <v>109200</v>
      </c>
    </row>
    <row r="96" spans="1:6" s="8" customFormat="1" ht="15.75" x14ac:dyDescent="0.25">
      <c r="A96" s="15" t="s">
        <v>142</v>
      </c>
      <c r="B96" s="16">
        <v>44193</v>
      </c>
      <c r="C96" s="25" t="s">
        <v>82</v>
      </c>
      <c r="D96" s="32">
        <v>8</v>
      </c>
      <c r="E96" s="13">
        <v>1375</v>
      </c>
      <c r="F96" s="17">
        <f t="shared" si="1"/>
        <v>11000</v>
      </c>
    </row>
    <row r="97" spans="1:6" s="8" customFormat="1" ht="15.75" x14ac:dyDescent="0.25">
      <c r="A97" s="15" t="s">
        <v>70</v>
      </c>
      <c r="B97" s="16">
        <v>44193</v>
      </c>
      <c r="C97" s="25" t="s">
        <v>208</v>
      </c>
      <c r="D97" s="32">
        <v>8</v>
      </c>
      <c r="E97" s="13">
        <v>180</v>
      </c>
      <c r="F97" s="17">
        <f t="shared" si="1"/>
        <v>1440</v>
      </c>
    </row>
    <row r="98" spans="1:6" s="8" customFormat="1" ht="15.75" x14ac:dyDescent="0.25">
      <c r="A98" s="15" t="s">
        <v>71</v>
      </c>
      <c r="B98" s="23" t="s">
        <v>106</v>
      </c>
      <c r="C98" s="25" t="s">
        <v>491</v>
      </c>
      <c r="D98" s="32">
        <v>8</v>
      </c>
      <c r="E98" s="21">
        <v>1375</v>
      </c>
      <c r="F98" s="17">
        <f t="shared" si="1"/>
        <v>11000</v>
      </c>
    </row>
    <row r="99" spans="1:6" s="8" customFormat="1" ht="15.75" x14ac:dyDescent="0.25">
      <c r="A99" s="15" t="s">
        <v>72</v>
      </c>
      <c r="B99" s="16">
        <v>44193</v>
      </c>
      <c r="C99" s="25" t="s">
        <v>209</v>
      </c>
      <c r="D99" s="32">
        <v>8</v>
      </c>
      <c r="E99" s="13">
        <v>2600</v>
      </c>
      <c r="F99" s="17">
        <f t="shared" si="1"/>
        <v>20800</v>
      </c>
    </row>
    <row r="100" spans="1:6" s="8" customFormat="1" ht="15.75" x14ac:dyDescent="0.25">
      <c r="A100" s="15" t="s">
        <v>73</v>
      </c>
      <c r="B100" s="23" t="s">
        <v>106</v>
      </c>
      <c r="C100" s="25" t="s">
        <v>83</v>
      </c>
      <c r="D100" s="32">
        <v>9</v>
      </c>
      <c r="E100" s="24">
        <v>2600</v>
      </c>
      <c r="F100" s="17">
        <f t="shared" si="1"/>
        <v>23400</v>
      </c>
    </row>
    <row r="101" spans="1:6" s="8" customFormat="1" ht="15.75" x14ac:dyDescent="0.25">
      <c r="A101" s="15" t="s">
        <v>74</v>
      </c>
      <c r="B101" s="23" t="s">
        <v>114</v>
      </c>
      <c r="C101" s="25" t="s">
        <v>492</v>
      </c>
      <c r="D101" s="32">
        <v>1</v>
      </c>
      <c r="E101" s="24">
        <v>2600</v>
      </c>
      <c r="F101" s="17">
        <f t="shared" si="1"/>
        <v>2600</v>
      </c>
    </row>
    <row r="102" spans="1:6" s="8" customFormat="1" ht="15.75" x14ac:dyDescent="0.25">
      <c r="A102" s="15" t="s">
        <v>101</v>
      </c>
      <c r="B102" s="16">
        <v>44193</v>
      </c>
      <c r="C102" s="25" t="s">
        <v>210</v>
      </c>
      <c r="D102" s="32">
        <v>5</v>
      </c>
      <c r="E102" s="13">
        <v>2600</v>
      </c>
      <c r="F102" s="17">
        <f t="shared" si="1"/>
        <v>13000</v>
      </c>
    </row>
    <row r="103" spans="1:6" s="8" customFormat="1" ht="15.75" x14ac:dyDescent="0.25">
      <c r="A103" s="15" t="s">
        <v>75</v>
      </c>
      <c r="B103" s="16">
        <v>44193</v>
      </c>
      <c r="C103" s="25" t="s">
        <v>84</v>
      </c>
      <c r="D103" s="32">
        <v>1</v>
      </c>
      <c r="E103" s="13">
        <v>2600</v>
      </c>
      <c r="F103" s="17">
        <f t="shared" si="1"/>
        <v>2600</v>
      </c>
    </row>
    <row r="104" spans="1:6" s="8" customFormat="1" ht="15.75" x14ac:dyDescent="0.25">
      <c r="A104" s="15" t="s">
        <v>102</v>
      </c>
      <c r="B104" s="16">
        <v>44193</v>
      </c>
      <c r="C104" s="9" t="s">
        <v>211</v>
      </c>
      <c r="D104" s="32">
        <v>5</v>
      </c>
      <c r="E104" s="13">
        <v>240</v>
      </c>
      <c r="F104" s="17">
        <f t="shared" si="1"/>
        <v>1200</v>
      </c>
    </row>
    <row r="105" spans="1:6" s="8" customFormat="1" ht="15.75" x14ac:dyDescent="0.25">
      <c r="A105" s="15" t="s">
        <v>143</v>
      </c>
      <c r="B105" s="16">
        <v>44193</v>
      </c>
      <c r="C105" s="26" t="s">
        <v>212</v>
      </c>
      <c r="D105" s="33">
        <v>26</v>
      </c>
      <c r="E105" s="13">
        <v>9.68</v>
      </c>
      <c r="F105" s="17">
        <f t="shared" si="1"/>
        <v>251.68</v>
      </c>
    </row>
    <row r="106" spans="1:6" s="8" customFormat="1" ht="15.75" x14ac:dyDescent="0.25">
      <c r="A106" s="15" t="s">
        <v>334</v>
      </c>
      <c r="B106" s="16">
        <v>44193</v>
      </c>
      <c r="C106" s="9" t="s">
        <v>213</v>
      </c>
      <c r="D106" s="32">
        <v>16</v>
      </c>
      <c r="E106" s="13">
        <v>4.55</v>
      </c>
      <c r="F106" s="17">
        <f t="shared" si="1"/>
        <v>72.8</v>
      </c>
    </row>
    <row r="107" spans="1:6" s="8" customFormat="1" ht="15.75" x14ac:dyDescent="0.25">
      <c r="A107" s="15" t="s">
        <v>335</v>
      </c>
      <c r="B107" s="16">
        <v>44193</v>
      </c>
      <c r="C107" s="9" t="s">
        <v>214</v>
      </c>
      <c r="D107" s="33">
        <v>56</v>
      </c>
      <c r="E107" s="13">
        <v>4.55</v>
      </c>
      <c r="F107" s="17">
        <f t="shared" si="1"/>
        <v>254.79999999999998</v>
      </c>
    </row>
    <row r="108" spans="1:6" s="8" customFormat="1" ht="15.75" x14ac:dyDescent="0.25">
      <c r="A108" s="15" t="s">
        <v>336</v>
      </c>
      <c r="B108" s="16">
        <v>44193</v>
      </c>
      <c r="C108" s="9" t="s">
        <v>215</v>
      </c>
      <c r="D108" s="33">
        <v>300</v>
      </c>
      <c r="E108" s="13">
        <v>319</v>
      </c>
      <c r="F108" s="17">
        <f t="shared" si="1"/>
        <v>95700</v>
      </c>
    </row>
    <row r="109" spans="1:6" s="8" customFormat="1" ht="15.75" x14ac:dyDescent="0.25">
      <c r="A109" s="15" t="s">
        <v>337</v>
      </c>
      <c r="B109" s="16">
        <v>44193</v>
      </c>
      <c r="C109" s="9" t="s">
        <v>216</v>
      </c>
      <c r="D109" s="36">
        <v>64</v>
      </c>
      <c r="E109" s="13">
        <v>40</v>
      </c>
      <c r="F109" s="17">
        <f t="shared" si="1"/>
        <v>2560</v>
      </c>
    </row>
    <row r="110" spans="1:6" s="8" customFormat="1" ht="15.75" x14ac:dyDescent="0.25">
      <c r="A110" s="15" t="s">
        <v>338</v>
      </c>
      <c r="B110" s="16">
        <v>44193</v>
      </c>
      <c r="C110" s="26" t="s">
        <v>217</v>
      </c>
      <c r="D110" s="36">
        <v>23</v>
      </c>
      <c r="E110" s="13">
        <v>550</v>
      </c>
      <c r="F110" s="17">
        <f t="shared" si="1"/>
        <v>12650</v>
      </c>
    </row>
    <row r="111" spans="1:6" s="8" customFormat="1" ht="15.75" x14ac:dyDescent="0.25">
      <c r="A111" s="15" t="s">
        <v>339</v>
      </c>
      <c r="B111" s="16">
        <v>44193</v>
      </c>
      <c r="C111" s="25" t="s">
        <v>218</v>
      </c>
      <c r="D111" s="37">
        <v>24</v>
      </c>
      <c r="E111" s="13">
        <v>550</v>
      </c>
      <c r="F111" s="17">
        <f t="shared" si="1"/>
        <v>13200</v>
      </c>
    </row>
    <row r="112" spans="1:6" s="8" customFormat="1" ht="15.75" x14ac:dyDescent="0.25">
      <c r="A112" s="15" t="s">
        <v>340</v>
      </c>
      <c r="B112" s="16">
        <v>44193</v>
      </c>
      <c r="C112" s="25" t="s">
        <v>219</v>
      </c>
      <c r="D112" s="37">
        <v>2</v>
      </c>
      <c r="E112" s="13">
        <v>390</v>
      </c>
      <c r="F112" s="17">
        <f t="shared" si="1"/>
        <v>780</v>
      </c>
    </row>
    <row r="113" spans="1:6" s="8" customFormat="1" ht="15.75" x14ac:dyDescent="0.25">
      <c r="A113" s="15" t="s">
        <v>341</v>
      </c>
      <c r="B113" s="16">
        <v>44193</v>
      </c>
      <c r="C113" s="9" t="s">
        <v>220</v>
      </c>
      <c r="D113" s="37">
        <v>18</v>
      </c>
      <c r="E113" s="13">
        <v>45</v>
      </c>
      <c r="F113" s="17">
        <f t="shared" si="1"/>
        <v>810</v>
      </c>
    </row>
    <row r="114" spans="1:6" s="8" customFormat="1" ht="15.75" x14ac:dyDescent="0.25">
      <c r="A114" s="15" t="s">
        <v>342</v>
      </c>
      <c r="B114" s="16">
        <v>44193</v>
      </c>
      <c r="C114" s="25" t="s">
        <v>221</v>
      </c>
      <c r="D114" s="36">
        <v>7</v>
      </c>
      <c r="E114" s="13">
        <v>80</v>
      </c>
      <c r="F114" s="17">
        <f t="shared" si="1"/>
        <v>560</v>
      </c>
    </row>
    <row r="115" spans="1:6" s="8" customFormat="1" ht="15.75" x14ac:dyDescent="0.25">
      <c r="A115" s="15" t="s">
        <v>343</v>
      </c>
      <c r="B115" s="16">
        <v>44193</v>
      </c>
      <c r="C115" s="26" t="s">
        <v>222</v>
      </c>
      <c r="D115" s="32">
        <v>12</v>
      </c>
      <c r="E115" s="13">
        <v>26.01</v>
      </c>
      <c r="F115" s="17">
        <f t="shared" si="1"/>
        <v>312.12</v>
      </c>
    </row>
    <row r="116" spans="1:6" s="8" customFormat="1" ht="15.75" x14ac:dyDescent="0.25">
      <c r="A116" s="15" t="s">
        <v>344</v>
      </c>
      <c r="B116" s="16">
        <v>44193</v>
      </c>
      <c r="C116" s="9" t="s">
        <v>223</v>
      </c>
      <c r="D116" s="32">
        <v>14</v>
      </c>
      <c r="E116" s="13">
        <v>231</v>
      </c>
      <c r="F116" s="17">
        <f t="shared" si="1"/>
        <v>3234</v>
      </c>
    </row>
    <row r="117" spans="1:6" s="8" customFormat="1" ht="15.75" x14ac:dyDescent="0.25">
      <c r="A117" s="15" t="s">
        <v>345</v>
      </c>
      <c r="B117" s="16">
        <v>44193</v>
      </c>
      <c r="C117" s="9" t="s">
        <v>224</v>
      </c>
      <c r="D117" s="36">
        <v>29</v>
      </c>
      <c r="E117" s="13">
        <v>225</v>
      </c>
      <c r="F117" s="17">
        <f t="shared" si="1"/>
        <v>6525</v>
      </c>
    </row>
    <row r="118" spans="1:6" s="8" customFormat="1" ht="15.75" x14ac:dyDescent="0.25">
      <c r="A118" s="15" t="s">
        <v>346</v>
      </c>
      <c r="B118" s="16">
        <v>44193</v>
      </c>
      <c r="C118" s="26" t="s">
        <v>225</v>
      </c>
      <c r="D118" s="36">
        <v>19</v>
      </c>
      <c r="E118" s="13">
        <v>125</v>
      </c>
      <c r="F118" s="17">
        <f t="shared" si="1"/>
        <v>2375</v>
      </c>
    </row>
    <row r="119" spans="1:6" s="8" customFormat="1" ht="15.75" x14ac:dyDescent="0.25">
      <c r="A119" s="15" t="s">
        <v>347</v>
      </c>
      <c r="B119" s="16">
        <v>44193</v>
      </c>
      <c r="C119" s="25" t="s">
        <v>226</v>
      </c>
      <c r="D119" s="38">
        <v>59</v>
      </c>
      <c r="E119" s="13">
        <v>125</v>
      </c>
      <c r="F119" s="17">
        <f t="shared" si="1"/>
        <v>7375</v>
      </c>
    </row>
    <row r="120" spans="1:6" s="8" customFormat="1" ht="15.75" x14ac:dyDescent="0.25">
      <c r="A120" s="15" t="s">
        <v>348</v>
      </c>
      <c r="B120" s="16">
        <v>44193</v>
      </c>
      <c r="C120" s="26" t="s">
        <v>227</v>
      </c>
      <c r="D120" s="32">
        <v>2</v>
      </c>
      <c r="E120" s="13">
        <v>125</v>
      </c>
      <c r="F120" s="17">
        <f t="shared" si="1"/>
        <v>250</v>
      </c>
    </row>
    <row r="121" spans="1:6" s="8" customFormat="1" ht="15.75" x14ac:dyDescent="0.25">
      <c r="A121" s="15" t="s">
        <v>349</v>
      </c>
      <c r="B121" s="16">
        <v>44193</v>
      </c>
      <c r="C121" s="26" t="s">
        <v>228</v>
      </c>
      <c r="D121" s="32">
        <v>7</v>
      </c>
      <c r="E121" s="13">
        <v>125</v>
      </c>
      <c r="F121" s="17">
        <f t="shared" si="1"/>
        <v>875</v>
      </c>
    </row>
    <row r="122" spans="1:6" s="8" customFormat="1" ht="15.75" x14ac:dyDescent="0.25">
      <c r="A122" s="15" t="s">
        <v>350</v>
      </c>
      <c r="B122" s="16">
        <v>44193</v>
      </c>
      <c r="C122" s="26" t="s">
        <v>85</v>
      </c>
      <c r="D122" s="32">
        <v>9</v>
      </c>
      <c r="E122" s="13">
        <v>125</v>
      </c>
      <c r="F122" s="17">
        <f t="shared" si="1"/>
        <v>1125</v>
      </c>
    </row>
    <row r="123" spans="1:6" s="8" customFormat="1" ht="15.75" x14ac:dyDescent="0.25">
      <c r="A123" s="15" t="s">
        <v>351</v>
      </c>
      <c r="B123" s="16">
        <v>44193</v>
      </c>
      <c r="C123" s="25" t="s">
        <v>86</v>
      </c>
      <c r="D123" s="32">
        <v>7</v>
      </c>
      <c r="E123" s="13">
        <v>125</v>
      </c>
      <c r="F123" s="17">
        <f t="shared" si="1"/>
        <v>875</v>
      </c>
    </row>
    <row r="124" spans="1:6" s="8" customFormat="1" ht="15.75" x14ac:dyDescent="0.25">
      <c r="A124" s="15" t="s">
        <v>352</v>
      </c>
      <c r="B124" s="23" t="s">
        <v>106</v>
      </c>
      <c r="C124" s="25" t="s">
        <v>229</v>
      </c>
      <c r="D124" s="32">
        <v>9</v>
      </c>
      <c r="E124" s="40">
        <v>116</v>
      </c>
      <c r="F124" s="17">
        <f t="shared" si="1"/>
        <v>1044</v>
      </c>
    </row>
    <row r="125" spans="1:6" s="8" customFormat="1" ht="15.75" x14ac:dyDescent="0.25">
      <c r="A125" s="15" t="s">
        <v>353</v>
      </c>
      <c r="B125" s="16">
        <v>44193</v>
      </c>
      <c r="C125" s="9" t="s">
        <v>230</v>
      </c>
      <c r="D125" s="32">
        <v>13</v>
      </c>
      <c r="E125" s="13">
        <v>230</v>
      </c>
      <c r="F125" s="17">
        <f t="shared" si="1"/>
        <v>2990</v>
      </c>
    </row>
    <row r="126" spans="1:6" s="8" customFormat="1" ht="15.75" x14ac:dyDescent="0.25">
      <c r="A126" s="15" t="s">
        <v>354</v>
      </c>
      <c r="B126" s="16">
        <v>44193</v>
      </c>
      <c r="C126" s="9" t="s">
        <v>231</v>
      </c>
      <c r="D126" s="36">
        <v>50</v>
      </c>
      <c r="E126" s="13">
        <v>35</v>
      </c>
      <c r="F126" s="17">
        <f t="shared" si="1"/>
        <v>1750</v>
      </c>
    </row>
    <row r="127" spans="1:6" s="8" customFormat="1" ht="15.75" x14ac:dyDescent="0.25">
      <c r="A127" s="15" t="s">
        <v>355</v>
      </c>
      <c r="B127" s="16">
        <v>44193</v>
      </c>
      <c r="C127" s="9" t="s">
        <v>232</v>
      </c>
      <c r="D127" s="36">
        <v>2</v>
      </c>
      <c r="E127" s="13">
        <v>35</v>
      </c>
      <c r="F127" s="17">
        <f t="shared" si="1"/>
        <v>70</v>
      </c>
    </row>
    <row r="128" spans="1:6" s="8" customFormat="1" ht="15.75" x14ac:dyDescent="0.25">
      <c r="A128" s="15" t="s">
        <v>356</v>
      </c>
      <c r="B128" s="16">
        <v>44193</v>
      </c>
      <c r="C128" s="9" t="s">
        <v>233</v>
      </c>
      <c r="D128" s="36">
        <v>5</v>
      </c>
      <c r="E128" s="13">
        <v>17.920000000000002</v>
      </c>
      <c r="F128" s="17">
        <f t="shared" si="1"/>
        <v>89.600000000000009</v>
      </c>
    </row>
    <row r="129" spans="1:6" s="8" customFormat="1" ht="15.75" x14ac:dyDescent="0.25">
      <c r="A129" s="15" t="s">
        <v>357</v>
      </c>
      <c r="B129" s="16">
        <v>44193</v>
      </c>
      <c r="C129" s="26" t="s">
        <v>87</v>
      </c>
      <c r="D129" s="36">
        <v>200</v>
      </c>
      <c r="E129" s="13">
        <v>62</v>
      </c>
      <c r="F129" s="17">
        <f t="shared" si="1"/>
        <v>12400</v>
      </c>
    </row>
    <row r="130" spans="1:6" s="8" customFormat="1" ht="15.75" x14ac:dyDescent="0.25">
      <c r="A130" s="15" t="s">
        <v>358</v>
      </c>
      <c r="B130" s="16">
        <v>44193</v>
      </c>
      <c r="C130" s="25" t="s">
        <v>234</v>
      </c>
      <c r="D130" s="37">
        <v>63</v>
      </c>
      <c r="E130" s="13">
        <v>231</v>
      </c>
      <c r="F130" s="17">
        <f t="shared" si="1"/>
        <v>14553</v>
      </c>
    </row>
    <row r="131" spans="1:6" s="8" customFormat="1" ht="15.75" x14ac:dyDescent="0.25">
      <c r="A131" s="15" t="s">
        <v>359</v>
      </c>
      <c r="B131" s="16">
        <v>44193</v>
      </c>
      <c r="C131" s="9" t="s">
        <v>235</v>
      </c>
      <c r="D131" s="37">
        <v>129</v>
      </c>
      <c r="E131" s="13">
        <v>58.68</v>
      </c>
      <c r="F131" s="17">
        <f t="shared" si="1"/>
        <v>7569.72</v>
      </c>
    </row>
    <row r="132" spans="1:6" s="8" customFormat="1" ht="15.75" x14ac:dyDescent="0.25">
      <c r="A132" s="15" t="s">
        <v>360</v>
      </c>
      <c r="B132" s="16">
        <v>44193</v>
      </c>
      <c r="C132" s="9" t="s">
        <v>236</v>
      </c>
      <c r="D132" s="36">
        <v>29</v>
      </c>
      <c r="E132" s="13">
        <v>500</v>
      </c>
      <c r="F132" s="17">
        <f t="shared" si="1"/>
        <v>14500</v>
      </c>
    </row>
    <row r="133" spans="1:6" s="8" customFormat="1" ht="15.75" x14ac:dyDescent="0.25">
      <c r="A133" s="15" t="s">
        <v>361</v>
      </c>
      <c r="B133" s="16">
        <v>44193</v>
      </c>
      <c r="C133" s="9" t="s">
        <v>237</v>
      </c>
      <c r="D133" s="30">
        <v>22</v>
      </c>
      <c r="E133" s="13">
        <v>110</v>
      </c>
      <c r="F133" s="17">
        <f t="shared" si="1"/>
        <v>2420</v>
      </c>
    </row>
    <row r="134" spans="1:6" s="8" customFormat="1" ht="15.75" x14ac:dyDescent="0.25">
      <c r="A134" s="15" t="s">
        <v>362</v>
      </c>
      <c r="B134" s="16">
        <v>44193</v>
      </c>
      <c r="C134" s="9" t="s">
        <v>238</v>
      </c>
      <c r="D134" s="36">
        <v>180</v>
      </c>
      <c r="E134" s="13">
        <v>175</v>
      </c>
      <c r="F134" s="17">
        <f t="shared" si="1"/>
        <v>31500</v>
      </c>
    </row>
    <row r="135" spans="1:6" s="8" customFormat="1" ht="15.75" x14ac:dyDescent="0.25">
      <c r="A135" s="15" t="s">
        <v>363</v>
      </c>
      <c r="B135" s="23" t="s">
        <v>106</v>
      </c>
      <c r="C135" s="9" t="s">
        <v>239</v>
      </c>
      <c r="D135" s="36">
        <v>47</v>
      </c>
      <c r="E135" s="21">
        <v>300</v>
      </c>
      <c r="F135" s="17">
        <f t="shared" si="1"/>
        <v>14100</v>
      </c>
    </row>
    <row r="136" spans="1:6" s="8" customFormat="1" ht="15.75" x14ac:dyDescent="0.25">
      <c r="A136" s="15" t="s">
        <v>364</v>
      </c>
      <c r="B136" s="23" t="s">
        <v>106</v>
      </c>
      <c r="C136" s="9" t="s">
        <v>240</v>
      </c>
      <c r="D136" s="36">
        <v>40</v>
      </c>
      <c r="E136" s="21">
        <v>350</v>
      </c>
      <c r="F136" s="17">
        <f t="shared" si="1"/>
        <v>14000</v>
      </c>
    </row>
    <row r="137" spans="1:6" s="8" customFormat="1" ht="15.75" x14ac:dyDescent="0.25">
      <c r="A137" s="15" t="s">
        <v>365</v>
      </c>
      <c r="B137" s="23" t="s">
        <v>106</v>
      </c>
      <c r="C137" s="9" t="s">
        <v>241</v>
      </c>
      <c r="D137" s="36">
        <v>10</v>
      </c>
      <c r="E137" s="21">
        <v>110</v>
      </c>
      <c r="F137" s="17">
        <f t="shared" ref="F137:F200" si="2">D137*E137</f>
        <v>1100</v>
      </c>
    </row>
    <row r="138" spans="1:6" s="8" customFormat="1" ht="15.75" x14ac:dyDescent="0.25">
      <c r="A138" s="15" t="s">
        <v>366</v>
      </c>
      <c r="B138" s="23" t="s">
        <v>106</v>
      </c>
      <c r="C138" s="26" t="s">
        <v>242</v>
      </c>
      <c r="D138" s="36">
        <v>1</v>
      </c>
      <c r="E138" s="21">
        <v>175</v>
      </c>
      <c r="F138" s="17">
        <f t="shared" si="2"/>
        <v>175</v>
      </c>
    </row>
    <row r="139" spans="1:6" s="8" customFormat="1" ht="15.75" x14ac:dyDescent="0.25">
      <c r="A139" s="15" t="s">
        <v>367</v>
      </c>
      <c r="B139" s="16">
        <v>44193</v>
      </c>
      <c r="C139" s="9" t="s">
        <v>243</v>
      </c>
      <c r="D139" s="32">
        <v>1</v>
      </c>
      <c r="E139" s="13">
        <v>900</v>
      </c>
      <c r="F139" s="17">
        <f t="shared" si="2"/>
        <v>900</v>
      </c>
    </row>
    <row r="140" spans="1:6" s="8" customFormat="1" ht="15.75" x14ac:dyDescent="0.25">
      <c r="A140" s="15" t="s">
        <v>368</v>
      </c>
      <c r="B140" s="16">
        <v>44193</v>
      </c>
      <c r="C140" s="25" t="s">
        <v>244</v>
      </c>
      <c r="D140" s="33">
        <v>3</v>
      </c>
      <c r="E140" s="13">
        <v>79.8</v>
      </c>
      <c r="F140" s="17">
        <f t="shared" si="2"/>
        <v>239.39999999999998</v>
      </c>
    </row>
    <row r="141" spans="1:6" s="8" customFormat="1" ht="15.75" x14ac:dyDescent="0.25">
      <c r="A141" s="15" t="s">
        <v>369</v>
      </c>
      <c r="B141" s="16">
        <v>44193</v>
      </c>
      <c r="C141" s="25" t="s">
        <v>245</v>
      </c>
      <c r="D141" s="32">
        <v>4</v>
      </c>
      <c r="E141" s="13">
        <v>18</v>
      </c>
      <c r="F141" s="17">
        <f t="shared" si="2"/>
        <v>72</v>
      </c>
    </row>
    <row r="142" spans="1:6" s="8" customFormat="1" ht="15.75" x14ac:dyDescent="0.25">
      <c r="A142" s="15" t="s">
        <v>370</v>
      </c>
      <c r="B142" s="16">
        <v>44193</v>
      </c>
      <c r="C142" s="25" t="s">
        <v>246</v>
      </c>
      <c r="D142" s="32">
        <v>7</v>
      </c>
      <c r="E142" s="13">
        <v>79.8</v>
      </c>
      <c r="F142" s="17">
        <f t="shared" si="2"/>
        <v>558.6</v>
      </c>
    </row>
    <row r="143" spans="1:6" s="8" customFormat="1" ht="15.75" x14ac:dyDescent="0.25">
      <c r="A143" s="15" t="s">
        <v>371</v>
      </c>
      <c r="B143" s="16">
        <v>44193</v>
      </c>
      <c r="C143" s="25" t="s">
        <v>247</v>
      </c>
      <c r="D143" s="37">
        <v>7</v>
      </c>
      <c r="E143" s="13">
        <v>63.93</v>
      </c>
      <c r="F143" s="17">
        <f t="shared" si="2"/>
        <v>447.51</v>
      </c>
    </row>
    <row r="144" spans="1:6" s="8" customFormat="1" ht="15.75" x14ac:dyDescent="0.25">
      <c r="A144" s="15" t="s">
        <v>372</v>
      </c>
      <c r="B144" s="16">
        <v>44193</v>
      </c>
      <c r="C144" s="26" t="s">
        <v>248</v>
      </c>
      <c r="D144" s="37">
        <v>21</v>
      </c>
      <c r="E144" s="13">
        <v>165</v>
      </c>
      <c r="F144" s="17">
        <f t="shared" si="2"/>
        <v>3465</v>
      </c>
    </row>
    <row r="145" spans="1:6" s="8" customFormat="1" ht="15.75" x14ac:dyDescent="0.25">
      <c r="A145" s="15" t="s">
        <v>373</v>
      </c>
      <c r="B145" s="16">
        <v>44193</v>
      </c>
      <c r="C145" s="25" t="s">
        <v>249</v>
      </c>
      <c r="D145" s="37">
        <v>1</v>
      </c>
      <c r="E145" s="13">
        <v>905.19</v>
      </c>
      <c r="F145" s="17">
        <f t="shared" si="2"/>
        <v>905.19</v>
      </c>
    </row>
    <row r="146" spans="1:6" s="8" customFormat="1" ht="15.75" x14ac:dyDescent="0.25">
      <c r="A146" s="15" t="s">
        <v>374</v>
      </c>
      <c r="B146" s="16">
        <v>44193</v>
      </c>
      <c r="C146" s="26" t="s">
        <v>505</v>
      </c>
      <c r="D146" s="37">
        <v>18</v>
      </c>
      <c r="E146" s="13">
        <v>165</v>
      </c>
      <c r="F146" s="17">
        <f t="shared" si="2"/>
        <v>2970</v>
      </c>
    </row>
    <row r="147" spans="1:6" s="8" customFormat="1" ht="15.75" x14ac:dyDescent="0.25">
      <c r="A147" s="15" t="s">
        <v>375</v>
      </c>
      <c r="B147" s="16">
        <v>44193</v>
      </c>
      <c r="C147" s="26" t="s">
        <v>251</v>
      </c>
      <c r="D147" s="37">
        <v>4</v>
      </c>
      <c r="E147" s="13">
        <v>676.73</v>
      </c>
      <c r="F147" s="17">
        <f t="shared" si="2"/>
        <v>2706.92</v>
      </c>
    </row>
    <row r="148" spans="1:6" s="8" customFormat="1" ht="15.75" x14ac:dyDescent="0.25">
      <c r="A148" s="15" t="s">
        <v>376</v>
      </c>
      <c r="B148" s="16">
        <v>44193</v>
      </c>
      <c r="C148" s="26" t="s">
        <v>89</v>
      </c>
      <c r="D148" s="37">
        <v>10</v>
      </c>
      <c r="E148" s="13">
        <v>603.45000000000005</v>
      </c>
      <c r="F148" s="17">
        <f t="shared" si="2"/>
        <v>6034.5</v>
      </c>
    </row>
    <row r="149" spans="1:6" s="8" customFormat="1" ht="15.75" x14ac:dyDescent="0.25">
      <c r="A149" s="15" t="s">
        <v>377</v>
      </c>
      <c r="B149" s="16">
        <v>44193</v>
      </c>
      <c r="C149" s="26" t="s">
        <v>88</v>
      </c>
      <c r="D149" s="38">
        <v>20</v>
      </c>
      <c r="E149" s="13">
        <v>770</v>
      </c>
      <c r="F149" s="17">
        <f t="shared" si="2"/>
        <v>15400</v>
      </c>
    </row>
    <row r="150" spans="1:6" s="8" customFormat="1" ht="15.75" x14ac:dyDescent="0.25">
      <c r="A150" s="15" t="s">
        <v>378</v>
      </c>
      <c r="B150" s="16">
        <v>44193</v>
      </c>
      <c r="C150" s="26" t="s">
        <v>252</v>
      </c>
      <c r="D150" s="38">
        <v>1</v>
      </c>
      <c r="E150" s="13">
        <v>760</v>
      </c>
      <c r="F150" s="17">
        <f t="shared" si="2"/>
        <v>760</v>
      </c>
    </row>
    <row r="151" spans="1:6" s="8" customFormat="1" ht="15.75" x14ac:dyDescent="0.25">
      <c r="A151" s="15" t="s">
        <v>379</v>
      </c>
      <c r="B151" s="16">
        <v>44193</v>
      </c>
      <c r="C151" s="9" t="s">
        <v>253</v>
      </c>
      <c r="D151" s="33">
        <v>4</v>
      </c>
      <c r="E151" s="13">
        <v>960</v>
      </c>
      <c r="F151" s="17">
        <f t="shared" si="2"/>
        <v>3840</v>
      </c>
    </row>
    <row r="152" spans="1:6" s="8" customFormat="1" ht="15.75" x14ac:dyDescent="0.25">
      <c r="A152" s="15" t="s">
        <v>380</v>
      </c>
      <c r="B152" s="16">
        <v>44193</v>
      </c>
      <c r="C152" s="9" t="s">
        <v>254</v>
      </c>
      <c r="D152" s="33">
        <v>43</v>
      </c>
      <c r="E152" s="13">
        <v>676.73</v>
      </c>
      <c r="F152" s="17">
        <f t="shared" si="2"/>
        <v>29099.39</v>
      </c>
    </row>
    <row r="153" spans="1:6" s="8" customFormat="1" ht="15.75" x14ac:dyDescent="0.25">
      <c r="A153" s="15" t="s">
        <v>381</v>
      </c>
      <c r="B153" s="16">
        <v>44193</v>
      </c>
      <c r="C153" s="9" t="s">
        <v>255</v>
      </c>
      <c r="D153" s="33">
        <v>8</v>
      </c>
      <c r="E153" s="13">
        <v>700.56</v>
      </c>
      <c r="F153" s="17">
        <f t="shared" si="2"/>
        <v>5604.48</v>
      </c>
    </row>
    <row r="154" spans="1:6" s="8" customFormat="1" ht="15.75" x14ac:dyDescent="0.25">
      <c r="A154" s="15" t="s">
        <v>382</v>
      </c>
      <c r="B154" s="16">
        <v>44193</v>
      </c>
      <c r="C154" s="9" t="s">
        <v>256</v>
      </c>
      <c r="D154" s="33">
        <v>2</v>
      </c>
      <c r="E154" s="13">
        <v>719.1</v>
      </c>
      <c r="F154" s="17">
        <f t="shared" si="2"/>
        <v>1438.2</v>
      </c>
    </row>
    <row r="155" spans="1:6" s="8" customFormat="1" ht="15.75" x14ac:dyDescent="0.25">
      <c r="A155" s="15" t="s">
        <v>383</v>
      </c>
      <c r="B155" s="16">
        <v>44193</v>
      </c>
      <c r="C155" s="9" t="s">
        <v>257</v>
      </c>
      <c r="D155" s="33">
        <v>3</v>
      </c>
      <c r="E155" s="13">
        <v>719.1</v>
      </c>
      <c r="F155" s="17">
        <f t="shared" si="2"/>
        <v>2157.3000000000002</v>
      </c>
    </row>
    <row r="156" spans="1:6" s="8" customFormat="1" ht="15.75" x14ac:dyDescent="0.25">
      <c r="A156" s="15" t="s">
        <v>384</v>
      </c>
      <c r="B156" s="16">
        <v>44193</v>
      </c>
      <c r="C156" s="26" t="s">
        <v>258</v>
      </c>
      <c r="D156" s="32">
        <v>11</v>
      </c>
      <c r="E156" s="13">
        <v>13</v>
      </c>
      <c r="F156" s="17">
        <f t="shared" si="2"/>
        <v>143</v>
      </c>
    </row>
    <row r="157" spans="1:6" s="8" customFormat="1" ht="15.75" x14ac:dyDescent="0.25">
      <c r="A157" s="15" t="s">
        <v>385</v>
      </c>
      <c r="B157" s="16">
        <v>44193</v>
      </c>
      <c r="C157" s="25" t="s">
        <v>259</v>
      </c>
      <c r="D157" s="32">
        <v>2</v>
      </c>
      <c r="E157" s="13">
        <v>15</v>
      </c>
      <c r="F157" s="17">
        <f t="shared" si="2"/>
        <v>30</v>
      </c>
    </row>
    <row r="158" spans="1:6" s="8" customFormat="1" ht="15.75" x14ac:dyDescent="0.25">
      <c r="A158" s="15" t="s">
        <v>386</v>
      </c>
      <c r="B158" s="16">
        <v>44193</v>
      </c>
      <c r="C158" s="25" t="s">
        <v>260</v>
      </c>
      <c r="D158" s="32">
        <v>2</v>
      </c>
      <c r="E158" s="13">
        <v>550</v>
      </c>
      <c r="F158" s="17">
        <f t="shared" si="2"/>
        <v>1100</v>
      </c>
    </row>
    <row r="159" spans="1:6" s="8" customFormat="1" ht="15.75" x14ac:dyDescent="0.25">
      <c r="A159" s="15" t="s">
        <v>387</v>
      </c>
      <c r="B159" s="16">
        <v>44193</v>
      </c>
      <c r="C159" s="26" t="s">
        <v>493</v>
      </c>
      <c r="D159" s="39">
        <v>13.5</v>
      </c>
      <c r="E159" s="13">
        <v>17.07</v>
      </c>
      <c r="F159" s="17">
        <f t="shared" si="2"/>
        <v>230.44499999999999</v>
      </c>
    </row>
    <row r="160" spans="1:6" s="8" customFormat="1" ht="15.75" x14ac:dyDescent="0.25">
      <c r="A160" s="15" t="s">
        <v>388</v>
      </c>
      <c r="B160" s="23" t="s">
        <v>108</v>
      </c>
      <c r="C160" s="26" t="s">
        <v>90</v>
      </c>
      <c r="D160" s="32">
        <v>4</v>
      </c>
      <c r="E160" s="21">
        <v>65</v>
      </c>
      <c r="F160" s="17">
        <f t="shared" si="2"/>
        <v>260</v>
      </c>
    </row>
    <row r="161" spans="1:6" s="8" customFormat="1" ht="15.75" x14ac:dyDescent="0.25">
      <c r="A161" s="15" t="s">
        <v>389</v>
      </c>
      <c r="B161" s="23" t="s">
        <v>116</v>
      </c>
      <c r="C161" s="25" t="s">
        <v>261</v>
      </c>
      <c r="D161" s="32">
        <v>19</v>
      </c>
      <c r="E161" s="21">
        <v>122.43</v>
      </c>
      <c r="F161" s="17">
        <f t="shared" si="2"/>
        <v>2326.17</v>
      </c>
    </row>
    <row r="162" spans="1:6" s="8" customFormat="1" ht="15.75" x14ac:dyDescent="0.25">
      <c r="A162" s="15" t="s">
        <v>390</v>
      </c>
      <c r="B162" s="16">
        <v>44193</v>
      </c>
      <c r="C162" s="9" t="s">
        <v>262</v>
      </c>
      <c r="D162" s="33">
        <v>6</v>
      </c>
      <c r="E162" s="13">
        <v>125</v>
      </c>
      <c r="F162" s="17">
        <f t="shared" si="2"/>
        <v>750</v>
      </c>
    </row>
    <row r="163" spans="1:6" s="8" customFormat="1" ht="15.75" x14ac:dyDescent="0.25">
      <c r="A163" s="15" t="s">
        <v>391</v>
      </c>
      <c r="B163" s="16">
        <v>44193</v>
      </c>
      <c r="C163" s="9" t="s">
        <v>263</v>
      </c>
      <c r="D163" s="33">
        <v>1</v>
      </c>
      <c r="E163" s="13">
        <v>5</v>
      </c>
      <c r="F163" s="17">
        <f t="shared" si="2"/>
        <v>5</v>
      </c>
    </row>
    <row r="164" spans="1:6" s="8" customFormat="1" ht="15.75" x14ac:dyDescent="0.25">
      <c r="A164" s="15" t="s">
        <v>392</v>
      </c>
      <c r="B164" s="16">
        <v>44193</v>
      </c>
      <c r="C164" s="9" t="s">
        <v>494</v>
      </c>
      <c r="D164" s="33">
        <v>10</v>
      </c>
      <c r="E164" s="13">
        <v>72.8</v>
      </c>
      <c r="F164" s="17">
        <f t="shared" si="2"/>
        <v>728</v>
      </c>
    </row>
    <row r="165" spans="1:6" s="8" customFormat="1" ht="15.75" x14ac:dyDescent="0.25">
      <c r="A165" s="15" t="s">
        <v>393</v>
      </c>
      <c r="B165" s="16">
        <v>44193</v>
      </c>
      <c r="C165" s="9" t="s">
        <v>264</v>
      </c>
      <c r="D165" s="33">
        <v>2</v>
      </c>
      <c r="E165" s="13">
        <v>50</v>
      </c>
      <c r="F165" s="17">
        <f t="shared" si="2"/>
        <v>100</v>
      </c>
    </row>
    <row r="166" spans="1:6" s="8" customFormat="1" ht="15.75" x14ac:dyDescent="0.25">
      <c r="A166" s="15" t="s">
        <v>394</v>
      </c>
      <c r="B166" s="16">
        <v>44193</v>
      </c>
      <c r="C166" s="9" t="s">
        <v>265</v>
      </c>
      <c r="D166" s="33">
        <v>11</v>
      </c>
      <c r="E166" s="13">
        <v>37.74</v>
      </c>
      <c r="F166" s="17">
        <f t="shared" si="2"/>
        <v>415.14000000000004</v>
      </c>
    </row>
    <row r="167" spans="1:6" s="8" customFormat="1" ht="15.75" x14ac:dyDescent="0.25">
      <c r="A167" s="15" t="s">
        <v>395</v>
      </c>
      <c r="B167" s="16">
        <v>44193</v>
      </c>
      <c r="C167" s="9" t="s">
        <v>266</v>
      </c>
      <c r="D167" s="33">
        <v>94</v>
      </c>
      <c r="E167" s="13">
        <v>50</v>
      </c>
      <c r="F167" s="17">
        <f t="shared" si="2"/>
        <v>4700</v>
      </c>
    </row>
    <row r="168" spans="1:6" s="8" customFormat="1" ht="15.75" x14ac:dyDescent="0.25">
      <c r="A168" s="15" t="s">
        <v>396</v>
      </c>
      <c r="B168" s="16">
        <v>44193</v>
      </c>
      <c r="C168" s="9" t="s">
        <v>267</v>
      </c>
      <c r="D168" s="14">
        <v>10</v>
      </c>
      <c r="E168" s="13">
        <v>55</v>
      </c>
      <c r="F168" s="17">
        <f t="shared" si="2"/>
        <v>550</v>
      </c>
    </row>
    <row r="169" spans="1:6" s="8" customFormat="1" ht="15.75" x14ac:dyDescent="0.25">
      <c r="A169" s="15" t="s">
        <v>397</v>
      </c>
      <c r="B169" s="16">
        <v>44193</v>
      </c>
      <c r="C169" s="9" t="s">
        <v>495</v>
      </c>
      <c r="D169" s="14">
        <v>109</v>
      </c>
      <c r="E169" s="13">
        <v>110.17</v>
      </c>
      <c r="F169" s="17">
        <f t="shared" si="2"/>
        <v>12008.53</v>
      </c>
    </row>
    <row r="170" spans="1:6" s="8" customFormat="1" ht="15.75" x14ac:dyDescent="0.25">
      <c r="A170" s="15" t="s">
        <v>398</v>
      </c>
      <c r="B170" s="16">
        <v>44193</v>
      </c>
      <c r="C170" s="9" t="s">
        <v>496</v>
      </c>
      <c r="D170" s="30">
        <v>75</v>
      </c>
      <c r="E170" s="13">
        <v>1416</v>
      </c>
      <c r="F170" s="17">
        <f t="shared" si="2"/>
        <v>106200</v>
      </c>
    </row>
    <row r="171" spans="1:6" s="8" customFormat="1" ht="15.75" x14ac:dyDescent="0.25">
      <c r="A171" s="15" t="s">
        <v>399</v>
      </c>
      <c r="B171" s="16">
        <v>44193</v>
      </c>
      <c r="C171" s="9" t="s">
        <v>268</v>
      </c>
      <c r="D171" s="30">
        <v>10</v>
      </c>
      <c r="E171" s="13">
        <v>128</v>
      </c>
      <c r="F171" s="17">
        <f t="shared" si="2"/>
        <v>1280</v>
      </c>
    </row>
    <row r="172" spans="1:6" s="8" customFormat="1" ht="15.75" x14ac:dyDescent="0.25">
      <c r="A172" s="15" t="s">
        <v>400</v>
      </c>
      <c r="B172" s="16">
        <v>44193</v>
      </c>
      <c r="C172" s="9" t="s">
        <v>269</v>
      </c>
      <c r="D172" s="30">
        <v>25</v>
      </c>
      <c r="E172" s="13">
        <v>107</v>
      </c>
      <c r="F172" s="17">
        <f t="shared" si="2"/>
        <v>2675</v>
      </c>
    </row>
    <row r="173" spans="1:6" s="8" customFormat="1" ht="15.75" x14ac:dyDescent="0.25">
      <c r="A173" s="15" t="s">
        <v>401</v>
      </c>
      <c r="B173" s="16">
        <v>44193</v>
      </c>
      <c r="C173" s="9" t="s">
        <v>270</v>
      </c>
      <c r="D173" s="30">
        <v>2</v>
      </c>
      <c r="E173" s="13">
        <v>107</v>
      </c>
      <c r="F173" s="17">
        <f t="shared" si="2"/>
        <v>214</v>
      </c>
    </row>
    <row r="174" spans="1:6" s="8" customFormat="1" ht="15.75" x14ac:dyDescent="0.25">
      <c r="A174" s="15" t="s">
        <v>402</v>
      </c>
      <c r="B174" s="16">
        <v>44193</v>
      </c>
      <c r="C174" s="9" t="s">
        <v>271</v>
      </c>
      <c r="D174" s="30">
        <v>4</v>
      </c>
      <c r="E174" s="13">
        <v>33</v>
      </c>
      <c r="F174" s="17">
        <f t="shared" si="2"/>
        <v>132</v>
      </c>
    </row>
    <row r="175" spans="1:6" s="8" customFormat="1" ht="15.75" x14ac:dyDescent="0.25">
      <c r="A175" s="15" t="s">
        <v>403</v>
      </c>
      <c r="B175" s="16">
        <v>44193</v>
      </c>
      <c r="C175" s="9" t="s">
        <v>272</v>
      </c>
      <c r="D175" s="30">
        <v>5</v>
      </c>
      <c r="E175" s="13">
        <v>118.3</v>
      </c>
      <c r="F175" s="17">
        <f t="shared" si="2"/>
        <v>591.5</v>
      </c>
    </row>
    <row r="176" spans="1:6" s="8" customFormat="1" ht="15.75" x14ac:dyDescent="0.25">
      <c r="A176" s="15" t="s">
        <v>404</v>
      </c>
      <c r="B176" s="16">
        <v>44193</v>
      </c>
      <c r="C176" s="9" t="s">
        <v>273</v>
      </c>
      <c r="D176" s="30">
        <v>2</v>
      </c>
      <c r="E176" s="13">
        <v>30</v>
      </c>
      <c r="F176" s="17">
        <f t="shared" si="2"/>
        <v>60</v>
      </c>
    </row>
    <row r="177" spans="1:6" s="8" customFormat="1" ht="15.75" x14ac:dyDescent="0.25">
      <c r="A177" s="15" t="s">
        <v>405</v>
      </c>
      <c r="B177" s="16">
        <v>44193</v>
      </c>
      <c r="C177" s="9" t="s">
        <v>274</v>
      </c>
      <c r="D177" s="30">
        <v>11</v>
      </c>
      <c r="E177" s="13">
        <v>75</v>
      </c>
      <c r="F177" s="17">
        <f t="shared" si="2"/>
        <v>825</v>
      </c>
    </row>
    <row r="178" spans="1:6" s="8" customFormat="1" ht="15.75" x14ac:dyDescent="0.25">
      <c r="A178" s="15" t="s">
        <v>406</v>
      </c>
      <c r="B178" s="16">
        <v>44193</v>
      </c>
      <c r="C178" s="9" t="s">
        <v>275</v>
      </c>
      <c r="D178" s="30">
        <v>32</v>
      </c>
      <c r="E178" s="13">
        <v>16.45</v>
      </c>
      <c r="F178" s="17">
        <f t="shared" si="2"/>
        <v>526.4</v>
      </c>
    </row>
    <row r="179" spans="1:6" s="8" customFormat="1" ht="15.75" x14ac:dyDescent="0.25">
      <c r="A179" s="15" t="s">
        <v>407</v>
      </c>
      <c r="B179" s="16">
        <v>44193</v>
      </c>
      <c r="C179" s="9" t="s">
        <v>276</v>
      </c>
      <c r="D179" s="30">
        <v>22</v>
      </c>
      <c r="E179" s="13">
        <v>78</v>
      </c>
      <c r="F179" s="17">
        <f t="shared" si="2"/>
        <v>1716</v>
      </c>
    </row>
    <row r="180" spans="1:6" s="8" customFormat="1" ht="15.75" x14ac:dyDescent="0.25">
      <c r="A180" s="15" t="s">
        <v>408</v>
      </c>
      <c r="B180" s="16">
        <v>44193</v>
      </c>
      <c r="C180" s="25" t="s">
        <v>277</v>
      </c>
      <c r="D180" s="38">
        <v>13</v>
      </c>
      <c r="E180" s="13">
        <v>219.95</v>
      </c>
      <c r="F180" s="17">
        <f t="shared" si="2"/>
        <v>2859.35</v>
      </c>
    </row>
    <row r="181" spans="1:6" s="8" customFormat="1" ht="15.75" x14ac:dyDescent="0.25">
      <c r="A181" s="15" t="s">
        <v>409</v>
      </c>
      <c r="B181" s="16">
        <v>44193</v>
      </c>
      <c r="C181" s="25" t="s">
        <v>278</v>
      </c>
      <c r="D181" s="38">
        <v>7</v>
      </c>
      <c r="E181" s="13">
        <v>16.559999999999999</v>
      </c>
      <c r="F181" s="17">
        <f t="shared" si="2"/>
        <v>115.91999999999999</v>
      </c>
    </row>
    <row r="182" spans="1:6" s="8" customFormat="1" ht="15.75" x14ac:dyDescent="0.25">
      <c r="A182" s="15" t="s">
        <v>410</v>
      </c>
      <c r="B182" s="16">
        <v>44193</v>
      </c>
      <c r="C182" s="9" t="s">
        <v>279</v>
      </c>
      <c r="D182" s="30">
        <v>84</v>
      </c>
      <c r="E182" s="13">
        <v>21</v>
      </c>
      <c r="F182" s="17">
        <f t="shared" si="2"/>
        <v>1764</v>
      </c>
    </row>
    <row r="183" spans="1:6" s="8" customFormat="1" ht="15.75" x14ac:dyDescent="0.25">
      <c r="A183" s="15" t="s">
        <v>411</v>
      </c>
      <c r="B183" s="16">
        <v>44193</v>
      </c>
      <c r="C183" s="9" t="s">
        <v>280</v>
      </c>
      <c r="D183" s="30">
        <v>3</v>
      </c>
      <c r="E183" s="13">
        <v>23</v>
      </c>
      <c r="F183" s="17">
        <f t="shared" si="2"/>
        <v>69</v>
      </c>
    </row>
    <row r="184" spans="1:6" s="8" customFormat="1" ht="15.75" x14ac:dyDescent="0.25">
      <c r="A184" s="15" t="s">
        <v>412</v>
      </c>
      <c r="B184" s="16">
        <v>44193</v>
      </c>
      <c r="C184" s="9" t="s">
        <v>281</v>
      </c>
      <c r="D184" s="30">
        <v>413</v>
      </c>
      <c r="E184" s="13">
        <v>18.97</v>
      </c>
      <c r="F184" s="17">
        <f t="shared" si="2"/>
        <v>7834.61</v>
      </c>
    </row>
    <row r="185" spans="1:6" s="8" customFormat="1" ht="15.75" x14ac:dyDescent="0.25">
      <c r="A185" s="15" t="s">
        <v>413</v>
      </c>
      <c r="B185" s="16">
        <v>44193</v>
      </c>
      <c r="C185" s="9" t="s">
        <v>282</v>
      </c>
      <c r="D185" s="30">
        <v>24</v>
      </c>
      <c r="E185" s="13">
        <v>186.21</v>
      </c>
      <c r="F185" s="17">
        <f t="shared" si="2"/>
        <v>4469.04</v>
      </c>
    </row>
    <row r="186" spans="1:6" s="8" customFormat="1" ht="15.75" x14ac:dyDescent="0.25">
      <c r="A186" s="15" t="s">
        <v>414</v>
      </c>
      <c r="B186" s="23" t="s">
        <v>112</v>
      </c>
      <c r="C186" s="9" t="s">
        <v>283</v>
      </c>
      <c r="D186" s="30">
        <v>10</v>
      </c>
      <c r="E186" s="21">
        <v>3900</v>
      </c>
      <c r="F186" s="17">
        <f t="shared" si="2"/>
        <v>39000</v>
      </c>
    </row>
    <row r="187" spans="1:6" s="8" customFormat="1" ht="15.75" x14ac:dyDescent="0.25">
      <c r="A187" s="15" t="s">
        <v>415</v>
      </c>
      <c r="B187" s="23" t="s">
        <v>105</v>
      </c>
      <c r="C187" s="9" t="s">
        <v>284</v>
      </c>
      <c r="D187" s="30">
        <v>141</v>
      </c>
      <c r="E187" s="21">
        <v>150</v>
      </c>
      <c r="F187" s="17">
        <f t="shared" si="2"/>
        <v>21150</v>
      </c>
    </row>
    <row r="188" spans="1:6" s="8" customFormat="1" ht="15.75" x14ac:dyDescent="0.25">
      <c r="A188" s="15" t="s">
        <v>416</v>
      </c>
      <c r="B188" s="16">
        <v>44193</v>
      </c>
      <c r="C188" s="9" t="s">
        <v>285</v>
      </c>
      <c r="D188" s="30">
        <v>115</v>
      </c>
      <c r="E188" s="13">
        <v>3900</v>
      </c>
      <c r="F188" s="17">
        <f t="shared" si="2"/>
        <v>448500</v>
      </c>
    </row>
    <row r="189" spans="1:6" s="8" customFormat="1" ht="15.75" x14ac:dyDescent="0.25">
      <c r="A189" s="15" t="s">
        <v>417</v>
      </c>
      <c r="B189" s="16">
        <v>44193</v>
      </c>
      <c r="C189" s="25" t="s">
        <v>497</v>
      </c>
      <c r="D189" s="38">
        <v>7</v>
      </c>
      <c r="E189" s="13">
        <v>150</v>
      </c>
      <c r="F189" s="17">
        <f t="shared" si="2"/>
        <v>1050</v>
      </c>
    </row>
    <row r="190" spans="1:6" s="8" customFormat="1" ht="15.75" x14ac:dyDescent="0.25">
      <c r="A190" s="15" t="s">
        <v>418</v>
      </c>
      <c r="B190" s="16">
        <v>44193</v>
      </c>
      <c r="C190" s="25" t="s">
        <v>498</v>
      </c>
      <c r="D190" s="38">
        <v>7</v>
      </c>
      <c r="E190" s="13">
        <v>105</v>
      </c>
      <c r="F190" s="17">
        <f t="shared" si="2"/>
        <v>735</v>
      </c>
    </row>
    <row r="191" spans="1:6" s="8" customFormat="1" ht="15.75" x14ac:dyDescent="0.25">
      <c r="A191" s="15" t="s">
        <v>419</v>
      </c>
      <c r="B191" s="16">
        <v>44193</v>
      </c>
      <c r="C191" s="26" t="s">
        <v>286</v>
      </c>
      <c r="D191" s="38">
        <v>8</v>
      </c>
      <c r="E191" s="13">
        <v>40</v>
      </c>
      <c r="F191" s="17">
        <f t="shared" si="2"/>
        <v>320</v>
      </c>
    </row>
    <row r="192" spans="1:6" s="8" customFormat="1" ht="15.75" x14ac:dyDescent="0.25">
      <c r="A192" s="15" t="s">
        <v>420</v>
      </c>
      <c r="B192" s="16">
        <v>44193</v>
      </c>
      <c r="C192" s="9" t="s">
        <v>287</v>
      </c>
      <c r="D192" s="30">
        <v>18</v>
      </c>
      <c r="E192" s="13">
        <v>40</v>
      </c>
      <c r="F192" s="17">
        <f t="shared" si="2"/>
        <v>720</v>
      </c>
    </row>
    <row r="193" spans="1:6" s="8" customFormat="1" ht="15.75" x14ac:dyDescent="0.25">
      <c r="A193" s="15" t="s">
        <v>421</v>
      </c>
      <c r="B193" s="16" t="s">
        <v>107</v>
      </c>
      <c r="C193" s="26" t="s">
        <v>288</v>
      </c>
      <c r="D193" s="38">
        <v>4</v>
      </c>
      <c r="E193" s="21">
        <v>40</v>
      </c>
      <c r="F193" s="17">
        <f t="shared" si="2"/>
        <v>160</v>
      </c>
    </row>
    <row r="194" spans="1:6" s="8" customFormat="1" ht="15.75" x14ac:dyDescent="0.25">
      <c r="A194" s="15" t="s">
        <v>422</v>
      </c>
      <c r="B194" s="16">
        <v>44193</v>
      </c>
      <c r="C194" s="26" t="s">
        <v>289</v>
      </c>
      <c r="D194" s="38">
        <v>10</v>
      </c>
      <c r="E194" s="13">
        <v>40</v>
      </c>
      <c r="F194" s="17">
        <f t="shared" si="2"/>
        <v>400</v>
      </c>
    </row>
    <row r="195" spans="1:6" s="8" customFormat="1" ht="15.75" x14ac:dyDescent="0.25">
      <c r="A195" s="15" t="s">
        <v>423</v>
      </c>
      <c r="B195" s="16" t="s">
        <v>107</v>
      </c>
      <c r="C195" s="26" t="s">
        <v>290</v>
      </c>
      <c r="D195" s="38">
        <v>4</v>
      </c>
      <c r="E195" s="21">
        <v>45</v>
      </c>
      <c r="F195" s="17">
        <f t="shared" si="2"/>
        <v>180</v>
      </c>
    </row>
    <row r="196" spans="1:6" s="8" customFormat="1" ht="15.75" x14ac:dyDescent="0.25">
      <c r="A196" s="15" t="s">
        <v>424</v>
      </c>
      <c r="B196" s="16">
        <v>44193</v>
      </c>
      <c r="C196" s="9" t="s">
        <v>291</v>
      </c>
      <c r="D196" s="30">
        <v>11</v>
      </c>
      <c r="E196" s="13">
        <v>45</v>
      </c>
      <c r="F196" s="17">
        <f t="shared" si="2"/>
        <v>495</v>
      </c>
    </row>
    <row r="197" spans="1:6" s="8" customFormat="1" ht="15.75" x14ac:dyDescent="0.25">
      <c r="A197" s="15" t="s">
        <v>425</v>
      </c>
      <c r="B197" s="16">
        <v>44193</v>
      </c>
      <c r="C197" s="9" t="s">
        <v>292</v>
      </c>
      <c r="D197" s="30">
        <v>63</v>
      </c>
      <c r="E197" s="13">
        <v>40</v>
      </c>
      <c r="F197" s="17">
        <f t="shared" si="2"/>
        <v>2520</v>
      </c>
    </row>
    <row r="198" spans="1:6" s="8" customFormat="1" ht="15.75" x14ac:dyDescent="0.25">
      <c r="A198" s="15" t="s">
        <v>426</v>
      </c>
      <c r="B198" s="16">
        <v>44193</v>
      </c>
      <c r="C198" s="9" t="s">
        <v>293</v>
      </c>
      <c r="D198" s="30">
        <v>1</v>
      </c>
      <c r="E198" s="13">
        <v>40</v>
      </c>
      <c r="F198" s="17">
        <f t="shared" si="2"/>
        <v>40</v>
      </c>
    </row>
    <row r="199" spans="1:6" s="8" customFormat="1" ht="15.75" x14ac:dyDescent="0.25">
      <c r="A199" s="15" t="s">
        <v>427</v>
      </c>
      <c r="B199" s="16">
        <v>44193</v>
      </c>
      <c r="C199" s="26" t="s">
        <v>294</v>
      </c>
      <c r="D199" s="38">
        <v>1</v>
      </c>
      <c r="E199" s="13">
        <v>45</v>
      </c>
      <c r="F199" s="17">
        <f t="shared" si="2"/>
        <v>45</v>
      </c>
    </row>
    <row r="200" spans="1:6" s="8" customFormat="1" ht="15.75" x14ac:dyDescent="0.25">
      <c r="A200" s="15" t="s">
        <v>428</v>
      </c>
      <c r="B200" s="16">
        <v>44193</v>
      </c>
      <c r="C200" s="26" t="s">
        <v>295</v>
      </c>
      <c r="D200" s="14">
        <v>2</v>
      </c>
      <c r="E200" s="13">
        <v>556.79999999999995</v>
      </c>
      <c r="F200" s="17">
        <f t="shared" si="2"/>
        <v>1113.5999999999999</v>
      </c>
    </row>
    <row r="201" spans="1:6" s="8" customFormat="1" ht="15.75" x14ac:dyDescent="0.25">
      <c r="A201" s="15" t="s">
        <v>429</v>
      </c>
      <c r="B201" s="16">
        <v>44193</v>
      </c>
      <c r="C201" s="26" t="s">
        <v>296</v>
      </c>
      <c r="D201" s="38">
        <v>9</v>
      </c>
      <c r="E201" s="13">
        <v>5.94</v>
      </c>
      <c r="F201" s="17">
        <f t="shared" ref="F201:F248" si="3">D201*E201</f>
        <v>53.46</v>
      </c>
    </row>
    <row r="202" spans="1:6" s="8" customFormat="1" ht="15.75" x14ac:dyDescent="0.25">
      <c r="A202" s="15" t="s">
        <v>430</v>
      </c>
      <c r="B202" s="16">
        <v>44193</v>
      </c>
      <c r="C202" s="25" t="s">
        <v>297</v>
      </c>
      <c r="D202" s="38">
        <v>14</v>
      </c>
      <c r="E202" s="13">
        <v>43</v>
      </c>
      <c r="F202" s="17">
        <f t="shared" si="3"/>
        <v>602</v>
      </c>
    </row>
    <row r="203" spans="1:6" s="8" customFormat="1" ht="15.75" x14ac:dyDescent="0.25">
      <c r="A203" s="15" t="s">
        <v>431</v>
      </c>
      <c r="B203" s="16">
        <v>44193</v>
      </c>
      <c r="C203" s="9" t="s">
        <v>298</v>
      </c>
      <c r="D203" s="30">
        <v>5</v>
      </c>
      <c r="E203" s="13">
        <v>719.2</v>
      </c>
      <c r="F203" s="17">
        <f t="shared" si="3"/>
        <v>3596</v>
      </c>
    </row>
    <row r="204" spans="1:6" s="8" customFormat="1" ht="15.75" x14ac:dyDescent="0.25">
      <c r="A204" s="15" t="s">
        <v>432</v>
      </c>
      <c r="B204" s="16">
        <v>44193</v>
      </c>
      <c r="C204" s="25" t="s">
        <v>299</v>
      </c>
      <c r="D204" s="38">
        <v>14</v>
      </c>
      <c r="E204" s="13">
        <v>12.21</v>
      </c>
      <c r="F204" s="17">
        <f t="shared" si="3"/>
        <v>170.94</v>
      </c>
    </row>
    <row r="205" spans="1:6" s="8" customFormat="1" ht="15.75" x14ac:dyDescent="0.25">
      <c r="A205" s="15" t="s">
        <v>433</v>
      </c>
      <c r="B205" s="16">
        <v>44193</v>
      </c>
      <c r="C205" s="25" t="s">
        <v>300</v>
      </c>
      <c r="D205" s="14">
        <v>41</v>
      </c>
      <c r="E205" s="13">
        <v>39.950000000000003</v>
      </c>
      <c r="F205" s="17">
        <f t="shared" si="3"/>
        <v>1637.95</v>
      </c>
    </row>
    <row r="206" spans="1:6" s="8" customFormat="1" ht="15.75" x14ac:dyDescent="0.25">
      <c r="A206" s="15" t="s">
        <v>434</v>
      </c>
      <c r="B206" s="16">
        <v>44193</v>
      </c>
      <c r="C206" s="9" t="s">
        <v>301</v>
      </c>
      <c r="D206" s="30">
        <v>1</v>
      </c>
      <c r="E206" s="13">
        <v>107</v>
      </c>
      <c r="F206" s="17">
        <f t="shared" si="3"/>
        <v>107</v>
      </c>
    </row>
    <row r="207" spans="1:6" s="8" customFormat="1" ht="15.75" x14ac:dyDescent="0.25">
      <c r="A207" s="15" t="s">
        <v>435</v>
      </c>
      <c r="B207" s="16">
        <v>44193</v>
      </c>
      <c r="C207" s="9" t="s">
        <v>302</v>
      </c>
      <c r="D207" s="30">
        <v>250</v>
      </c>
      <c r="E207" s="13">
        <v>5.05</v>
      </c>
      <c r="F207" s="17">
        <f t="shared" si="3"/>
        <v>1262.5</v>
      </c>
    </row>
    <row r="208" spans="1:6" s="8" customFormat="1" ht="15.75" x14ac:dyDescent="0.25">
      <c r="A208" s="15" t="s">
        <v>436</v>
      </c>
      <c r="B208" s="16">
        <v>44193</v>
      </c>
      <c r="C208" s="9" t="s">
        <v>303</v>
      </c>
      <c r="D208" s="30">
        <v>32</v>
      </c>
      <c r="E208" s="13">
        <v>29</v>
      </c>
      <c r="F208" s="17">
        <f t="shared" si="3"/>
        <v>928</v>
      </c>
    </row>
    <row r="209" spans="1:6" s="8" customFormat="1" ht="15.75" x14ac:dyDescent="0.25">
      <c r="A209" s="15" t="s">
        <v>437</v>
      </c>
      <c r="B209" s="16">
        <v>44193</v>
      </c>
      <c r="C209" s="9" t="s">
        <v>304</v>
      </c>
      <c r="D209" s="30">
        <v>437</v>
      </c>
      <c r="E209" s="13">
        <v>42.95</v>
      </c>
      <c r="F209" s="17">
        <f t="shared" si="3"/>
        <v>18769.150000000001</v>
      </c>
    </row>
    <row r="210" spans="1:6" s="8" customFormat="1" ht="15.75" x14ac:dyDescent="0.25">
      <c r="A210" s="15" t="s">
        <v>438</v>
      </c>
      <c r="B210" s="16" t="s">
        <v>107</v>
      </c>
      <c r="C210" s="9" t="s">
        <v>305</v>
      </c>
      <c r="D210" s="30">
        <v>980</v>
      </c>
      <c r="E210" s="15">
        <v>5.05</v>
      </c>
      <c r="F210" s="17">
        <f t="shared" si="3"/>
        <v>4949</v>
      </c>
    </row>
    <row r="211" spans="1:6" s="8" customFormat="1" ht="15.75" x14ac:dyDescent="0.25">
      <c r="A211" s="15" t="s">
        <v>439</v>
      </c>
      <c r="B211" s="16">
        <v>44193</v>
      </c>
      <c r="C211" s="25" t="s">
        <v>306</v>
      </c>
      <c r="D211" s="38">
        <v>16</v>
      </c>
      <c r="E211" s="13">
        <v>19.95</v>
      </c>
      <c r="F211" s="17">
        <f t="shared" si="3"/>
        <v>319.2</v>
      </c>
    </row>
    <row r="212" spans="1:6" s="8" customFormat="1" ht="15.75" x14ac:dyDescent="0.25">
      <c r="A212" s="15" t="s">
        <v>440</v>
      </c>
      <c r="B212" s="16">
        <v>44193</v>
      </c>
      <c r="C212" s="9" t="s">
        <v>307</v>
      </c>
      <c r="D212" s="30">
        <v>9</v>
      </c>
      <c r="E212" s="13">
        <v>5.78</v>
      </c>
      <c r="F212" s="17">
        <f t="shared" si="3"/>
        <v>52.02</v>
      </c>
    </row>
    <row r="213" spans="1:6" s="8" customFormat="1" ht="15.75" x14ac:dyDescent="0.25">
      <c r="A213" s="15" t="s">
        <v>441</v>
      </c>
      <c r="B213" s="16">
        <v>44193</v>
      </c>
      <c r="C213" s="26" t="s">
        <v>91</v>
      </c>
      <c r="D213" s="38">
        <v>53</v>
      </c>
      <c r="E213" s="13">
        <v>29</v>
      </c>
      <c r="F213" s="17">
        <f t="shared" si="3"/>
        <v>1537</v>
      </c>
    </row>
    <row r="214" spans="1:6" s="8" customFormat="1" ht="15.75" x14ac:dyDescent="0.25">
      <c r="A214" s="15" t="s">
        <v>442</v>
      </c>
      <c r="B214" s="16">
        <v>44193</v>
      </c>
      <c r="C214" s="25" t="s">
        <v>308</v>
      </c>
      <c r="D214" s="14">
        <v>11</v>
      </c>
      <c r="E214" s="13">
        <v>35</v>
      </c>
      <c r="F214" s="17">
        <f t="shared" si="3"/>
        <v>385</v>
      </c>
    </row>
    <row r="215" spans="1:6" s="8" customFormat="1" ht="15.75" x14ac:dyDescent="0.25">
      <c r="A215" s="15" t="s">
        <v>443</v>
      </c>
      <c r="B215" s="16">
        <v>44193</v>
      </c>
      <c r="C215" s="25" t="s">
        <v>499</v>
      </c>
      <c r="D215" s="38">
        <v>19</v>
      </c>
      <c r="E215" s="13">
        <v>95</v>
      </c>
      <c r="F215" s="17">
        <f t="shared" si="3"/>
        <v>1805</v>
      </c>
    </row>
    <row r="216" spans="1:6" s="8" customFormat="1" ht="15.75" x14ac:dyDescent="0.25">
      <c r="A216" s="15" t="s">
        <v>444</v>
      </c>
      <c r="B216" s="23" t="s">
        <v>106</v>
      </c>
      <c r="C216" s="25" t="s">
        <v>92</v>
      </c>
      <c r="D216" s="38">
        <v>35</v>
      </c>
      <c r="E216" s="21">
        <v>90</v>
      </c>
      <c r="F216" s="17">
        <f t="shared" si="3"/>
        <v>3150</v>
      </c>
    </row>
    <row r="217" spans="1:6" s="8" customFormat="1" ht="15.75" x14ac:dyDescent="0.25">
      <c r="A217" s="15" t="s">
        <v>445</v>
      </c>
      <c r="B217" s="23" t="s">
        <v>106</v>
      </c>
      <c r="C217" s="25" t="s">
        <v>309</v>
      </c>
      <c r="D217" s="38">
        <v>16</v>
      </c>
      <c r="E217" s="21">
        <v>90</v>
      </c>
      <c r="F217" s="17">
        <f t="shared" si="3"/>
        <v>1440</v>
      </c>
    </row>
    <row r="218" spans="1:6" s="8" customFormat="1" ht="15.75" x14ac:dyDescent="0.25">
      <c r="A218" s="15" t="s">
        <v>446</v>
      </c>
      <c r="B218" s="16">
        <v>44193</v>
      </c>
      <c r="C218" s="25" t="s">
        <v>93</v>
      </c>
      <c r="D218" s="14">
        <v>4</v>
      </c>
      <c r="E218" s="13">
        <v>90</v>
      </c>
      <c r="F218" s="17">
        <f t="shared" si="3"/>
        <v>360</v>
      </c>
    </row>
    <row r="219" spans="1:6" s="8" customFormat="1" ht="15.75" x14ac:dyDescent="0.25">
      <c r="A219" s="15" t="s">
        <v>447</v>
      </c>
      <c r="B219" s="16">
        <v>44193</v>
      </c>
      <c r="C219" s="26" t="s">
        <v>310</v>
      </c>
      <c r="D219" s="38">
        <v>28</v>
      </c>
      <c r="E219" s="13">
        <v>150.80000000000001</v>
      </c>
      <c r="F219" s="17">
        <f t="shared" si="3"/>
        <v>4222.4000000000005</v>
      </c>
    </row>
    <row r="220" spans="1:6" s="8" customFormat="1" ht="15.75" x14ac:dyDescent="0.25">
      <c r="A220" s="15" t="s">
        <v>448</v>
      </c>
      <c r="B220" s="16">
        <v>44193</v>
      </c>
      <c r="C220" s="26" t="s">
        <v>311</v>
      </c>
      <c r="D220" s="38">
        <v>16</v>
      </c>
      <c r="E220" s="13">
        <v>719.2</v>
      </c>
      <c r="F220" s="17">
        <f t="shared" si="3"/>
        <v>11507.2</v>
      </c>
    </row>
    <row r="221" spans="1:6" s="8" customFormat="1" ht="15.75" x14ac:dyDescent="0.25">
      <c r="A221" s="15" t="s">
        <v>449</v>
      </c>
      <c r="B221" s="23" t="s">
        <v>106</v>
      </c>
      <c r="C221" s="26" t="s">
        <v>94</v>
      </c>
      <c r="D221" s="38">
        <v>5</v>
      </c>
      <c r="E221" s="21">
        <v>645</v>
      </c>
      <c r="F221" s="17">
        <f t="shared" si="3"/>
        <v>3225</v>
      </c>
    </row>
    <row r="222" spans="1:6" s="8" customFormat="1" ht="15.75" x14ac:dyDescent="0.25">
      <c r="A222" s="15" t="s">
        <v>450</v>
      </c>
      <c r="B222" s="23" t="s">
        <v>106</v>
      </c>
      <c r="C222" s="26" t="s">
        <v>312</v>
      </c>
      <c r="D222" s="38">
        <v>16</v>
      </c>
      <c r="E222" s="21">
        <v>719.2</v>
      </c>
      <c r="F222" s="17">
        <f t="shared" si="3"/>
        <v>11507.2</v>
      </c>
    </row>
    <row r="223" spans="1:6" s="8" customFormat="1" ht="15.75" x14ac:dyDescent="0.25">
      <c r="A223" s="15" t="s">
        <v>451</v>
      </c>
      <c r="B223" s="16">
        <v>44193</v>
      </c>
      <c r="C223" s="25" t="s">
        <v>313</v>
      </c>
      <c r="D223" s="38">
        <v>1</v>
      </c>
      <c r="E223" s="13">
        <v>719.2</v>
      </c>
      <c r="F223" s="17">
        <f t="shared" si="3"/>
        <v>719.2</v>
      </c>
    </row>
    <row r="224" spans="1:6" s="8" customFormat="1" ht="15.75" x14ac:dyDescent="0.25">
      <c r="A224" s="15" t="s">
        <v>452</v>
      </c>
      <c r="B224" s="16">
        <v>44193</v>
      </c>
      <c r="C224" s="25" t="s">
        <v>314</v>
      </c>
      <c r="D224" s="38">
        <v>1</v>
      </c>
      <c r="E224" s="13">
        <v>1330</v>
      </c>
      <c r="F224" s="17">
        <f t="shared" si="3"/>
        <v>1330</v>
      </c>
    </row>
    <row r="225" spans="1:6" s="8" customFormat="1" ht="15.75" x14ac:dyDescent="0.25">
      <c r="A225" s="15" t="s">
        <v>453</v>
      </c>
      <c r="B225" s="23" t="s">
        <v>106</v>
      </c>
      <c r="C225" s="25" t="s">
        <v>95</v>
      </c>
      <c r="D225" s="38">
        <v>1</v>
      </c>
      <c r="E225" s="21">
        <v>719.2</v>
      </c>
      <c r="F225" s="17">
        <f t="shared" si="3"/>
        <v>719.2</v>
      </c>
    </row>
    <row r="226" spans="1:6" s="8" customFormat="1" ht="15.75" x14ac:dyDescent="0.25">
      <c r="A226" s="15" t="s">
        <v>454</v>
      </c>
      <c r="B226" s="16">
        <v>44193</v>
      </c>
      <c r="C226" s="25" t="s">
        <v>315</v>
      </c>
      <c r="D226" s="38">
        <v>2</v>
      </c>
      <c r="E226" s="13">
        <v>645</v>
      </c>
      <c r="F226" s="17">
        <f t="shared" si="3"/>
        <v>1290</v>
      </c>
    </row>
    <row r="227" spans="1:6" s="8" customFormat="1" ht="15.75" x14ac:dyDescent="0.25">
      <c r="A227" s="15" t="s">
        <v>455</v>
      </c>
      <c r="B227" s="23" t="s">
        <v>106</v>
      </c>
      <c r="C227" s="29" t="s">
        <v>316</v>
      </c>
      <c r="D227" s="38">
        <v>8</v>
      </c>
      <c r="E227" s="21">
        <v>719.2</v>
      </c>
      <c r="F227" s="17">
        <f t="shared" si="3"/>
        <v>5753.6</v>
      </c>
    </row>
    <row r="228" spans="1:6" s="8" customFormat="1" ht="15.75" x14ac:dyDescent="0.25">
      <c r="A228" s="15" t="s">
        <v>456</v>
      </c>
      <c r="B228" s="16">
        <v>44193</v>
      </c>
      <c r="C228" s="9" t="s">
        <v>317</v>
      </c>
      <c r="D228" s="30">
        <v>21</v>
      </c>
      <c r="E228" s="13">
        <v>719.2</v>
      </c>
      <c r="F228" s="17">
        <f t="shared" si="3"/>
        <v>15103.2</v>
      </c>
    </row>
    <row r="229" spans="1:6" s="8" customFormat="1" ht="15.75" x14ac:dyDescent="0.25">
      <c r="A229" s="15" t="s">
        <v>457</v>
      </c>
      <c r="B229" s="16">
        <v>44193</v>
      </c>
      <c r="C229" s="9" t="s">
        <v>317</v>
      </c>
      <c r="D229" s="30">
        <v>5</v>
      </c>
      <c r="E229" s="13">
        <v>35.42</v>
      </c>
      <c r="F229" s="17">
        <f t="shared" si="3"/>
        <v>177.10000000000002</v>
      </c>
    </row>
    <row r="230" spans="1:6" s="8" customFormat="1" ht="15.75" x14ac:dyDescent="0.25">
      <c r="A230" s="15" t="s">
        <v>458</v>
      </c>
      <c r="B230" s="16">
        <v>44193</v>
      </c>
      <c r="C230" s="26" t="s">
        <v>96</v>
      </c>
      <c r="D230" s="38">
        <v>36</v>
      </c>
      <c r="E230" s="13">
        <v>39</v>
      </c>
      <c r="F230" s="17">
        <f t="shared" si="3"/>
        <v>1404</v>
      </c>
    </row>
    <row r="231" spans="1:6" s="8" customFormat="1" ht="15.75" x14ac:dyDescent="0.25">
      <c r="A231" s="15" t="s">
        <v>459</v>
      </c>
      <c r="B231" s="16">
        <v>44193</v>
      </c>
      <c r="C231" s="9" t="s">
        <v>318</v>
      </c>
      <c r="D231" s="30">
        <v>11</v>
      </c>
      <c r="E231" s="13">
        <v>1275</v>
      </c>
      <c r="F231" s="17">
        <f t="shared" si="3"/>
        <v>14025</v>
      </c>
    </row>
    <row r="232" spans="1:6" s="8" customFormat="1" ht="15.75" x14ac:dyDescent="0.25">
      <c r="A232" s="15" t="s">
        <v>460</v>
      </c>
      <c r="B232" s="16">
        <v>44193</v>
      </c>
      <c r="C232" s="26" t="s">
        <v>97</v>
      </c>
      <c r="D232" s="38">
        <v>3</v>
      </c>
      <c r="E232" s="13">
        <v>1100</v>
      </c>
      <c r="F232" s="17">
        <f t="shared" si="3"/>
        <v>3300</v>
      </c>
    </row>
    <row r="233" spans="1:6" s="8" customFormat="1" ht="15.75" x14ac:dyDescent="0.25">
      <c r="A233" s="15" t="s">
        <v>461</v>
      </c>
      <c r="B233" s="16">
        <v>44193</v>
      </c>
      <c r="C233" s="25" t="s">
        <v>319</v>
      </c>
      <c r="D233" s="38">
        <v>135</v>
      </c>
      <c r="E233" s="13">
        <v>780</v>
      </c>
      <c r="F233" s="17">
        <f t="shared" si="3"/>
        <v>105300</v>
      </c>
    </row>
    <row r="234" spans="1:6" s="8" customFormat="1" ht="15.75" x14ac:dyDescent="0.25">
      <c r="A234" s="15" t="s">
        <v>462</v>
      </c>
      <c r="B234" s="16">
        <v>44193</v>
      </c>
      <c r="C234" s="26" t="s">
        <v>320</v>
      </c>
      <c r="D234" s="38">
        <v>10</v>
      </c>
      <c r="E234" s="13">
        <v>425</v>
      </c>
      <c r="F234" s="17">
        <f t="shared" si="3"/>
        <v>4250</v>
      </c>
    </row>
    <row r="235" spans="1:6" s="8" customFormat="1" ht="15.75" x14ac:dyDescent="0.25">
      <c r="A235" s="15" t="s">
        <v>463</v>
      </c>
      <c r="B235" s="16">
        <v>44193</v>
      </c>
      <c r="C235" s="9" t="s">
        <v>321</v>
      </c>
      <c r="D235" s="30">
        <v>2</v>
      </c>
      <c r="E235" s="13">
        <v>185.2</v>
      </c>
      <c r="F235" s="17">
        <f t="shared" si="3"/>
        <v>370.4</v>
      </c>
    </row>
    <row r="236" spans="1:6" s="8" customFormat="1" ht="15.75" x14ac:dyDescent="0.25">
      <c r="A236" s="15" t="s">
        <v>464</v>
      </c>
      <c r="B236" s="16">
        <v>44193</v>
      </c>
      <c r="C236" s="9" t="s">
        <v>322</v>
      </c>
      <c r="D236" s="30">
        <v>10</v>
      </c>
      <c r="E236" s="13">
        <v>35</v>
      </c>
      <c r="F236" s="17">
        <f t="shared" si="3"/>
        <v>350</v>
      </c>
    </row>
    <row r="237" spans="1:6" s="8" customFormat="1" ht="15.75" x14ac:dyDescent="0.25">
      <c r="A237" s="15" t="s">
        <v>465</v>
      </c>
      <c r="B237" s="16">
        <v>44193</v>
      </c>
      <c r="C237" s="9" t="s">
        <v>323</v>
      </c>
      <c r="D237" s="30">
        <v>2</v>
      </c>
      <c r="E237" s="13">
        <v>35</v>
      </c>
      <c r="F237" s="17">
        <f t="shared" si="3"/>
        <v>70</v>
      </c>
    </row>
    <row r="238" spans="1:6" s="8" customFormat="1" ht="15.75" x14ac:dyDescent="0.25">
      <c r="A238" s="15" t="s">
        <v>466</v>
      </c>
      <c r="B238" s="16">
        <v>44193</v>
      </c>
      <c r="C238" s="9" t="s">
        <v>324</v>
      </c>
      <c r="D238" s="30">
        <v>4</v>
      </c>
      <c r="E238" s="13">
        <v>661.2</v>
      </c>
      <c r="F238" s="17">
        <f t="shared" si="3"/>
        <v>2644.8</v>
      </c>
    </row>
    <row r="239" spans="1:6" s="8" customFormat="1" ht="15.75" x14ac:dyDescent="0.25">
      <c r="A239" s="15" t="s">
        <v>467</v>
      </c>
      <c r="B239" s="16">
        <v>44193</v>
      </c>
      <c r="C239" s="9" t="s">
        <v>325</v>
      </c>
      <c r="D239" s="30">
        <v>1</v>
      </c>
      <c r="E239" s="13">
        <v>661.2</v>
      </c>
      <c r="F239" s="17">
        <f t="shared" si="3"/>
        <v>661.2</v>
      </c>
    </row>
    <row r="240" spans="1:6" s="8" customFormat="1" ht="15.75" x14ac:dyDescent="0.25">
      <c r="A240" s="15" t="s">
        <v>468</v>
      </c>
      <c r="B240" s="16">
        <v>44193</v>
      </c>
      <c r="C240" s="9" t="s">
        <v>326</v>
      </c>
      <c r="D240" s="30">
        <v>5</v>
      </c>
      <c r="E240" s="13">
        <v>168.1</v>
      </c>
      <c r="F240" s="17">
        <f t="shared" si="3"/>
        <v>840.5</v>
      </c>
    </row>
    <row r="241" spans="1:6" s="8" customFormat="1" ht="15.75" x14ac:dyDescent="0.25">
      <c r="A241" s="15" t="s">
        <v>469</v>
      </c>
      <c r="B241" s="16">
        <v>44193</v>
      </c>
      <c r="C241" s="26" t="s">
        <v>327</v>
      </c>
      <c r="D241" s="14">
        <v>50</v>
      </c>
      <c r="E241" s="13">
        <v>171.6</v>
      </c>
      <c r="F241" s="17">
        <f t="shared" si="3"/>
        <v>8580</v>
      </c>
    </row>
    <row r="242" spans="1:6" s="8" customFormat="1" ht="15.75" x14ac:dyDescent="0.25">
      <c r="A242" s="15" t="s">
        <v>470</v>
      </c>
      <c r="B242" s="23" t="s">
        <v>105</v>
      </c>
      <c r="C242" s="26" t="s">
        <v>328</v>
      </c>
      <c r="D242" s="20">
        <v>81</v>
      </c>
      <c r="E242" s="40">
        <v>140</v>
      </c>
      <c r="F242" s="17">
        <f t="shared" si="3"/>
        <v>11340</v>
      </c>
    </row>
    <row r="243" spans="1:6" s="8" customFormat="1" ht="15.75" x14ac:dyDescent="0.25">
      <c r="A243" s="15" t="s">
        <v>471</v>
      </c>
      <c r="B243" s="16">
        <v>44193</v>
      </c>
      <c r="C243" s="25" t="s">
        <v>119</v>
      </c>
      <c r="D243" s="38">
        <v>20</v>
      </c>
      <c r="E243" s="13">
        <v>1139.32</v>
      </c>
      <c r="F243" s="17">
        <f t="shared" si="3"/>
        <v>22786.399999999998</v>
      </c>
    </row>
    <row r="244" spans="1:6" s="8" customFormat="1" ht="15.75" x14ac:dyDescent="0.25">
      <c r="A244" s="15" t="s">
        <v>472</v>
      </c>
      <c r="B244" s="16">
        <v>44193</v>
      </c>
      <c r="C244" s="25" t="s">
        <v>329</v>
      </c>
      <c r="D244" s="38">
        <v>20</v>
      </c>
      <c r="E244" s="13">
        <v>672.09</v>
      </c>
      <c r="F244" s="17">
        <f t="shared" si="3"/>
        <v>13441.800000000001</v>
      </c>
    </row>
    <row r="245" spans="1:6" s="8" customFormat="1" ht="15.75" x14ac:dyDescent="0.25">
      <c r="A245" s="41" t="s">
        <v>473</v>
      </c>
      <c r="B245" s="23" t="s">
        <v>115</v>
      </c>
      <c r="C245" s="25" t="s">
        <v>330</v>
      </c>
      <c r="D245" s="38">
        <v>43</v>
      </c>
      <c r="E245" s="21">
        <v>672.09</v>
      </c>
      <c r="F245" s="17">
        <f t="shared" si="3"/>
        <v>28899.870000000003</v>
      </c>
    </row>
    <row r="246" spans="1:6" s="8" customFormat="1" ht="15.75" x14ac:dyDescent="0.25">
      <c r="A246" s="42" t="s">
        <v>507</v>
      </c>
      <c r="B246" s="16">
        <v>44193</v>
      </c>
      <c r="C246" s="25" t="s">
        <v>331</v>
      </c>
      <c r="D246" s="14">
        <v>1</v>
      </c>
      <c r="E246" s="13">
        <v>200</v>
      </c>
      <c r="F246" s="17">
        <f t="shared" si="3"/>
        <v>200</v>
      </c>
    </row>
    <row r="247" spans="1:6" s="8" customFormat="1" ht="15.75" x14ac:dyDescent="0.25">
      <c r="A247" s="42" t="s">
        <v>508</v>
      </c>
      <c r="B247" s="16">
        <v>44193</v>
      </c>
      <c r="C247" s="9" t="s">
        <v>332</v>
      </c>
      <c r="D247" s="30">
        <v>27</v>
      </c>
      <c r="E247" s="13">
        <v>797.15</v>
      </c>
      <c r="F247" s="17">
        <f t="shared" si="3"/>
        <v>21523.05</v>
      </c>
    </row>
    <row r="248" spans="1:6" s="8" customFormat="1" ht="15.75" x14ac:dyDescent="0.25">
      <c r="A248" s="42" t="s">
        <v>509</v>
      </c>
      <c r="B248" s="16">
        <v>44193</v>
      </c>
      <c r="C248" s="25" t="s">
        <v>333</v>
      </c>
      <c r="D248" s="38">
        <v>2</v>
      </c>
      <c r="E248" s="13">
        <v>140.09</v>
      </c>
      <c r="F248" s="17">
        <f t="shared" si="3"/>
        <v>280.18</v>
      </c>
    </row>
    <row r="249" spans="1:6" ht="60.75" customHeight="1" x14ac:dyDescent="0.25">
      <c r="A249" s="1" t="s">
        <v>98</v>
      </c>
      <c r="B249" s="1"/>
      <c r="C249" s="10"/>
      <c r="D249" s="1"/>
      <c r="E249" s="1"/>
      <c r="F249" s="4">
        <f>SUM(F8:F88)</f>
        <v>2349870.8499999992</v>
      </c>
    </row>
    <row r="250" spans="1:6" s="2" customFormat="1" ht="60.75" hidden="1" customHeight="1" x14ac:dyDescent="0.25">
      <c r="C250" s="11"/>
    </row>
    <row r="251" spans="1:6" ht="15.75" x14ac:dyDescent="0.25">
      <c r="C251" s="12"/>
    </row>
    <row r="252" spans="1:6" ht="23.25" customHeight="1" x14ac:dyDescent="0.25">
      <c r="A252" t="s">
        <v>7</v>
      </c>
      <c r="C252" s="12"/>
    </row>
    <row r="253" spans="1:6" ht="15.75" x14ac:dyDescent="0.25">
      <c r="C253" s="12"/>
    </row>
    <row r="254" spans="1:6" ht="23.25" customHeight="1" x14ac:dyDescent="0.25">
      <c r="B254" t="s">
        <v>8</v>
      </c>
      <c r="C254" s="12"/>
    </row>
    <row r="255" spans="1:6" ht="15.75" x14ac:dyDescent="0.25">
      <c r="C255" s="12"/>
    </row>
    <row r="256" spans="1:6" ht="15.75" x14ac:dyDescent="0.25">
      <c r="A256" s="3" t="s">
        <v>5</v>
      </c>
      <c r="C256" s="12"/>
    </row>
    <row r="257" spans="1:3" ht="15.75" x14ac:dyDescent="0.25">
      <c r="C257" s="12"/>
    </row>
    <row r="258" spans="1:3" ht="15.75" x14ac:dyDescent="0.25">
      <c r="A258" s="3"/>
      <c r="C258" s="12"/>
    </row>
    <row r="259" spans="1:3" ht="15.75" x14ac:dyDescent="0.25">
      <c r="A259" s="7" t="s">
        <v>475</v>
      </c>
      <c r="C259" s="12"/>
    </row>
    <row r="260" spans="1:3" ht="15.75" x14ac:dyDescent="0.25">
      <c r="A260" t="s">
        <v>511</v>
      </c>
      <c r="C260" s="12"/>
    </row>
    <row r="261" spans="1:3" ht="15.75" x14ac:dyDescent="0.25">
      <c r="C261" s="12" t="s">
        <v>506</v>
      </c>
    </row>
    <row r="262" spans="1:3" ht="15.75" x14ac:dyDescent="0.25">
      <c r="C262" s="12"/>
    </row>
    <row r="263" spans="1:3" ht="15.75" x14ac:dyDescent="0.25">
      <c r="C263" s="12"/>
    </row>
    <row r="264" spans="1:3" ht="15.75" x14ac:dyDescent="0.25">
      <c r="C264" s="12"/>
    </row>
    <row r="265" spans="1:3" ht="15.75" x14ac:dyDescent="0.25">
      <c r="C265" s="12"/>
    </row>
    <row r="266" spans="1:3" ht="15.75" x14ac:dyDescent="0.25">
      <c r="C266" s="12"/>
    </row>
    <row r="267" spans="1:3" ht="15.75" x14ac:dyDescent="0.25">
      <c r="C267" s="12"/>
    </row>
    <row r="268" spans="1:3" ht="15.75" x14ac:dyDescent="0.25">
      <c r="C268" s="12"/>
    </row>
  </sheetData>
  <mergeCells count="3">
    <mergeCell ref="A3:F3"/>
    <mergeCell ref="A4:F4"/>
    <mergeCell ref="A5:F5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1"/>
  <sheetViews>
    <sheetView topLeftCell="A4" zoomScaleNormal="100" workbookViewId="0">
      <selection activeCell="F124" sqref="F124"/>
    </sheetView>
  </sheetViews>
  <sheetFormatPr baseColWidth="10" defaultColWidth="11.42578125" defaultRowHeight="15" x14ac:dyDescent="0.25"/>
  <cols>
    <col min="1" max="1" width="32.140625" customWidth="1"/>
    <col min="2" max="2" width="23" customWidth="1"/>
    <col min="3" max="3" width="51.28515625" customWidth="1"/>
    <col min="4" max="4" width="14.140625" customWidth="1"/>
    <col min="5" max="5" width="17.140625" customWidth="1"/>
    <col min="6" max="6" width="22.42578125" customWidth="1"/>
  </cols>
  <sheetData>
    <row r="3" spans="1:6" ht="26.25" x14ac:dyDescent="0.4">
      <c r="A3" s="234" t="s">
        <v>0</v>
      </c>
      <c r="B3" s="234"/>
      <c r="C3" s="234"/>
      <c r="D3" s="234"/>
      <c r="E3" s="234"/>
      <c r="F3" s="234"/>
    </row>
    <row r="4" spans="1:6" x14ac:dyDescent="0.25">
      <c r="A4" s="235" t="s">
        <v>1</v>
      </c>
      <c r="B4" s="236"/>
      <c r="C4" s="236"/>
      <c r="D4" s="236"/>
      <c r="E4" s="236"/>
      <c r="F4" s="236"/>
    </row>
    <row r="5" spans="1:6" ht="18.75" x14ac:dyDescent="0.3">
      <c r="A5" s="237" t="s">
        <v>765</v>
      </c>
      <c r="B5" s="237"/>
      <c r="C5" s="237"/>
      <c r="D5" s="237"/>
      <c r="E5" s="237"/>
      <c r="F5" s="237"/>
    </row>
    <row r="7" spans="1:6" ht="30" x14ac:dyDescent="0.25">
      <c r="A7" s="46" t="s">
        <v>118</v>
      </c>
      <c r="B7" s="47" t="s">
        <v>9</v>
      </c>
      <c r="C7" s="46" t="s">
        <v>2</v>
      </c>
      <c r="D7" s="46" t="s">
        <v>3</v>
      </c>
      <c r="E7" s="46" t="s">
        <v>117</v>
      </c>
      <c r="F7" s="46" t="s">
        <v>4</v>
      </c>
    </row>
    <row r="8" spans="1:6" s="8" customFormat="1" ht="15.75" x14ac:dyDescent="0.25">
      <c r="A8" s="15" t="s">
        <v>10</v>
      </c>
      <c r="B8" s="16">
        <v>44193</v>
      </c>
      <c r="C8" s="25" t="s">
        <v>532</v>
      </c>
      <c r="D8" s="14">
        <v>146.5</v>
      </c>
      <c r="E8" s="13">
        <v>700</v>
      </c>
      <c r="F8" s="50">
        <f t="shared" ref="F8:F59" si="0">D8*E8</f>
        <v>102550</v>
      </c>
    </row>
    <row r="9" spans="1:6" s="8" customFormat="1" ht="15.75" x14ac:dyDescent="0.25">
      <c r="A9" s="15" t="s">
        <v>11</v>
      </c>
      <c r="B9" s="16">
        <v>44193</v>
      </c>
      <c r="C9" s="25" t="s">
        <v>533</v>
      </c>
      <c r="D9" s="14">
        <v>61</v>
      </c>
      <c r="E9" s="13">
        <v>215</v>
      </c>
      <c r="F9" s="50">
        <f t="shared" si="0"/>
        <v>13115</v>
      </c>
    </row>
    <row r="10" spans="1:6" s="8" customFormat="1" ht="15.75" x14ac:dyDescent="0.25">
      <c r="A10" s="15" t="s">
        <v>120</v>
      </c>
      <c r="B10" s="16">
        <v>44193</v>
      </c>
      <c r="C10" s="25" t="s">
        <v>534</v>
      </c>
      <c r="D10" s="14">
        <v>21</v>
      </c>
      <c r="E10" s="13">
        <v>1350</v>
      </c>
      <c r="F10" s="50">
        <f t="shared" si="0"/>
        <v>28350</v>
      </c>
    </row>
    <row r="11" spans="1:6" s="8" customFormat="1" ht="15.75" x14ac:dyDescent="0.25">
      <c r="A11" s="15" t="s">
        <v>12</v>
      </c>
      <c r="B11" s="16">
        <v>44193</v>
      </c>
      <c r="C11" s="25" t="s">
        <v>535</v>
      </c>
      <c r="D11" s="30">
        <v>1</v>
      </c>
      <c r="E11" s="13">
        <v>127.12</v>
      </c>
      <c r="F11" s="50">
        <f t="shared" si="0"/>
        <v>127.12</v>
      </c>
    </row>
    <row r="12" spans="1:6" s="8" customFormat="1" ht="15.75" x14ac:dyDescent="0.25">
      <c r="A12" s="15" t="s">
        <v>121</v>
      </c>
      <c r="B12" s="16">
        <v>44193</v>
      </c>
      <c r="C12" s="25" t="s">
        <v>536</v>
      </c>
      <c r="D12" s="14">
        <v>89</v>
      </c>
      <c r="E12" s="13">
        <v>15.84</v>
      </c>
      <c r="F12" s="50">
        <f t="shared" si="0"/>
        <v>1409.76</v>
      </c>
    </row>
    <row r="13" spans="1:6" s="8" customFormat="1" ht="15.75" x14ac:dyDescent="0.25">
      <c r="A13" s="15" t="s">
        <v>122</v>
      </c>
      <c r="B13" s="16">
        <v>44193</v>
      </c>
      <c r="C13" s="25" t="s">
        <v>537</v>
      </c>
      <c r="D13" s="14">
        <v>52</v>
      </c>
      <c r="E13" s="13">
        <v>22.41</v>
      </c>
      <c r="F13" s="50">
        <f t="shared" si="0"/>
        <v>1165.32</v>
      </c>
    </row>
    <row r="14" spans="1:6" s="8" customFormat="1" ht="15.75" x14ac:dyDescent="0.25">
      <c r="A14" s="15" t="s">
        <v>123</v>
      </c>
      <c r="B14" s="16">
        <v>44193</v>
      </c>
      <c r="C14" s="25" t="s">
        <v>538</v>
      </c>
      <c r="D14" s="14">
        <v>42</v>
      </c>
      <c r="E14" s="13">
        <v>5.5</v>
      </c>
      <c r="F14" s="50">
        <f t="shared" si="0"/>
        <v>231</v>
      </c>
    </row>
    <row r="15" spans="1:6" s="8" customFormat="1" ht="15.75" x14ac:dyDescent="0.25">
      <c r="A15" s="15" t="s">
        <v>13</v>
      </c>
      <c r="B15" s="16">
        <v>44193</v>
      </c>
      <c r="C15" s="25" t="s">
        <v>539</v>
      </c>
      <c r="D15" s="14">
        <v>35</v>
      </c>
      <c r="E15" s="13">
        <v>78.099999999999994</v>
      </c>
      <c r="F15" s="50">
        <f t="shared" si="0"/>
        <v>2733.5</v>
      </c>
    </row>
    <row r="16" spans="1:6" s="8" customFormat="1" ht="15.75" x14ac:dyDescent="0.25">
      <c r="A16" s="15" t="s">
        <v>14</v>
      </c>
      <c r="B16" s="16" t="s">
        <v>107</v>
      </c>
      <c r="C16" s="25" t="s">
        <v>540</v>
      </c>
      <c r="D16" s="14">
        <v>139</v>
      </c>
      <c r="E16" s="13">
        <v>5.17</v>
      </c>
      <c r="F16" s="50">
        <f t="shared" si="0"/>
        <v>718.63</v>
      </c>
    </row>
    <row r="17" spans="1:6" s="8" customFormat="1" ht="15.75" x14ac:dyDescent="0.25">
      <c r="A17" s="15" t="s">
        <v>15</v>
      </c>
      <c r="B17" s="16" t="s">
        <v>107</v>
      </c>
      <c r="C17" s="25" t="s">
        <v>541</v>
      </c>
      <c r="D17" s="14">
        <v>10</v>
      </c>
      <c r="E17" s="51">
        <v>15</v>
      </c>
      <c r="F17" s="50">
        <f t="shared" si="0"/>
        <v>150</v>
      </c>
    </row>
    <row r="18" spans="1:6" s="8" customFormat="1" ht="15.75" x14ac:dyDescent="0.25">
      <c r="A18" s="15" t="s">
        <v>124</v>
      </c>
      <c r="B18" s="16">
        <v>44193</v>
      </c>
      <c r="C18" s="25" t="s">
        <v>542</v>
      </c>
      <c r="D18" s="30">
        <v>20</v>
      </c>
      <c r="E18" s="13">
        <v>15</v>
      </c>
      <c r="F18" s="50">
        <f t="shared" si="0"/>
        <v>300</v>
      </c>
    </row>
    <row r="19" spans="1:6" s="8" customFormat="1" ht="15.75" x14ac:dyDescent="0.25">
      <c r="A19" s="15" t="s">
        <v>16</v>
      </c>
      <c r="B19" s="16">
        <v>44193</v>
      </c>
      <c r="C19" s="25" t="s">
        <v>543</v>
      </c>
      <c r="D19" s="30">
        <v>9</v>
      </c>
      <c r="E19" s="22">
        <v>15</v>
      </c>
      <c r="F19" s="50">
        <f t="shared" si="0"/>
        <v>135</v>
      </c>
    </row>
    <row r="20" spans="1:6" s="8" customFormat="1" ht="15.75" x14ac:dyDescent="0.25">
      <c r="A20" s="15" t="s">
        <v>17</v>
      </c>
      <c r="B20" s="16" t="s">
        <v>107</v>
      </c>
      <c r="C20" s="25" t="s">
        <v>544</v>
      </c>
      <c r="D20" s="30">
        <v>34</v>
      </c>
      <c r="E20" s="51">
        <v>15</v>
      </c>
      <c r="F20" s="50">
        <f t="shared" si="0"/>
        <v>510</v>
      </c>
    </row>
    <row r="21" spans="1:6" s="8" customFormat="1" ht="15.75" x14ac:dyDescent="0.25">
      <c r="A21" s="15" t="s">
        <v>18</v>
      </c>
      <c r="B21" s="16">
        <v>44193</v>
      </c>
      <c r="C21" s="9" t="s">
        <v>545</v>
      </c>
      <c r="D21" s="31">
        <v>10</v>
      </c>
      <c r="E21" s="13">
        <v>225</v>
      </c>
      <c r="F21" s="50">
        <f t="shared" si="0"/>
        <v>2250</v>
      </c>
    </row>
    <row r="22" spans="1:6" s="8" customFormat="1" ht="15.75" x14ac:dyDescent="0.25">
      <c r="A22" s="15" t="s">
        <v>19</v>
      </c>
      <c r="B22" s="16">
        <v>44193</v>
      </c>
      <c r="C22" s="25" t="s">
        <v>546</v>
      </c>
      <c r="D22" s="30">
        <v>5</v>
      </c>
      <c r="E22" s="13">
        <v>68</v>
      </c>
      <c r="F22" s="50">
        <f t="shared" si="0"/>
        <v>340</v>
      </c>
    </row>
    <row r="23" spans="1:6" s="8" customFormat="1" ht="15.75" x14ac:dyDescent="0.25">
      <c r="A23" s="15" t="s">
        <v>20</v>
      </c>
      <c r="B23" s="16">
        <v>44193</v>
      </c>
      <c r="C23" s="25" t="s">
        <v>547</v>
      </c>
      <c r="D23" s="30">
        <v>4</v>
      </c>
      <c r="E23" s="13">
        <v>470</v>
      </c>
      <c r="F23" s="50">
        <f t="shared" si="0"/>
        <v>1880</v>
      </c>
    </row>
    <row r="24" spans="1:6" s="8" customFormat="1" ht="15.75" x14ac:dyDescent="0.25">
      <c r="A24" s="15" t="s">
        <v>21</v>
      </c>
      <c r="B24" s="16">
        <v>44193</v>
      </c>
      <c r="C24" s="25" t="s">
        <v>548</v>
      </c>
      <c r="D24" s="30">
        <v>36</v>
      </c>
      <c r="E24" s="13">
        <v>75</v>
      </c>
      <c r="F24" s="50">
        <f t="shared" si="0"/>
        <v>2700</v>
      </c>
    </row>
    <row r="25" spans="1:6" s="8" customFormat="1" ht="15.75" x14ac:dyDescent="0.25">
      <c r="A25" s="15" t="s">
        <v>22</v>
      </c>
      <c r="B25" s="16" t="s">
        <v>107</v>
      </c>
      <c r="C25" s="26" t="s">
        <v>549</v>
      </c>
      <c r="D25" s="30">
        <v>500</v>
      </c>
      <c r="E25" s="51">
        <v>6.4</v>
      </c>
      <c r="F25" s="50">
        <f t="shared" si="0"/>
        <v>3200</v>
      </c>
    </row>
    <row r="26" spans="1:6" s="8" customFormat="1" ht="15.75" x14ac:dyDescent="0.25">
      <c r="A26" s="15" t="s">
        <v>23</v>
      </c>
      <c r="B26" s="16">
        <v>44193</v>
      </c>
      <c r="C26" s="26" t="s">
        <v>550</v>
      </c>
      <c r="D26" s="30">
        <v>73</v>
      </c>
      <c r="E26" s="13">
        <v>105.93</v>
      </c>
      <c r="F26" s="50">
        <f t="shared" si="0"/>
        <v>7732.89</v>
      </c>
    </row>
    <row r="27" spans="1:6" s="8" customFormat="1" ht="15.75" x14ac:dyDescent="0.25">
      <c r="A27" s="15" t="s">
        <v>24</v>
      </c>
      <c r="B27" s="16">
        <v>44193</v>
      </c>
      <c r="C27" s="25" t="s">
        <v>551</v>
      </c>
      <c r="D27" s="30">
        <v>22</v>
      </c>
      <c r="E27" s="13">
        <v>600</v>
      </c>
      <c r="F27" s="50">
        <f t="shared" si="0"/>
        <v>13200</v>
      </c>
    </row>
    <row r="28" spans="1:6" s="8" customFormat="1" ht="15.75" x14ac:dyDescent="0.25">
      <c r="A28" s="15" t="s">
        <v>110</v>
      </c>
      <c r="B28" s="16">
        <v>44193</v>
      </c>
      <c r="C28" s="9" t="s">
        <v>552</v>
      </c>
      <c r="D28" s="30">
        <v>5</v>
      </c>
      <c r="E28" s="13">
        <v>200</v>
      </c>
      <c r="F28" s="50">
        <f t="shared" si="0"/>
        <v>1000</v>
      </c>
    </row>
    <row r="29" spans="1:6" s="8" customFormat="1" ht="15.75" x14ac:dyDescent="0.25">
      <c r="A29" s="15" t="s">
        <v>125</v>
      </c>
      <c r="B29" s="16">
        <v>44193</v>
      </c>
      <c r="C29" s="9" t="s">
        <v>553</v>
      </c>
      <c r="D29" s="30">
        <v>9</v>
      </c>
      <c r="E29" s="13">
        <v>200</v>
      </c>
      <c r="F29" s="50">
        <f t="shared" si="0"/>
        <v>1800</v>
      </c>
    </row>
    <row r="30" spans="1:6" s="8" customFormat="1" ht="15.75" x14ac:dyDescent="0.25">
      <c r="A30" s="15" t="s">
        <v>25</v>
      </c>
      <c r="B30" s="16">
        <v>44193</v>
      </c>
      <c r="C30" s="25" t="s">
        <v>554</v>
      </c>
      <c r="D30" s="30">
        <v>50</v>
      </c>
      <c r="E30" s="13">
        <v>4.24</v>
      </c>
      <c r="F30" s="50">
        <f t="shared" si="0"/>
        <v>212</v>
      </c>
    </row>
    <row r="31" spans="1:6" s="8" customFormat="1" ht="15.75" x14ac:dyDescent="0.25">
      <c r="A31" s="15" t="s">
        <v>126</v>
      </c>
      <c r="B31" s="16">
        <v>44193</v>
      </c>
      <c r="C31" s="25" t="s">
        <v>555</v>
      </c>
      <c r="D31" s="30">
        <v>50</v>
      </c>
      <c r="E31" s="13">
        <v>3.39</v>
      </c>
      <c r="F31" s="50">
        <f t="shared" si="0"/>
        <v>169.5</v>
      </c>
    </row>
    <row r="32" spans="1:6" s="8" customFormat="1" ht="15.75" x14ac:dyDescent="0.25">
      <c r="A32" s="15" t="s">
        <v>26</v>
      </c>
      <c r="B32" s="16">
        <v>44193</v>
      </c>
      <c r="C32" s="9" t="s">
        <v>556</v>
      </c>
      <c r="D32" s="30">
        <v>22</v>
      </c>
      <c r="E32" s="13">
        <v>1625</v>
      </c>
      <c r="F32" s="50">
        <f t="shared" si="0"/>
        <v>35750</v>
      </c>
    </row>
    <row r="33" spans="1:6" s="8" customFormat="1" ht="15.75" x14ac:dyDescent="0.25">
      <c r="A33" s="15" t="s">
        <v>27</v>
      </c>
      <c r="B33" s="16">
        <v>44193</v>
      </c>
      <c r="C33" s="9" t="s">
        <v>557</v>
      </c>
      <c r="D33" s="30">
        <v>12</v>
      </c>
      <c r="E33" s="13">
        <v>1625</v>
      </c>
      <c r="F33" s="50">
        <f t="shared" si="0"/>
        <v>19500</v>
      </c>
    </row>
    <row r="34" spans="1:6" s="8" customFormat="1" ht="15.75" x14ac:dyDescent="0.25">
      <c r="A34" s="15" t="s">
        <v>28</v>
      </c>
      <c r="B34" s="16">
        <v>44193</v>
      </c>
      <c r="C34" s="9" t="s">
        <v>558</v>
      </c>
      <c r="D34" s="30">
        <v>13</v>
      </c>
      <c r="E34" s="13">
        <v>66.3</v>
      </c>
      <c r="F34" s="50">
        <f t="shared" si="0"/>
        <v>861.9</v>
      </c>
    </row>
    <row r="35" spans="1:6" s="8" customFormat="1" ht="15.75" x14ac:dyDescent="0.25">
      <c r="A35" s="15" t="s">
        <v>127</v>
      </c>
      <c r="B35" s="16">
        <v>44193</v>
      </c>
      <c r="C35" s="9" t="s">
        <v>559</v>
      </c>
      <c r="D35" s="30">
        <v>8</v>
      </c>
      <c r="E35" s="13">
        <v>40</v>
      </c>
      <c r="F35" s="50">
        <f t="shared" si="0"/>
        <v>320</v>
      </c>
    </row>
    <row r="36" spans="1:6" s="8" customFormat="1" ht="15.75" x14ac:dyDescent="0.25">
      <c r="A36" s="15" t="s">
        <v>29</v>
      </c>
      <c r="B36" s="23" t="s">
        <v>106</v>
      </c>
      <c r="C36" s="26" t="s">
        <v>560</v>
      </c>
      <c r="D36" s="32">
        <v>13</v>
      </c>
      <c r="E36" s="13">
        <v>190.68</v>
      </c>
      <c r="F36" s="50">
        <f t="shared" si="0"/>
        <v>2478.84</v>
      </c>
    </row>
    <row r="37" spans="1:6" s="8" customFormat="1" ht="15.75" x14ac:dyDescent="0.25">
      <c r="A37" s="15" t="s">
        <v>30</v>
      </c>
      <c r="B37" s="16">
        <v>44193</v>
      </c>
      <c r="C37" s="9" t="s">
        <v>561</v>
      </c>
      <c r="D37" s="30">
        <v>83</v>
      </c>
      <c r="E37" s="13">
        <v>2.4</v>
      </c>
      <c r="F37" s="50">
        <f t="shared" si="0"/>
        <v>199.2</v>
      </c>
    </row>
    <row r="38" spans="1:6" s="8" customFormat="1" ht="15.75" x14ac:dyDescent="0.25">
      <c r="A38" s="15" t="s">
        <v>99</v>
      </c>
      <c r="B38" s="16">
        <v>44193</v>
      </c>
      <c r="C38" s="26" t="s">
        <v>562</v>
      </c>
      <c r="D38" s="32">
        <v>120</v>
      </c>
      <c r="E38" s="13">
        <v>700</v>
      </c>
      <c r="F38" s="50">
        <f t="shared" si="0"/>
        <v>84000</v>
      </c>
    </row>
    <row r="39" spans="1:6" s="8" customFormat="1" ht="15.75" x14ac:dyDescent="0.25">
      <c r="A39" s="15" t="s">
        <v>31</v>
      </c>
      <c r="B39" s="16">
        <v>44193</v>
      </c>
      <c r="C39" s="9" t="s">
        <v>563</v>
      </c>
      <c r="D39" s="30">
        <v>1</v>
      </c>
      <c r="E39" s="13">
        <v>35</v>
      </c>
      <c r="F39" s="50">
        <f t="shared" si="0"/>
        <v>35</v>
      </c>
    </row>
    <row r="40" spans="1:6" s="8" customFormat="1" ht="15.75" x14ac:dyDescent="0.25">
      <c r="A40" s="15" t="s">
        <v>32</v>
      </c>
      <c r="B40" s="16">
        <v>44193</v>
      </c>
      <c r="C40" s="9" t="s">
        <v>564</v>
      </c>
      <c r="D40" s="30">
        <v>1</v>
      </c>
      <c r="E40" s="13">
        <v>2719</v>
      </c>
      <c r="F40" s="50">
        <f t="shared" si="0"/>
        <v>2719</v>
      </c>
    </row>
    <row r="41" spans="1:6" s="8" customFormat="1" ht="15.75" x14ac:dyDescent="0.25">
      <c r="A41" s="15" t="s">
        <v>33</v>
      </c>
      <c r="B41" s="16">
        <v>44193</v>
      </c>
      <c r="C41" s="26" t="s">
        <v>565</v>
      </c>
      <c r="D41" s="32">
        <v>5</v>
      </c>
      <c r="E41" s="13">
        <v>1400</v>
      </c>
      <c r="F41" s="50">
        <f t="shared" si="0"/>
        <v>7000</v>
      </c>
    </row>
    <row r="42" spans="1:6" s="8" customFormat="1" ht="15.75" x14ac:dyDescent="0.25">
      <c r="A42" s="15" t="s">
        <v>34</v>
      </c>
      <c r="B42" s="16">
        <v>44193</v>
      </c>
      <c r="C42" s="26" t="s">
        <v>566</v>
      </c>
      <c r="D42" s="32">
        <v>5</v>
      </c>
      <c r="E42" s="13">
        <v>2600</v>
      </c>
      <c r="F42" s="50">
        <f t="shared" si="0"/>
        <v>13000</v>
      </c>
    </row>
    <row r="43" spans="1:6" s="8" customFormat="1" ht="15.75" x14ac:dyDescent="0.25">
      <c r="A43" s="15" t="s">
        <v>111</v>
      </c>
      <c r="B43" s="16">
        <v>44193</v>
      </c>
      <c r="C43" s="26" t="s">
        <v>567</v>
      </c>
      <c r="D43" s="32">
        <v>10</v>
      </c>
      <c r="E43" s="13">
        <v>500</v>
      </c>
      <c r="F43" s="50">
        <f t="shared" si="0"/>
        <v>5000</v>
      </c>
    </row>
    <row r="44" spans="1:6" s="8" customFormat="1" ht="15.75" x14ac:dyDescent="0.25">
      <c r="A44" s="15" t="s">
        <v>128</v>
      </c>
      <c r="B44" s="16">
        <v>44193</v>
      </c>
      <c r="C44" s="26" t="s">
        <v>568</v>
      </c>
      <c r="D44" s="32">
        <v>6</v>
      </c>
      <c r="E44" s="13">
        <v>5000</v>
      </c>
      <c r="F44" s="50">
        <f t="shared" si="0"/>
        <v>30000</v>
      </c>
    </row>
    <row r="45" spans="1:6" s="8" customFormat="1" ht="15.75" x14ac:dyDescent="0.25">
      <c r="A45" s="15" t="s">
        <v>129</v>
      </c>
      <c r="B45" s="16">
        <v>44193</v>
      </c>
      <c r="C45" s="25" t="s">
        <v>569</v>
      </c>
      <c r="D45" s="14">
        <v>2</v>
      </c>
      <c r="E45" s="13">
        <v>275.42</v>
      </c>
      <c r="F45" s="50">
        <f t="shared" si="0"/>
        <v>550.84</v>
      </c>
    </row>
    <row r="46" spans="1:6" s="8" customFormat="1" ht="15.75" x14ac:dyDescent="0.25">
      <c r="A46" s="15" t="s">
        <v>130</v>
      </c>
      <c r="B46" s="16">
        <v>44193</v>
      </c>
      <c r="C46" s="25" t="s">
        <v>570</v>
      </c>
      <c r="D46" s="14">
        <v>51</v>
      </c>
      <c r="E46" s="13">
        <v>25</v>
      </c>
      <c r="F46" s="50">
        <f t="shared" si="0"/>
        <v>1275</v>
      </c>
    </row>
    <row r="47" spans="1:6" s="8" customFormat="1" ht="15.75" x14ac:dyDescent="0.25">
      <c r="A47" s="15" t="s">
        <v>35</v>
      </c>
      <c r="B47" s="16">
        <v>44193</v>
      </c>
      <c r="C47" s="25" t="s">
        <v>571</v>
      </c>
      <c r="D47" s="14">
        <v>424</v>
      </c>
      <c r="E47" s="13">
        <v>10</v>
      </c>
      <c r="F47" s="50">
        <f t="shared" si="0"/>
        <v>4240</v>
      </c>
    </row>
    <row r="48" spans="1:6" s="8" customFormat="1" ht="15.75" x14ac:dyDescent="0.25">
      <c r="A48" s="15" t="s">
        <v>36</v>
      </c>
      <c r="B48" s="23" t="s">
        <v>106</v>
      </c>
      <c r="C48" s="26" t="s">
        <v>572</v>
      </c>
      <c r="D48" s="32">
        <v>7</v>
      </c>
      <c r="E48" s="51">
        <v>84.75</v>
      </c>
      <c r="F48" s="50">
        <f t="shared" si="0"/>
        <v>593.25</v>
      </c>
    </row>
    <row r="49" spans="1:6" s="8" customFormat="1" ht="15.75" x14ac:dyDescent="0.25">
      <c r="A49" s="15" t="s">
        <v>37</v>
      </c>
      <c r="B49" s="16">
        <v>44193</v>
      </c>
      <c r="C49" s="26" t="s">
        <v>573</v>
      </c>
      <c r="D49" s="32">
        <v>4</v>
      </c>
      <c r="E49" s="13">
        <v>169.49</v>
      </c>
      <c r="F49" s="50">
        <f t="shared" si="0"/>
        <v>677.96</v>
      </c>
    </row>
    <row r="50" spans="1:6" s="8" customFormat="1" ht="15.75" x14ac:dyDescent="0.25">
      <c r="A50" s="15" t="s">
        <v>38</v>
      </c>
      <c r="B50" s="16">
        <v>44193</v>
      </c>
      <c r="C50" s="25" t="s">
        <v>574</v>
      </c>
      <c r="D50" s="14">
        <v>4</v>
      </c>
      <c r="E50" s="13">
        <v>76.27</v>
      </c>
      <c r="F50" s="50">
        <f t="shared" si="0"/>
        <v>305.08</v>
      </c>
    </row>
    <row r="51" spans="1:6" s="8" customFormat="1" ht="15.75" x14ac:dyDescent="0.25">
      <c r="A51" s="15" t="s">
        <v>131</v>
      </c>
      <c r="B51" s="16">
        <v>44193</v>
      </c>
      <c r="C51" s="25" t="s">
        <v>575</v>
      </c>
      <c r="D51" s="14">
        <v>5</v>
      </c>
      <c r="E51" s="13">
        <v>93.22</v>
      </c>
      <c r="F51" s="50">
        <f t="shared" si="0"/>
        <v>466.1</v>
      </c>
    </row>
    <row r="52" spans="1:6" s="8" customFormat="1" ht="15.75" x14ac:dyDescent="0.25">
      <c r="A52" s="15" t="s">
        <v>39</v>
      </c>
      <c r="B52" s="16">
        <v>44193</v>
      </c>
      <c r="C52" s="26" t="s">
        <v>576</v>
      </c>
      <c r="D52" s="32">
        <v>4</v>
      </c>
      <c r="E52" s="13">
        <v>122.8</v>
      </c>
      <c r="F52" s="50">
        <f t="shared" si="0"/>
        <v>491.2</v>
      </c>
    </row>
    <row r="53" spans="1:6" s="8" customFormat="1" ht="15.75" x14ac:dyDescent="0.25">
      <c r="A53" s="15" t="s">
        <v>40</v>
      </c>
      <c r="B53" s="16">
        <v>44193</v>
      </c>
      <c r="C53" s="9" t="s">
        <v>577</v>
      </c>
      <c r="D53" s="48">
        <v>2</v>
      </c>
      <c r="E53" s="13">
        <v>3000</v>
      </c>
      <c r="F53" s="50">
        <f t="shared" si="0"/>
        <v>6000</v>
      </c>
    </row>
    <row r="54" spans="1:6" s="8" customFormat="1" ht="15.75" x14ac:dyDescent="0.25">
      <c r="A54" s="15" t="s">
        <v>132</v>
      </c>
      <c r="B54" s="16">
        <v>44193</v>
      </c>
      <c r="C54" s="26" t="s">
        <v>578</v>
      </c>
      <c r="D54" s="32">
        <v>24</v>
      </c>
      <c r="E54" s="13">
        <v>63.56</v>
      </c>
      <c r="F54" s="50">
        <f t="shared" si="0"/>
        <v>1525.44</v>
      </c>
    </row>
    <row r="55" spans="1:6" s="8" customFormat="1" ht="15.75" x14ac:dyDescent="0.25">
      <c r="A55" s="15" t="s">
        <v>41</v>
      </c>
      <c r="B55" s="16">
        <v>44193</v>
      </c>
      <c r="C55" s="26" t="s">
        <v>579</v>
      </c>
      <c r="D55" s="32">
        <v>11</v>
      </c>
      <c r="E55" s="13">
        <v>35</v>
      </c>
      <c r="F55" s="50">
        <f t="shared" si="0"/>
        <v>385</v>
      </c>
    </row>
    <row r="56" spans="1:6" s="8" customFormat="1" ht="15.75" x14ac:dyDescent="0.25">
      <c r="A56" s="15" t="s">
        <v>133</v>
      </c>
      <c r="B56" s="16">
        <v>44193</v>
      </c>
      <c r="C56" s="9" t="s">
        <v>580</v>
      </c>
      <c r="D56" s="48">
        <v>22</v>
      </c>
      <c r="E56" s="13">
        <v>18</v>
      </c>
      <c r="F56" s="50">
        <f t="shared" si="0"/>
        <v>396</v>
      </c>
    </row>
    <row r="57" spans="1:6" s="8" customFormat="1" ht="15.75" x14ac:dyDescent="0.25">
      <c r="A57" s="15" t="s">
        <v>134</v>
      </c>
      <c r="B57" s="16">
        <v>44193</v>
      </c>
      <c r="C57" s="9" t="s">
        <v>581</v>
      </c>
      <c r="D57" s="48">
        <v>10</v>
      </c>
      <c r="E57" s="13">
        <v>114</v>
      </c>
      <c r="F57" s="50">
        <f t="shared" si="0"/>
        <v>1140</v>
      </c>
    </row>
    <row r="58" spans="1:6" s="8" customFormat="1" ht="15.75" x14ac:dyDescent="0.25">
      <c r="A58" s="15" t="s">
        <v>42</v>
      </c>
      <c r="B58" s="16">
        <v>44193</v>
      </c>
      <c r="C58" s="9" t="s">
        <v>582</v>
      </c>
      <c r="D58" s="48">
        <v>50</v>
      </c>
      <c r="E58" s="13">
        <v>150</v>
      </c>
      <c r="F58" s="50">
        <f t="shared" si="0"/>
        <v>7500</v>
      </c>
    </row>
    <row r="59" spans="1:6" s="8" customFormat="1" ht="15.75" x14ac:dyDescent="0.25">
      <c r="A59" s="15" t="s">
        <v>109</v>
      </c>
      <c r="B59" s="16">
        <v>44193</v>
      </c>
      <c r="C59" s="26" t="s">
        <v>583</v>
      </c>
      <c r="D59" s="14">
        <v>4</v>
      </c>
      <c r="E59" s="13">
        <v>105.93</v>
      </c>
      <c r="F59" s="50">
        <f t="shared" si="0"/>
        <v>423.72</v>
      </c>
    </row>
    <row r="60" spans="1:6" s="8" customFormat="1" ht="15.75" x14ac:dyDescent="0.25">
      <c r="A60" s="15" t="s">
        <v>135</v>
      </c>
      <c r="B60" s="16">
        <v>44193</v>
      </c>
      <c r="C60" s="26" t="s">
        <v>584</v>
      </c>
      <c r="D60" s="14">
        <v>1</v>
      </c>
      <c r="E60" s="13">
        <v>762.71</v>
      </c>
      <c r="F60" s="50">
        <f t="shared" ref="F60:F108" si="1">D60*E60</f>
        <v>762.71</v>
      </c>
    </row>
    <row r="61" spans="1:6" s="8" customFormat="1" ht="15.75" x14ac:dyDescent="0.25">
      <c r="A61" s="15" t="s">
        <v>43</v>
      </c>
      <c r="B61" s="16">
        <v>44193</v>
      </c>
      <c r="C61" s="26" t="s">
        <v>585</v>
      </c>
      <c r="D61" s="14">
        <v>1</v>
      </c>
      <c r="E61" s="13">
        <v>338.98</v>
      </c>
      <c r="F61" s="50">
        <f t="shared" si="1"/>
        <v>338.98</v>
      </c>
    </row>
    <row r="62" spans="1:6" s="8" customFormat="1" ht="15.75" x14ac:dyDescent="0.25">
      <c r="A62" s="15" t="s">
        <v>45</v>
      </c>
      <c r="B62" s="16">
        <v>44193</v>
      </c>
      <c r="C62" s="9" t="s">
        <v>586</v>
      </c>
      <c r="D62" s="30">
        <v>8</v>
      </c>
      <c r="E62" s="13">
        <v>17.07</v>
      </c>
      <c r="F62" s="50">
        <f t="shared" si="1"/>
        <v>136.56</v>
      </c>
    </row>
    <row r="63" spans="1:6" s="8" customFormat="1" ht="15.75" x14ac:dyDescent="0.25">
      <c r="A63" s="15" t="s">
        <v>46</v>
      </c>
      <c r="B63" s="16">
        <v>44193</v>
      </c>
      <c r="C63" s="26" t="s">
        <v>587</v>
      </c>
      <c r="D63" s="30">
        <v>89</v>
      </c>
      <c r="E63" s="13">
        <v>134</v>
      </c>
      <c r="F63" s="50">
        <f t="shared" si="1"/>
        <v>11926</v>
      </c>
    </row>
    <row r="64" spans="1:6" s="8" customFormat="1" ht="15.75" x14ac:dyDescent="0.25">
      <c r="A64" s="15" t="s">
        <v>47</v>
      </c>
      <c r="B64" s="23" t="s">
        <v>106</v>
      </c>
      <c r="C64" s="26" t="s">
        <v>588</v>
      </c>
      <c r="D64" s="30">
        <f>32+107</f>
        <v>139</v>
      </c>
      <c r="E64" s="51">
        <v>50</v>
      </c>
      <c r="F64" s="50">
        <f t="shared" si="1"/>
        <v>6950</v>
      </c>
    </row>
    <row r="65" spans="1:6" s="8" customFormat="1" ht="15.75" x14ac:dyDescent="0.25">
      <c r="A65" s="15" t="s">
        <v>48</v>
      </c>
      <c r="B65" s="16">
        <v>44193</v>
      </c>
      <c r="C65" s="26" t="s">
        <v>589</v>
      </c>
      <c r="D65" s="30">
        <v>3</v>
      </c>
      <c r="E65" s="13">
        <v>1864.41</v>
      </c>
      <c r="F65" s="50">
        <f t="shared" si="1"/>
        <v>5593.2300000000005</v>
      </c>
    </row>
    <row r="66" spans="1:6" s="8" customFormat="1" ht="15.75" x14ac:dyDescent="0.25">
      <c r="A66" s="15" t="s">
        <v>49</v>
      </c>
      <c r="B66" s="16">
        <v>44193</v>
      </c>
      <c r="C66" s="9" t="s">
        <v>590</v>
      </c>
      <c r="D66" s="30">
        <v>1</v>
      </c>
      <c r="E66" s="13">
        <v>402.54</v>
      </c>
      <c r="F66" s="50">
        <f t="shared" si="1"/>
        <v>402.54</v>
      </c>
    </row>
    <row r="67" spans="1:6" s="8" customFormat="1" ht="15.75" x14ac:dyDescent="0.25">
      <c r="A67" s="15" t="s">
        <v>50</v>
      </c>
      <c r="B67" s="16">
        <v>44193</v>
      </c>
      <c r="C67" s="9" t="s">
        <v>591</v>
      </c>
      <c r="D67" s="30">
        <v>11</v>
      </c>
      <c r="E67" s="13">
        <v>37.74</v>
      </c>
      <c r="F67" s="50">
        <f t="shared" si="1"/>
        <v>415.14000000000004</v>
      </c>
    </row>
    <row r="68" spans="1:6" s="8" customFormat="1" ht="15.75" x14ac:dyDescent="0.25">
      <c r="A68" s="15" t="s">
        <v>51</v>
      </c>
      <c r="B68" s="16">
        <v>44193</v>
      </c>
      <c r="C68" s="9" t="s">
        <v>592</v>
      </c>
      <c r="D68" s="30">
        <v>2</v>
      </c>
      <c r="E68" s="13">
        <v>55</v>
      </c>
      <c r="F68" s="50">
        <f t="shared" si="1"/>
        <v>110</v>
      </c>
    </row>
    <row r="69" spans="1:6" s="8" customFormat="1" ht="15.75" x14ac:dyDescent="0.25">
      <c r="A69" s="15" t="s">
        <v>52</v>
      </c>
      <c r="B69" s="16">
        <v>44193</v>
      </c>
      <c r="C69" s="9" t="s">
        <v>593</v>
      </c>
      <c r="D69" s="30">
        <v>6</v>
      </c>
      <c r="E69" s="13">
        <v>4740</v>
      </c>
      <c r="F69" s="50">
        <f t="shared" si="1"/>
        <v>28440</v>
      </c>
    </row>
    <row r="70" spans="1:6" s="8" customFormat="1" ht="15.75" x14ac:dyDescent="0.25">
      <c r="A70" s="15" t="s">
        <v>53</v>
      </c>
      <c r="B70" s="16">
        <v>44193</v>
      </c>
      <c r="C70" s="9" t="s">
        <v>594</v>
      </c>
      <c r="D70" s="30">
        <v>2</v>
      </c>
      <c r="E70" s="13">
        <v>2535</v>
      </c>
      <c r="F70" s="50">
        <f t="shared" si="1"/>
        <v>5070</v>
      </c>
    </row>
    <row r="71" spans="1:6" s="8" customFormat="1" ht="15.75" x14ac:dyDescent="0.25">
      <c r="A71" s="15" t="s">
        <v>44</v>
      </c>
      <c r="B71" s="16">
        <v>44193</v>
      </c>
      <c r="C71" s="9" t="s">
        <v>595</v>
      </c>
      <c r="D71" s="30">
        <v>1</v>
      </c>
      <c r="E71" s="13">
        <v>211.86</v>
      </c>
      <c r="F71" s="50">
        <f t="shared" si="1"/>
        <v>211.86</v>
      </c>
    </row>
    <row r="72" spans="1:6" s="8" customFormat="1" ht="15.75" x14ac:dyDescent="0.25">
      <c r="A72" s="15" t="s">
        <v>113</v>
      </c>
      <c r="B72" s="16">
        <v>44193</v>
      </c>
      <c r="C72" s="9" t="s">
        <v>596</v>
      </c>
      <c r="D72" s="30">
        <v>5</v>
      </c>
      <c r="E72" s="13">
        <v>70</v>
      </c>
      <c r="F72" s="50">
        <f t="shared" si="1"/>
        <v>350</v>
      </c>
    </row>
    <row r="73" spans="1:6" s="8" customFormat="1" ht="15.75" x14ac:dyDescent="0.25">
      <c r="A73" s="15" t="s">
        <v>136</v>
      </c>
      <c r="B73" s="16">
        <v>44193</v>
      </c>
      <c r="C73" s="26" t="s">
        <v>597</v>
      </c>
      <c r="D73" s="30">
        <v>4</v>
      </c>
      <c r="E73" s="13">
        <v>148.31</v>
      </c>
      <c r="F73" s="50">
        <f t="shared" si="1"/>
        <v>593.24</v>
      </c>
    </row>
    <row r="74" spans="1:6" s="8" customFormat="1" ht="15.75" x14ac:dyDescent="0.25">
      <c r="A74" s="15" t="s">
        <v>137</v>
      </c>
      <c r="B74" s="16">
        <v>44193</v>
      </c>
      <c r="C74" s="9" t="s">
        <v>598</v>
      </c>
      <c r="D74" s="30">
        <v>2</v>
      </c>
      <c r="E74" s="13">
        <v>200</v>
      </c>
      <c r="F74" s="50">
        <f t="shared" si="1"/>
        <v>400</v>
      </c>
    </row>
    <row r="75" spans="1:6" s="8" customFormat="1" ht="15.75" x14ac:dyDescent="0.25">
      <c r="A75" s="15" t="s">
        <v>138</v>
      </c>
      <c r="B75" s="16">
        <v>44193</v>
      </c>
      <c r="C75" s="9" t="s">
        <v>599</v>
      </c>
      <c r="D75" s="30">
        <v>10</v>
      </c>
      <c r="E75" s="13">
        <v>65</v>
      </c>
      <c r="F75" s="50">
        <f t="shared" si="1"/>
        <v>650</v>
      </c>
    </row>
    <row r="76" spans="1:6" s="8" customFormat="1" ht="15.75" x14ac:dyDescent="0.25">
      <c r="A76" s="15" t="s">
        <v>54</v>
      </c>
      <c r="B76" s="16">
        <v>44193</v>
      </c>
      <c r="C76" s="9" t="s">
        <v>600</v>
      </c>
      <c r="D76" s="30">
        <v>12</v>
      </c>
      <c r="E76" s="13">
        <v>115</v>
      </c>
      <c r="F76" s="50">
        <f t="shared" si="1"/>
        <v>1380</v>
      </c>
    </row>
    <row r="77" spans="1:6" s="8" customFormat="1" ht="15.75" x14ac:dyDescent="0.25">
      <c r="A77" s="15" t="s">
        <v>55</v>
      </c>
      <c r="B77" s="16">
        <v>44193</v>
      </c>
      <c r="C77" s="9" t="s">
        <v>601</v>
      </c>
      <c r="D77" s="30">
        <v>10</v>
      </c>
      <c r="E77" s="13">
        <v>155</v>
      </c>
      <c r="F77" s="50">
        <f t="shared" si="1"/>
        <v>1550</v>
      </c>
    </row>
    <row r="78" spans="1:6" s="8" customFormat="1" ht="15.75" x14ac:dyDescent="0.25">
      <c r="A78" s="15" t="s">
        <v>56</v>
      </c>
      <c r="B78" s="16">
        <v>44193</v>
      </c>
      <c r="C78" s="25" t="s">
        <v>602</v>
      </c>
      <c r="D78" s="14">
        <v>143</v>
      </c>
      <c r="E78" s="13">
        <v>3400</v>
      </c>
      <c r="F78" s="50">
        <f t="shared" si="1"/>
        <v>486200</v>
      </c>
    </row>
    <row r="79" spans="1:6" s="8" customFormat="1" ht="15.75" x14ac:dyDescent="0.25">
      <c r="A79" s="15" t="s">
        <v>100</v>
      </c>
      <c r="B79" s="16">
        <v>44193</v>
      </c>
      <c r="C79" s="25" t="s">
        <v>603</v>
      </c>
      <c r="D79" s="14">
        <v>5</v>
      </c>
      <c r="E79" s="13">
        <v>16.559999999999999</v>
      </c>
      <c r="F79" s="50">
        <f t="shared" si="1"/>
        <v>82.8</v>
      </c>
    </row>
    <row r="80" spans="1:6" s="8" customFormat="1" ht="15.75" x14ac:dyDescent="0.25">
      <c r="A80" s="15" t="s">
        <v>57</v>
      </c>
      <c r="B80" s="16">
        <v>44193</v>
      </c>
      <c r="C80" s="25" t="s">
        <v>604</v>
      </c>
      <c r="D80" s="14">
        <v>28</v>
      </c>
      <c r="E80" s="13">
        <v>45</v>
      </c>
      <c r="F80" s="50">
        <f t="shared" si="1"/>
        <v>1260</v>
      </c>
    </row>
    <row r="81" spans="1:6" s="8" customFormat="1" ht="15.75" x14ac:dyDescent="0.25">
      <c r="A81" s="15" t="s">
        <v>139</v>
      </c>
      <c r="B81" s="16">
        <v>44193</v>
      </c>
      <c r="C81" s="25" t="s">
        <v>605</v>
      </c>
      <c r="D81" s="14">
        <v>5</v>
      </c>
      <c r="E81" s="13">
        <v>40</v>
      </c>
      <c r="F81" s="50">
        <f t="shared" si="1"/>
        <v>200</v>
      </c>
    </row>
    <row r="82" spans="1:6" s="8" customFormat="1" ht="15.75" x14ac:dyDescent="0.25">
      <c r="A82" s="15" t="s">
        <v>140</v>
      </c>
      <c r="B82" s="16">
        <v>44193</v>
      </c>
      <c r="C82" s="25" t="s">
        <v>606</v>
      </c>
      <c r="D82" s="14">
        <v>39</v>
      </c>
      <c r="E82" s="13">
        <v>45</v>
      </c>
      <c r="F82" s="50">
        <f t="shared" si="1"/>
        <v>1755</v>
      </c>
    </row>
    <row r="83" spans="1:6" s="8" customFormat="1" ht="15.75" x14ac:dyDescent="0.25">
      <c r="A83" s="15" t="s">
        <v>141</v>
      </c>
      <c r="B83" s="16">
        <v>44193</v>
      </c>
      <c r="C83" s="25" t="s">
        <v>607</v>
      </c>
      <c r="D83" s="14">
        <v>1</v>
      </c>
      <c r="E83" s="13">
        <v>40</v>
      </c>
      <c r="F83" s="50">
        <f t="shared" si="1"/>
        <v>40</v>
      </c>
    </row>
    <row r="84" spans="1:6" s="8" customFormat="1" ht="15.75" x14ac:dyDescent="0.25">
      <c r="A84" s="15" t="s">
        <v>58</v>
      </c>
      <c r="B84" s="16">
        <v>44193</v>
      </c>
      <c r="C84" s="25" t="s">
        <v>608</v>
      </c>
      <c r="D84" s="32">
        <v>2</v>
      </c>
      <c r="E84" s="13">
        <v>12.21</v>
      </c>
      <c r="F84" s="50">
        <f t="shared" si="1"/>
        <v>24.42</v>
      </c>
    </row>
    <row r="85" spans="1:6" s="8" customFormat="1" ht="15.75" x14ac:dyDescent="0.25">
      <c r="A85" s="15" t="s">
        <v>59</v>
      </c>
      <c r="B85" s="16">
        <v>44193</v>
      </c>
      <c r="C85" s="25" t="s">
        <v>609</v>
      </c>
      <c r="D85" s="32">
        <v>4</v>
      </c>
      <c r="E85" s="13">
        <v>4</v>
      </c>
      <c r="F85" s="50">
        <f t="shared" si="1"/>
        <v>16</v>
      </c>
    </row>
    <row r="86" spans="1:6" s="8" customFormat="1" ht="15.75" x14ac:dyDescent="0.25">
      <c r="A86" s="15" t="s">
        <v>60</v>
      </c>
      <c r="B86" s="16">
        <v>44193</v>
      </c>
      <c r="C86" s="25" t="s">
        <v>610</v>
      </c>
      <c r="D86" s="32">
        <v>56</v>
      </c>
      <c r="E86" s="13">
        <v>5.05</v>
      </c>
      <c r="F86" s="50">
        <f t="shared" si="1"/>
        <v>282.8</v>
      </c>
    </row>
    <row r="87" spans="1:6" s="8" customFormat="1" ht="15.75" x14ac:dyDescent="0.25">
      <c r="A87" s="15" t="s">
        <v>61</v>
      </c>
      <c r="B87" s="16">
        <v>44193</v>
      </c>
      <c r="C87" s="25" t="s">
        <v>611</v>
      </c>
      <c r="D87" s="32">
        <v>37</v>
      </c>
      <c r="E87" s="13">
        <v>42.95</v>
      </c>
      <c r="F87" s="50">
        <f t="shared" si="1"/>
        <v>1589.15</v>
      </c>
    </row>
    <row r="88" spans="1:6" s="8" customFormat="1" ht="15.75" x14ac:dyDescent="0.25">
      <c r="A88" s="15" t="s">
        <v>62</v>
      </c>
      <c r="B88" s="16">
        <v>44193</v>
      </c>
      <c r="C88" s="25" t="s">
        <v>612</v>
      </c>
      <c r="D88" s="30">
        <v>17</v>
      </c>
      <c r="E88" s="13">
        <v>19.95</v>
      </c>
      <c r="F88" s="50">
        <f t="shared" si="1"/>
        <v>339.15</v>
      </c>
    </row>
    <row r="89" spans="1:6" s="8" customFormat="1" ht="15.75" x14ac:dyDescent="0.25">
      <c r="A89" s="15" t="s">
        <v>63</v>
      </c>
      <c r="B89" s="16">
        <v>44193</v>
      </c>
      <c r="C89" s="25" t="s">
        <v>613</v>
      </c>
      <c r="D89" s="30">
        <v>25</v>
      </c>
      <c r="E89" s="13">
        <v>5.78</v>
      </c>
      <c r="F89" s="50">
        <f t="shared" si="1"/>
        <v>144.5</v>
      </c>
    </row>
    <row r="90" spans="1:6" s="8" customFormat="1" ht="15.75" x14ac:dyDescent="0.25">
      <c r="A90" s="15" t="s">
        <v>64</v>
      </c>
      <c r="B90" s="16">
        <v>44193</v>
      </c>
      <c r="C90" s="26" t="s">
        <v>614</v>
      </c>
      <c r="D90" s="30">
        <v>25</v>
      </c>
      <c r="E90" s="13">
        <v>719.2</v>
      </c>
      <c r="F90" s="50">
        <f t="shared" si="1"/>
        <v>17980</v>
      </c>
    </row>
    <row r="91" spans="1:6" s="8" customFormat="1" ht="15.75" x14ac:dyDescent="0.25">
      <c r="A91" s="15" t="s">
        <v>65</v>
      </c>
      <c r="B91" s="16">
        <v>44193</v>
      </c>
      <c r="C91" s="26" t="s">
        <v>615</v>
      </c>
      <c r="D91" s="30">
        <v>2</v>
      </c>
      <c r="E91" s="13">
        <v>719.2</v>
      </c>
      <c r="F91" s="50">
        <f t="shared" si="1"/>
        <v>1438.4</v>
      </c>
    </row>
    <row r="92" spans="1:6" s="8" customFormat="1" ht="15.75" x14ac:dyDescent="0.25">
      <c r="A92" s="15" t="s">
        <v>66</v>
      </c>
      <c r="B92" s="16">
        <v>44193</v>
      </c>
      <c r="C92" s="25" t="s">
        <v>616</v>
      </c>
      <c r="D92" s="32">
        <v>1</v>
      </c>
      <c r="E92" s="13">
        <v>22950</v>
      </c>
      <c r="F92" s="50">
        <f t="shared" si="1"/>
        <v>22950</v>
      </c>
    </row>
    <row r="93" spans="1:6" s="8" customFormat="1" ht="15.75" x14ac:dyDescent="0.25">
      <c r="A93" s="15" t="s">
        <v>68</v>
      </c>
      <c r="B93" s="16">
        <v>44193</v>
      </c>
      <c r="C93" s="25" t="s">
        <v>617</v>
      </c>
      <c r="D93" s="32">
        <v>19</v>
      </c>
      <c r="E93" s="13">
        <v>29</v>
      </c>
      <c r="F93" s="50">
        <f t="shared" si="1"/>
        <v>551</v>
      </c>
    </row>
    <row r="94" spans="1:6" s="8" customFormat="1" ht="15.75" x14ac:dyDescent="0.25">
      <c r="A94" s="15" t="s">
        <v>67</v>
      </c>
      <c r="B94" s="23" t="s">
        <v>106</v>
      </c>
      <c r="C94" s="9" t="s">
        <v>618</v>
      </c>
      <c r="D94" s="30">
        <v>10</v>
      </c>
      <c r="E94" s="51">
        <v>35</v>
      </c>
      <c r="F94" s="50">
        <f t="shared" si="1"/>
        <v>350</v>
      </c>
    </row>
    <row r="95" spans="1:6" s="8" customFormat="1" ht="15.75" x14ac:dyDescent="0.25">
      <c r="A95" s="15" t="s">
        <v>69</v>
      </c>
      <c r="B95" s="16">
        <v>44193</v>
      </c>
      <c r="C95" s="26" t="s">
        <v>619</v>
      </c>
      <c r="D95" s="32">
        <v>18</v>
      </c>
      <c r="E95" s="13">
        <v>155</v>
      </c>
      <c r="F95" s="50">
        <f t="shared" si="1"/>
        <v>2790</v>
      </c>
    </row>
    <row r="96" spans="1:6" s="8" customFormat="1" ht="15.75" x14ac:dyDescent="0.25">
      <c r="A96" s="15" t="s">
        <v>103</v>
      </c>
      <c r="B96" s="16">
        <v>44193</v>
      </c>
      <c r="C96" s="26" t="s">
        <v>620</v>
      </c>
      <c r="D96" s="32">
        <v>90</v>
      </c>
      <c r="E96" s="13">
        <v>71.95</v>
      </c>
      <c r="F96" s="50">
        <f t="shared" si="1"/>
        <v>6475.5</v>
      </c>
    </row>
    <row r="97" spans="1:6" s="8" customFormat="1" ht="15.75" x14ac:dyDescent="0.25">
      <c r="A97" s="15" t="s">
        <v>104</v>
      </c>
      <c r="B97" s="16">
        <v>44193</v>
      </c>
      <c r="C97" s="26" t="s">
        <v>621</v>
      </c>
      <c r="D97" s="32">
        <v>2</v>
      </c>
      <c r="E97" s="13">
        <v>3800</v>
      </c>
      <c r="F97" s="50">
        <f t="shared" si="1"/>
        <v>7600</v>
      </c>
    </row>
    <row r="98" spans="1:6" s="8" customFormat="1" ht="15.75" x14ac:dyDescent="0.25">
      <c r="A98" s="15" t="s">
        <v>142</v>
      </c>
      <c r="B98" s="16">
        <v>44193</v>
      </c>
      <c r="C98" s="26" t="s">
        <v>622</v>
      </c>
      <c r="D98" s="32">
        <v>46</v>
      </c>
      <c r="E98" s="13">
        <v>1400</v>
      </c>
      <c r="F98" s="50">
        <f t="shared" si="1"/>
        <v>64400</v>
      </c>
    </row>
    <row r="99" spans="1:6" s="8" customFormat="1" ht="15.75" x14ac:dyDescent="0.25">
      <c r="A99" s="15" t="s">
        <v>70</v>
      </c>
      <c r="B99" s="16">
        <v>44193</v>
      </c>
      <c r="C99" s="26" t="s">
        <v>623</v>
      </c>
      <c r="D99" s="32">
        <v>18</v>
      </c>
      <c r="E99" s="13">
        <v>1099</v>
      </c>
      <c r="F99" s="50">
        <f t="shared" si="1"/>
        <v>19782</v>
      </c>
    </row>
    <row r="100" spans="1:6" s="8" customFormat="1" ht="15.75" x14ac:dyDescent="0.25">
      <c r="A100" s="15" t="s">
        <v>71</v>
      </c>
      <c r="B100" s="16">
        <v>44193</v>
      </c>
      <c r="C100" s="26" t="s">
        <v>624</v>
      </c>
      <c r="D100" s="32">
        <v>16</v>
      </c>
      <c r="E100" s="13">
        <v>4000</v>
      </c>
      <c r="F100" s="50">
        <f t="shared" si="1"/>
        <v>64000</v>
      </c>
    </row>
    <row r="101" spans="1:6" s="8" customFormat="1" ht="15.75" x14ac:dyDescent="0.25">
      <c r="A101" s="15" t="s">
        <v>72</v>
      </c>
      <c r="B101" s="16">
        <v>44193</v>
      </c>
      <c r="C101" s="26" t="s">
        <v>625</v>
      </c>
      <c r="D101" s="32">
        <v>5</v>
      </c>
      <c r="E101" s="13">
        <v>1400</v>
      </c>
      <c r="F101" s="50">
        <f t="shared" si="1"/>
        <v>7000</v>
      </c>
    </row>
    <row r="102" spans="1:6" s="8" customFormat="1" ht="15.75" x14ac:dyDescent="0.25">
      <c r="A102" s="15" t="s">
        <v>73</v>
      </c>
      <c r="B102" s="16">
        <v>44193</v>
      </c>
      <c r="C102" s="26" t="s">
        <v>626</v>
      </c>
      <c r="D102" s="32">
        <v>5</v>
      </c>
      <c r="E102" s="13">
        <v>190.68</v>
      </c>
      <c r="F102" s="50">
        <f t="shared" si="1"/>
        <v>953.40000000000009</v>
      </c>
    </row>
    <row r="103" spans="1:6" s="8" customFormat="1" ht="15.75" x14ac:dyDescent="0.25">
      <c r="A103" s="15" t="s">
        <v>74</v>
      </c>
      <c r="B103" s="23" t="s">
        <v>106</v>
      </c>
      <c r="C103" s="28" t="s">
        <v>627</v>
      </c>
      <c r="D103" s="49">
        <v>83</v>
      </c>
      <c r="E103" s="52">
        <v>28</v>
      </c>
      <c r="F103" s="50">
        <f t="shared" si="1"/>
        <v>2324</v>
      </c>
    </row>
    <row r="104" spans="1:6" s="8" customFormat="1" ht="15.75" x14ac:dyDescent="0.25">
      <c r="A104" s="15" t="s">
        <v>101</v>
      </c>
      <c r="B104" s="23" t="s">
        <v>114</v>
      </c>
      <c r="C104" s="26" t="s">
        <v>80</v>
      </c>
      <c r="D104" s="32">
        <v>1</v>
      </c>
      <c r="E104" s="51">
        <v>85</v>
      </c>
      <c r="F104" s="50">
        <f t="shared" si="1"/>
        <v>85</v>
      </c>
    </row>
    <row r="105" spans="1:6" s="8" customFormat="1" ht="15.75" x14ac:dyDescent="0.25">
      <c r="A105" s="15" t="s">
        <v>75</v>
      </c>
      <c r="B105" s="16">
        <v>44193</v>
      </c>
      <c r="C105" s="9" t="s">
        <v>628</v>
      </c>
      <c r="D105" s="48">
        <v>1</v>
      </c>
      <c r="E105" s="13">
        <v>550</v>
      </c>
      <c r="F105" s="50">
        <f t="shared" si="1"/>
        <v>550</v>
      </c>
    </row>
    <row r="106" spans="1:6" s="8" customFormat="1" ht="15.75" x14ac:dyDescent="0.25">
      <c r="A106" s="15" t="s">
        <v>102</v>
      </c>
      <c r="B106" s="16">
        <v>44193</v>
      </c>
      <c r="C106" s="9" t="s">
        <v>629</v>
      </c>
      <c r="D106" s="48">
        <v>12</v>
      </c>
      <c r="E106" s="13">
        <v>60</v>
      </c>
      <c r="F106" s="50">
        <f t="shared" si="1"/>
        <v>720</v>
      </c>
    </row>
    <row r="107" spans="1:6" s="8" customFormat="1" ht="15.75" x14ac:dyDescent="0.25">
      <c r="A107" s="15" t="s">
        <v>143</v>
      </c>
      <c r="B107" s="16">
        <v>44193</v>
      </c>
      <c r="C107" s="25" t="s">
        <v>630</v>
      </c>
      <c r="D107" s="32">
        <v>10</v>
      </c>
      <c r="E107" s="13">
        <v>115.53</v>
      </c>
      <c r="F107" s="50">
        <f t="shared" si="1"/>
        <v>1155.3</v>
      </c>
    </row>
    <row r="108" spans="1:6" s="8" customFormat="1" ht="15.75" x14ac:dyDescent="0.25">
      <c r="A108" s="15" t="s">
        <v>334</v>
      </c>
      <c r="B108" s="16">
        <v>44193</v>
      </c>
      <c r="C108" s="25" t="s">
        <v>631</v>
      </c>
      <c r="D108" s="32">
        <v>40</v>
      </c>
      <c r="E108" s="13">
        <v>115.53</v>
      </c>
      <c r="F108" s="50">
        <f t="shared" si="1"/>
        <v>4621.2</v>
      </c>
    </row>
    <row r="109" spans="1:6" s="8" customFormat="1" ht="15.75" x14ac:dyDescent="0.25">
      <c r="A109" s="15" t="s">
        <v>335</v>
      </c>
      <c r="B109" s="16">
        <v>44193</v>
      </c>
      <c r="C109" s="26" t="s">
        <v>632</v>
      </c>
      <c r="D109" s="32">
        <v>19</v>
      </c>
      <c r="E109" s="13">
        <v>105</v>
      </c>
      <c r="F109" s="50">
        <f t="shared" ref="F109:F151" si="2">D109*E109</f>
        <v>1995</v>
      </c>
    </row>
    <row r="110" spans="1:6" s="8" customFormat="1" ht="15.75" x14ac:dyDescent="0.25">
      <c r="A110" s="15" t="s">
        <v>336</v>
      </c>
      <c r="B110" s="16">
        <v>44193</v>
      </c>
      <c r="C110" s="26" t="s">
        <v>633</v>
      </c>
      <c r="D110" s="14">
        <v>30</v>
      </c>
      <c r="E110" s="13">
        <v>645</v>
      </c>
      <c r="F110" s="50">
        <f t="shared" si="2"/>
        <v>19350</v>
      </c>
    </row>
    <row r="111" spans="1:6" s="8" customFormat="1" ht="15.75" x14ac:dyDescent="0.25">
      <c r="A111" s="15" t="s">
        <v>337</v>
      </c>
      <c r="B111" s="16">
        <v>44193</v>
      </c>
      <c r="C111" s="25" t="s">
        <v>634</v>
      </c>
      <c r="D111" s="32">
        <v>8</v>
      </c>
      <c r="E111" s="13">
        <v>1375</v>
      </c>
      <c r="F111" s="50">
        <f t="shared" si="2"/>
        <v>11000</v>
      </c>
    </row>
    <row r="112" spans="1:6" s="8" customFormat="1" ht="15.75" x14ac:dyDescent="0.25">
      <c r="A112" s="15" t="s">
        <v>338</v>
      </c>
      <c r="B112" s="23" t="s">
        <v>106</v>
      </c>
      <c r="C112" s="25" t="s">
        <v>635</v>
      </c>
      <c r="D112" s="32">
        <v>8</v>
      </c>
      <c r="E112" s="13">
        <v>1375</v>
      </c>
      <c r="F112" s="50">
        <f t="shared" si="2"/>
        <v>11000</v>
      </c>
    </row>
    <row r="113" spans="1:6" s="8" customFormat="1" ht="15.75" x14ac:dyDescent="0.25">
      <c r="A113" s="15" t="s">
        <v>339</v>
      </c>
      <c r="B113" s="23" t="s">
        <v>106</v>
      </c>
      <c r="C113" s="25" t="s">
        <v>636</v>
      </c>
      <c r="D113" s="32">
        <v>60</v>
      </c>
      <c r="E113" s="13">
        <v>1375</v>
      </c>
      <c r="F113" s="50">
        <f t="shared" si="2"/>
        <v>82500</v>
      </c>
    </row>
    <row r="114" spans="1:6" s="8" customFormat="1" ht="15.75" x14ac:dyDescent="0.25">
      <c r="A114" s="15" t="s">
        <v>340</v>
      </c>
      <c r="B114" s="16">
        <v>44193</v>
      </c>
      <c r="C114" s="25" t="s">
        <v>637</v>
      </c>
      <c r="D114" s="32">
        <v>9</v>
      </c>
      <c r="E114" s="13">
        <v>1180</v>
      </c>
      <c r="F114" s="50">
        <f t="shared" si="2"/>
        <v>10620</v>
      </c>
    </row>
    <row r="115" spans="1:6" s="8" customFormat="1" ht="15.75" x14ac:dyDescent="0.25">
      <c r="A115" s="15" t="s">
        <v>341</v>
      </c>
      <c r="B115" s="16">
        <v>44193</v>
      </c>
      <c r="C115" s="25" t="s">
        <v>638</v>
      </c>
      <c r="D115" s="32">
        <v>4</v>
      </c>
      <c r="E115" s="13">
        <v>1294.3699999999999</v>
      </c>
      <c r="F115" s="50">
        <f t="shared" si="2"/>
        <v>5177.4799999999996</v>
      </c>
    </row>
    <row r="116" spans="1:6" s="8" customFormat="1" ht="15.75" x14ac:dyDescent="0.25">
      <c r="A116" s="15" t="s">
        <v>342</v>
      </c>
      <c r="B116" s="23" t="s">
        <v>106</v>
      </c>
      <c r="C116" s="25" t="s">
        <v>639</v>
      </c>
      <c r="D116" s="32">
        <v>8</v>
      </c>
      <c r="E116" s="51">
        <v>1375</v>
      </c>
      <c r="F116" s="50">
        <f t="shared" si="2"/>
        <v>11000</v>
      </c>
    </row>
    <row r="117" spans="1:6" s="8" customFormat="1" ht="15.75" x14ac:dyDescent="0.25">
      <c r="A117" s="15" t="s">
        <v>343</v>
      </c>
      <c r="B117" s="23" t="s">
        <v>114</v>
      </c>
      <c r="C117" s="25" t="s">
        <v>640</v>
      </c>
      <c r="D117" s="32">
        <v>5</v>
      </c>
      <c r="E117" s="52">
        <v>2600</v>
      </c>
      <c r="F117" s="50">
        <f t="shared" si="2"/>
        <v>13000</v>
      </c>
    </row>
    <row r="118" spans="1:6" s="8" customFormat="1" ht="15.75" x14ac:dyDescent="0.25">
      <c r="A118" s="15" t="s">
        <v>344</v>
      </c>
      <c r="B118" s="23" t="s">
        <v>106</v>
      </c>
      <c r="C118" s="25" t="s">
        <v>641</v>
      </c>
      <c r="D118" s="32">
        <v>4</v>
      </c>
      <c r="E118" s="13">
        <v>1180</v>
      </c>
      <c r="F118" s="50">
        <f t="shared" si="2"/>
        <v>4720</v>
      </c>
    </row>
    <row r="119" spans="1:6" s="8" customFormat="1" ht="15.75" x14ac:dyDescent="0.25">
      <c r="A119" s="15" t="s">
        <v>345</v>
      </c>
      <c r="B119" s="23" t="s">
        <v>114</v>
      </c>
      <c r="C119" s="25" t="s">
        <v>642</v>
      </c>
      <c r="D119" s="32">
        <v>7</v>
      </c>
      <c r="E119" s="13">
        <v>1375</v>
      </c>
      <c r="F119" s="50">
        <f t="shared" si="2"/>
        <v>9625</v>
      </c>
    </row>
    <row r="120" spans="1:6" s="8" customFormat="1" ht="15.75" x14ac:dyDescent="0.25">
      <c r="A120" s="15" t="s">
        <v>346</v>
      </c>
      <c r="B120" s="16">
        <v>44193</v>
      </c>
      <c r="C120" s="25" t="s">
        <v>643</v>
      </c>
      <c r="D120" s="32">
        <v>4</v>
      </c>
      <c r="E120" s="13">
        <v>1375</v>
      </c>
      <c r="F120" s="50">
        <f t="shared" si="2"/>
        <v>5500</v>
      </c>
    </row>
    <row r="121" spans="1:6" s="8" customFormat="1" ht="15.75" x14ac:dyDescent="0.25">
      <c r="A121" s="15" t="s">
        <v>347</v>
      </c>
      <c r="B121" s="16">
        <v>44193</v>
      </c>
      <c r="C121" s="25" t="s">
        <v>644</v>
      </c>
      <c r="D121" s="32">
        <v>2</v>
      </c>
      <c r="E121" s="13">
        <v>2600</v>
      </c>
      <c r="F121" s="50">
        <f t="shared" si="2"/>
        <v>5200</v>
      </c>
    </row>
    <row r="122" spans="1:6" s="8" customFormat="1" ht="15.75" x14ac:dyDescent="0.25">
      <c r="A122" s="15" t="s">
        <v>348</v>
      </c>
      <c r="B122" s="16">
        <v>44193</v>
      </c>
      <c r="C122" s="26" t="s">
        <v>645</v>
      </c>
      <c r="D122" s="48">
        <v>820</v>
      </c>
      <c r="E122" s="13">
        <v>7.5</v>
      </c>
      <c r="F122" s="50">
        <f t="shared" si="2"/>
        <v>6150</v>
      </c>
    </row>
    <row r="123" spans="1:6" s="8" customFormat="1" ht="15.75" x14ac:dyDescent="0.25">
      <c r="A123" s="15" t="s">
        <v>349</v>
      </c>
      <c r="B123" s="16">
        <v>44193</v>
      </c>
      <c r="C123" s="9" t="s">
        <v>646</v>
      </c>
      <c r="D123" s="48">
        <v>46</v>
      </c>
      <c r="E123" s="13">
        <v>4.55</v>
      </c>
      <c r="F123" s="50">
        <f t="shared" si="2"/>
        <v>209.29999999999998</v>
      </c>
    </row>
    <row r="124" spans="1:6" s="8" customFormat="1" ht="15.75" x14ac:dyDescent="0.25">
      <c r="A124" s="15" t="s">
        <v>350</v>
      </c>
      <c r="B124" s="16">
        <v>44193</v>
      </c>
      <c r="C124" s="9" t="s">
        <v>647</v>
      </c>
      <c r="D124" s="48">
        <v>15</v>
      </c>
      <c r="E124" s="13">
        <v>4.55</v>
      </c>
      <c r="F124" s="50">
        <f t="shared" si="2"/>
        <v>68.25</v>
      </c>
    </row>
    <row r="125" spans="1:6" s="8" customFormat="1" ht="15.75" x14ac:dyDescent="0.25">
      <c r="A125" s="15" t="s">
        <v>351</v>
      </c>
      <c r="B125" s="16">
        <v>44193</v>
      </c>
      <c r="C125" s="9" t="s">
        <v>648</v>
      </c>
      <c r="D125" s="30">
        <v>4850</v>
      </c>
      <c r="E125" s="13">
        <v>2.59</v>
      </c>
      <c r="F125" s="50">
        <f t="shared" si="2"/>
        <v>12561.5</v>
      </c>
    </row>
    <row r="126" spans="1:6" s="8" customFormat="1" ht="15.75" x14ac:dyDescent="0.25">
      <c r="A126" s="15" t="s">
        <v>352</v>
      </c>
      <c r="B126" s="16">
        <v>44193</v>
      </c>
      <c r="C126" s="26" t="s">
        <v>649</v>
      </c>
      <c r="D126" s="30">
        <v>30</v>
      </c>
      <c r="E126" s="13">
        <v>250</v>
      </c>
      <c r="F126" s="50">
        <f t="shared" si="2"/>
        <v>7500</v>
      </c>
    </row>
    <row r="127" spans="1:6" s="8" customFormat="1" ht="15.75" x14ac:dyDescent="0.25">
      <c r="A127" s="15" t="s">
        <v>353</v>
      </c>
      <c r="B127" s="16">
        <v>44193</v>
      </c>
      <c r="C127" s="25" t="s">
        <v>650</v>
      </c>
      <c r="D127" s="38">
        <v>2200</v>
      </c>
      <c r="E127" s="13">
        <v>3.65</v>
      </c>
      <c r="F127" s="50">
        <f t="shared" si="2"/>
        <v>8030</v>
      </c>
    </row>
    <row r="128" spans="1:6" s="8" customFormat="1" ht="15.75" x14ac:dyDescent="0.25">
      <c r="A128" s="15" t="s">
        <v>354</v>
      </c>
      <c r="B128" s="16">
        <v>44193</v>
      </c>
      <c r="C128" s="25" t="s">
        <v>651</v>
      </c>
      <c r="D128" s="38">
        <v>2300</v>
      </c>
      <c r="E128" s="13">
        <v>5.48</v>
      </c>
      <c r="F128" s="50">
        <f t="shared" si="2"/>
        <v>12604.000000000002</v>
      </c>
    </row>
    <row r="129" spans="1:6" s="8" customFormat="1" ht="15.75" x14ac:dyDescent="0.25">
      <c r="A129" s="15" t="s">
        <v>355</v>
      </c>
      <c r="B129" s="16">
        <v>44193</v>
      </c>
      <c r="C129" s="25" t="s">
        <v>652</v>
      </c>
      <c r="D129" s="38">
        <v>6302</v>
      </c>
      <c r="E129" s="13">
        <v>7</v>
      </c>
      <c r="F129" s="50">
        <f t="shared" si="2"/>
        <v>44114</v>
      </c>
    </row>
    <row r="130" spans="1:6" s="8" customFormat="1" ht="15.75" x14ac:dyDescent="0.25">
      <c r="A130" s="15" t="s">
        <v>356</v>
      </c>
      <c r="B130" s="16">
        <v>44193</v>
      </c>
      <c r="C130" s="25" t="s">
        <v>653</v>
      </c>
      <c r="D130" s="38">
        <v>50</v>
      </c>
      <c r="E130" s="13">
        <v>575</v>
      </c>
      <c r="F130" s="50">
        <f t="shared" si="2"/>
        <v>28750</v>
      </c>
    </row>
    <row r="131" spans="1:6" s="8" customFormat="1" ht="15.75" x14ac:dyDescent="0.25">
      <c r="A131" s="15" t="s">
        <v>357</v>
      </c>
      <c r="B131" s="16">
        <v>44193</v>
      </c>
      <c r="C131" s="26" t="s">
        <v>654</v>
      </c>
      <c r="D131" s="32">
        <v>18</v>
      </c>
      <c r="E131" s="13">
        <v>150</v>
      </c>
      <c r="F131" s="50">
        <f t="shared" si="2"/>
        <v>2700</v>
      </c>
    </row>
    <row r="132" spans="1:6" s="8" customFormat="1" ht="15.75" x14ac:dyDescent="0.25">
      <c r="A132" s="15" t="s">
        <v>358</v>
      </c>
      <c r="B132" s="16">
        <v>44193</v>
      </c>
      <c r="C132" s="26" t="s">
        <v>655</v>
      </c>
      <c r="D132" s="32">
        <v>20</v>
      </c>
      <c r="E132" s="13">
        <v>25</v>
      </c>
      <c r="F132" s="50">
        <f t="shared" si="2"/>
        <v>500</v>
      </c>
    </row>
    <row r="133" spans="1:6" s="8" customFormat="1" ht="15.75" x14ac:dyDescent="0.25">
      <c r="A133" s="15" t="s">
        <v>359</v>
      </c>
      <c r="B133" s="16">
        <v>44193</v>
      </c>
      <c r="C133" s="9" t="s">
        <v>656</v>
      </c>
      <c r="D133" s="32">
        <v>15</v>
      </c>
      <c r="E133" s="13">
        <v>275</v>
      </c>
      <c r="F133" s="50">
        <f t="shared" si="2"/>
        <v>4125</v>
      </c>
    </row>
    <row r="134" spans="1:6" s="8" customFormat="1" ht="15.75" x14ac:dyDescent="0.25">
      <c r="A134" s="15" t="s">
        <v>360</v>
      </c>
      <c r="B134" s="16">
        <v>44193</v>
      </c>
      <c r="C134" s="9" t="s">
        <v>657</v>
      </c>
      <c r="D134" s="30">
        <v>19</v>
      </c>
      <c r="E134" s="13">
        <v>50</v>
      </c>
      <c r="F134" s="50">
        <f t="shared" si="2"/>
        <v>950</v>
      </c>
    </row>
    <row r="135" spans="1:6" s="8" customFormat="1" ht="15.75" x14ac:dyDescent="0.25">
      <c r="A135" s="15" t="s">
        <v>361</v>
      </c>
      <c r="B135" s="16">
        <v>44193</v>
      </c>
      <c r="C135" s="9" t="s">
        <v>658</v>
      </c>
      <c r="D135" s="30">
        <v>2</v>
      </c>
      <c r="E135" s="13">
        <v>50</v>
      </c>
      <c r="F135" s="50">
        <f t="shared" si="2"/>
        <v>100</v>
      </c>
    </row>
    <row r="136" spans="1:6" s="8" customFormat="1" ht="15.75" x14ac:dyDescent="0.25">
      <c r="A136" s="15" t="s">
        <v>362</v>
      </c>
      <c r="B136" s="16">
        <v>44193</v>
      </c>
      <c r="C136" s="26" t="s">
        <v>659</v>
      </c>
      <c r="D136" s="30">
        <v>24</v>
      </c>
      <c r="E136" s="13">
        <v>125</v>
      </c>
      <c r="F136" s="50">
        <f t="shared" si="2"/>
        <v>3000</v>
      </c>
    </row>
    <row r="137" spans="1:6" s="8" customFormat="1" ht="15.75" x14ac:dyDescent="0.25">
      <c r="A137" s="15" t="s">
        <v>363</v>
      </c>
      <c r="B137" s="16">
        <v>44193</v>
      </c>
      <c r="C137" s="26" t="s">
        <v>660</v>
      </c>
      <c r="D137" s="30">
        <v>3</v>
      </c>
      <c r="E137" s="13">
        <v>7</v>
      </c>
      <c r="F137" s="50">
        <f t="shared" si="2"/>
        <v>21</v>
      </c>
    </row>
    <row r="138" spans="1:6" s="8" customFormat="1" ht="15.75" x14ac:dyDescent="0.25">
      <c r="A138" s="15" t="s">
        <v>364</v>
      </c>
      <c r="B138" s="16">
        <v>44193</v>
      </c>
      <c r="C138" s="26" t="s">
        <v>661</v>
      </c>
      <c r="D138" s="30">
        <v>71</v>
      </c>
      <c r="E138" s="13">
        <v>7</v>
      </c>
      <c r="F138" s="50">
        <f t="shared" si="2"/>
        <v>497</v>
      </c>
    </row>
    <row r="139" spans="1:6" s="8" customFormat="1" ht="15.75" x14ac:dyDescent="0.25">
      <c r="A139" s="15" t="s">
        <v>365</v>
      </c>
      <c r="B139" s="16">
        <v>44193</v>
      </c>
      <c r="C139" s="26" t="s">
        <v>662</v>
      </c>
      <c r="D139" s="30">
        <v>500</v>
      </c>
      <c r="E139" s="13">
        <v>7</v>
      </c>
      <c r="F139" s="50">
        <f t="shared" si="2"/>
        <v>3500</v>
      </c>
    </row>
    <row r="140" spans="1:6" s="8" customFormat="1" ht="15.75" x14ac:dyDescent="0.25">
      <c r="A140" s="15" t="s">
        <v>366</v>
      </c>
      <c r="B140" s="16">
        <v>44193</v>
      </c>
      <c r="C140" s="26" t="s">
        <v>663</v>
      </c>
      <c r="D140" s="32">
        <v>42</v>
      </c>
      <c r="E140" s="13">
        <v>115</v>
      </c>
      <c r="F140" s="50">
        <f t="shared" si="2"/>
        <v>4830</v>
      </c>
    </row>
    <row r="141" spans="1:6" s="8" customFormat="1" ht="15.75" x14ac:dyDescent="0.25">
      <c r="A141" s="15" t="s">
        <v>367</v>
      </c>
      <c r="B141" s="16">
        <v>44193</v>
      </c>
      <c r="C141" s="26" t="s">
        <v>664</v>
      </c>
      <c r="D141" s="32">
        <v>53</v>
      </c>
      <c r="E141" s="13">
        <v>2500</v>
      </c>
      <c r="F141" s="50">
        <f t="shared" si="2"/>
        <v>132500</v>
      </c>
    </row>
    <row r="142" spans="1:6" s="8" customFormat="1" ht="15.75" x14ac:dyDescent="0.25">
      <c r="A142" s="15" t="s">
        <v>368</v>
      </c>
      <c r="B142" s="16">
        <v>44193</v>
      </c>
      <c r="C142" s="25" t="s">
        <v>665</v>
      </c>
      <c r="D142" s="32">
        <v>12</v>
      </c>
      <c r="E142" s="13">
        <v>2500</v>
      </c>
      <c r="F142" s="50">
        <f t="shared" si="2"/>
        <v>30000</v>
      </c>
    </row>
    <row r="143" spans="1:6" s="8" customFormat="1" ht="15.75" x14ac:dyDescent="0.25">
      <c r="A143" s="15" t="s">
        <v>369</v>
      </c>
      <c r="B143" s="16">
        <v>44193</v>
      </c>
      <c r="C143" s="25" t="s">
        <v>666</v>
      </c>
      <c r="D143" s="32">
        <v>25</v>
      </c>
      <c r="E143" s="13">
        <v>180</v>
      </c>
      <c r="F143" s="50">
        <f t="shared" si="2"/>
        <v>4500</v>
      </c>
    </row>
    <row r="144" spans="1:6" s="8" customFormat="1" ht="15.75" x14ac:dyDescent="0.25">
      <c r="A144" s="15" t="s">
        <v>370</v>
      </c>
      <c r="B144" s="16">
        <v>44193</v>
      </c>
      <c r="C144" s="25" t="s">
        <v>667</v>
      </c>
      <c r="D144" s="32">
        <v>20</v>
      </c>
      <c r="E144" s="13">
        <v>636.6</v>
      </c>
      <c r="F144" s="50">
        <f t="shared" si="2"/>
        <v>12732</v>
      </c>
    </row>
    <row r="145" spans="1:6" s="8" customFormat="1" ht="15.75" x14ac:dyDescent="0.25">
      <c r="A145" s="15" t="s">
        <v>371</v>
      </c>
      <c r="B145" s="16">
        <v>44193</v>
      </c>
      <c r="C145" s="25" t="s">
        <v>668</v>
      </c>
      <c r="D145" s="32">
        <f>36+91</f>
        <v>127</v>
      </c>
      <c r="E145" s="13">
        <v>115.48</v>
      </c>
      <c r="F145" s="50">
        <f t="shared" si="2"/>
        <v>14665.960000000001</v>
      </c>
    </row>
    <row r="146" spans="1:6" s="8" customFormat="1" ht="15.75" x14ac:dyDescent="0.25">
      <c r="A146" s="15" t="s">
        <v>372</v>
      </c>
      <c r="B146" s="16">
        <v>44193</v>
      </c>
      <c r="C146" s="25" t="s">
        <v>669</v>
      </c>
      <c r="D146" s="32">
        <v>1</v>
      </c>
      <c r="E146" s="13">
        <v>67.8</v>
      </c>
      <c r="F146" s="50">
        <f t="shared" si="2"/>
        <v>67.8</v>
      </c>
    </row>
    <row r="147" spans="1:6" s="8" customFormat="1" ht="15.75" x14ac:dyDescent="0.25">
      <c r="A147" s="15" t="s">
        <v>373</v>
      </c>
      <c r="B147" s="16">
        <v>44193</v>
      </c>
      <c r="C147" s="25" t="s">
        <v>670</v>
      </c>
      <c r="D147" s="32">
        <f>38+19</f>
        <v>57</v>
      </c>
      <c r="E147" s="13">
        <v>67.8</v>
      </c>
      <c r="F147" s="50">
        <f t="shared" si="2"/>
        <v>3864.6</v>
      </c>
    </row>
    <row r="148" spans="1:6" s="8" customFormat="1" ht="15.75" x14ac:dyDescent="0.25">
      <c r="A148" s="15" t="s">
        <v>374</v>
      </c>
      <c r="B148" s="16">
        <v>44193</v>
      </c>
      <c r="C148" s="25" t="s">
        <v>671</v>
      </c>
      <c r="D148" s="32">
        <f>19+19</f>
        <v>38</v>
      </c>
      <c r="E148" s="13">
        <v>67.8</v>
      </c>
      <c r="F148" s="50">
        <f t="shared" si="2"/>
        <v>2576.4</v>
      </c>
    </row>
    <row r="149" spans="1:6" s="8" customFormat="1" ht="15.75" x14ac:dyDescent="0.25">
      <c r="A149" s="15" t="s">
        <v>376</v>
      </c>
      <c r="B149" s="16">
        <v>44193</v>
      </c>
      <c r="C149" s="9" t="s">
        <v>672</v>
      </c>
      <c r="D149" s="32">
        <v>50</v>
      </c>
      <c r="E149" s="13">
        <v>170.69</v>
      </c>
      <c r="F149" s="50">
        <f t="shared" si="2"/>
        <v>8534.5</v>
      </c>
    </row>
    <row r="150" spans="1:6" s="8" customFormat="1" ht="15.75" x14ac:dyDescent="0.25">
      <c r="A150" s="15" t="s">
        <v>377</v>
      </c>
      <c r="B150" s="16">
        <v>44193</v>
      </c>
      <c r="C150" s="9" t="s">
        <v>673</v>
      </c>
      <c r="D150" s="32">
        <v>1040</v>
      </c>
      <c r="E150" s="13">
        <v>170.69</v>
      </c>
      <c r="F150" s="50">
        <f t="shared" si="2"/>
        <v>177517.6</v>
      </c>
    </row>
    <row r="151" spans="1:6" s="8" customFormat="1" ht="15.75" x14ac:dyDescent="0.25">
      <c r="A151" s="15" t="s">
        <v>378</v>
      </c>
      <c r="B151" s="16">
        <v>44193</v>
      </c>
      <c r="C151" s="9" t="s">
        <v>674</v>
      </c>
      <c r="D151" s="30">
        <v>1</v>
      </c>
      <c r="E151" s="13">
        <v>170.69</v>
      </c>
      <c r="F151" s="50">
        <f t="shared" si="2"/>
        <v>170.69</v>
      </c>
    </row>
    <row r="152" spans="1:6" s="8" customFormat="1" ht="15.75" x14ac:dyDescent="0.25">
      <c r="A152" s="15" t="s">
        <v>379</v>
      </c>
      <c r="B152" s="16">
        <v>44193</v>
      </c>
      <c r="C152" s="9" t="s">
        <v>675</v>
      </c>
      <c r="D152" s="30">
        <v>300</v>
      </c>
      <c r="E152" s="13">
        <v>6.5</v>
      </c>
      <c r="F152" s="50">
        <f t="shared" ref="F152:F198" si="3">D152*E152</f>
        <v>1950</v>
      </c>
    </row>
    <row r="153" spans="1:6" s="8" customFormat="1" ht="15.75" x14ac:dyDescent="0.25">
      <c r="A153" s="15" t="s">
        <v>380</v>
      </c>
      <c r="B153" s="16">
        <v>44193</v>
      </c>
      <c r="C153" s="9" t="s">
        <v>676</v>
      </c>
      <c r="D153" s="30">
        <v>2</v>
      </c>
      <c r="E153" s="13">
        <v>3.5</v>
      </c>
      <c r="F153" s="50">
        <f t="shared" si="3"/>
        <v>7</v>
      </c>
    </row>
    <row r="154" spans="1:6" s="8" customFormat="1" ht="15.75" x14ac:dyDescent="0.25">
      <c r="A154" s="15" t="s">
        <v>382</v>
      </c>
      <c r="B154" s="16">
        <v>44193</v>
      </c>
      <c r="C154" s="26" t="s">
        <v>677</v>
      </c>
      <c r="D154" s="30">
        <v>2</v>
      </c>
      <c r="E154" s="13">
        <v>10800</v>
      </c>
      <c r="F154" s="50">
        <f t="shared" si="3"/>
        <v>21600</v>
      </c>
    </row>
    <row r="155" spans="1:6" s="8" customFormat="1" ht="15.75" x14ac:dyDescent="0.25">
      <c r="A155" s="15" t="s">
        <v>383</v>
      </c>
      <c r="B155" s="16">
        <v>44193</v>
      </c>
      <c r="C155" s="26" t="s">
        <v>678</v>
      </c>
      <c r="D155" s="30">
        <v>5</v>
      </c>
      <c r="E155" s="13">
        <v>5000</v>
      </c>
      <c r="F155" s="50">
        <f t="shared" si="3"/>
        <v>25000</v>
      </c>
    </row>
    <row r="156" spans="1:6" s="8" customFormat="1" ht="15.75" x14ac:dyDescent="0.25">
      <c r="A156" s="15" t="s">
        <v>385</v>
      </c>
      <c r="B156" s="16">
        <v>44193</v>
      </c>
      <c r="C156" s="9" t="s">
        <v>679</v>
      </c>
      <c r="D156" s="38">
        <v>29</v>
      </c>
      <c r="E156" s="13">
        <v>33</v>
      </c>
      <c r="F156" s="50">
        <f t="shared" si="3"/>
        <v>957</v>
      </c>
    </row>
    <row r="157" spans="1:6" s="8" customFormat="1" ht="15.75" x14ac:dyDescent="0.25">
      <c r="A157" s="15" t="s">
        <v>386</v>
      </c>
      <c r="B157" s="16">
        <v>44193</v>
      </c>
      <c r="C157" s="9" t="s">
        <v>680</v>
      </c>
      <c r="D157" s="30">
        <v>23</v>
      </c>
      <c r="E157" s="13">
        <v>8.34</v>
      </c>
      <c r="F157" s="50">
        <f t="shared" si="3"/>
        <v>191.82</v>
      </c>
    </row>
    <row r="158" spans="1:6" s="8" customFormat="1" ht="15.75" x14ac:dyDescent="0.25">
      <c r="A158" s="15" t="s">
        <v>387</v>
      </c>
      <c r="B158" s="16">
        <v>44193</v>
      </c>
      <c r="C158" s="9" t="s">
        <v>681</v>
      </c>
      <c r="D158" s="30">
        <v>139</v>
      </c>
      <c r="E158" s="13">
        <v>5.6</v>
      </c>
      <c r="F158" s="50">
        <f t="shared" si="3"/>
        <v>778.4</v>
      </c>
    </row>
    <row r="159" spans="1:6" s="8" customFormat="1" ht="15.75" x14ac:dyDescent="0.25">
      <c r="A159" s="15" t="s">
        <v>388</v>
      </c>
      <c r="B159" s="16">
        <v>44193</v>
      </c>
      <c r="C159" s="9" t="s">
        <v>682</v>
      </c>
      <c r="D159" s="30">
        <v>12</v>
      </c>
      <c r="E159" s="13">
        <v>8.34</v>
      </c>
      <c r="F159" s="50">
        <f t="shared" si="3"/>
        <v>100.08</v>
      </c>
    </row>
    <row r="160" spans="1:6" s="8" customFormat="1" ht="15.75" x14ac:dyDescent="0.25">
      <c r="A160" s="15" t="s">
        <v>389</v>
      </c>
      <c r="B160" s="16">
        <v>44193</v>
      </c>
      <c r="C160" s="9" t="s">
        <v>683</v>
      </c>
      <c r="D160" s="30">
        <v>168</v>
      </c>
      <c r="E160" s="13">
        <v>15</v>
      </c>
      <c r="F160" s="50">
        <f t="shared" si="3"/>
        <v>2520</v>
      </c>
    </row>
    <row r="161" spans="1:6" s="8" customFormat="1" ht="15.75" x14ac:dyDescent="0.25">
      <c r="A161" s="15" t="s">
        <v>390</v>
      </c>
      <c r="B161" s="16">
        <v>44193</v>
      </c>
      <c r="C161" s="9" t="s">
        <v>684</v>
      </c>
      <c r="D161" s="30">
        <v>79</v>
      </c>
      <c r="E161" s="13">
        <v>160</v>
      </c>
      <c r="F161" s="50">
        <f t="shared" si="3"/>
        <v>12640</v>
      </c>
    </row>
    <row r="162" spans="1:6" s="8" customFormat="1" ht="15.75" x14ac:dyDescent="0.25">
      <c r="A162" s="15" t="s">
        <v>391</v>
      </c>
      <c r="B162" s="16">
        <v>44193</v>
      </c>
      <c r="C162" s="9" t="s">
        <v>685</v>
      </c>
      <c r="D162" s="30">
        <v>40</v>
      </c>
      <c r="E162" s="13">
        <v>35</v>
      </c>
      <c r="F162" s="50">
        <f t="shared" si="3"/>
        <v>1400</v>
      </c>
    </row>
    <row r="163" spans="1:6" s="8" customFormat="1" ht="15.75" x14ac:dyDescent="0.25">
      <c r="A163" s="15" t="s">
        <v>394</v>
      </c>
      <c r="B163" s="23" t="s">
        <v>106</v>
      </c>
      <c r="C163" s="9" t="s">
        <v>686</v>
      </c>
      <c r="D163" s="30">
        <v>2</v>
      </c>
      <c r="E163" s="51">
        <v>325</v>
      </c>
      <c r="F163" s="50">
        <f t="shared" si="3"/>
        <v>650</v>
      </c>
    </row>
    <row r="164" spans="1:6" s="8" customFormat="1" ht="15.75" x14ac:dyDescent="0.25">
      <c r="A164" s="15" t="s">
        <v>396</v>
      </c>
      <c r="B164" s="16">
        <v>44193</v>
      </c>
      <c r="C164" s="9" t="s">
        <v>687</v>
      </c>
      <c r="D164" s="32">
        <v>2</v>
      </c>
      <c r="E164" s="13">
        <v>175</v>
      </c>
      <c r="F164" s="50">
        <f t="shared" si="3"/>
        <v>350</v>
      </c>
    </row>
    <row r="165" spans="1:6" s="8" customFormat="1" ht="15.75" x14ac:dyDescent="0.25">
      <c r="A165" s="15" t="s">
        <v>397</v>
      </c>
      <c r="B165" s="16">
        <v>44193</v>
      </c>
      <c r="C165" s="25" t="s">
        <v>688</v>
      </c>
      <c r="D165" s="48">
        <v>3</v>
      </c>
      <c r="E165" s="13">
        <v>79.8</v>
      </c>
      <c r="F165" s="50">
        <f t="shared" si="3"/>
        <v>239.39999999999998</v>
      </c>
    </row>
    <row r="166" spans="1:6" s="8" customFormat="1" ht="15.75" x14ac:dyDescent="0.25">
      <c r="A166" s="15" t="s">
        <v>399</v>
      </c>
      <c r="B166" s="16">
        <v>44193</v>
      </c>
      <c r="C166" s="25" t="s">
        <v>689</v>
      </c>
      <c r="D166" s="32">
        <v>7</v>
      </c>
      <c r="E166" s="13">
        <v>79.8</v>
      </c>
      <c r="F166" s="50">
        <f t="shared" si="3"/>
        <v>558.6</v>
      </c>
    </row>
    <row r="167" spans="1:6" s="8" customFormat="1" ht="15.75" x14ac:dyDescent="0.25">
      <c r="A167" s="15" t="s">
        <v>400</v>
      </c>
      <c r="B167" s="16">
        <v>44193</v>
      </c>
      <c r="C167" s="25" t="s">
        <v>690</v>
      </c>
      <c r="D167" s="38">
        <v>7</v>
      </c>
      <c r="E167" s="13">
        <v>62.93</v>
      </c>
      <c r="F167" s="50">
        <f t="shared" si="3"/>
        <v>440.51</v>
      </c>
    </row>
    <row r="168" spans="1:6" s="8" customFormat="1" ht="15.75" x14ac:dyDescent="0.25">
      <c r="A168" s="15" t="s">
        <v>401</v>
      </c>
      <c r="B168" s="16">
        <v>44193</v>
      </c>
      <c r="C168" s="26" t="s">
        <v>691</v>
      </c>
      <c r="D168" s="38">
        <v>21</v>
      </c>
      <c r="E168" s="13">
        <v>165</v>
      </c>
      <c r="F168" s="50">
        <f t="shared" si="3"/>
        <v>3465</v>
      </c>
    </row>
    <row r="169" spans="1:6" s="8" customFormat="1" ht="15.75" x14ac:dyDescent="0.25">
      <c r="A169" s="15" t="s">
        <v>403</v>
      </c>
      <c r="B169" s="16">
        <v>44193</v>
      </c>
      <c r="C169" s="26" t="s">
        <v>692</v>
      </c>
      <c r="D169" s="38">
        <v>18</v>
      </c>
      <c r="E169" s="13">
        <v>165</v>
      </c>
      <c r="F169" s="50">
        <f t="shared" si="3"/>
        <v>2970</v>
      </c>
    </row>
    <row r="170" spans="1:6" s="8" customFormat="1" ht="15.75" x14ac:dyDescent="0.25">
      <c r="A170" s="15" t="s">
        <v>404</v>
      </c>
      <c r="B170" s="16">
        <v>44193</v>
      </c>
      <c r="C170" s="26" t="s">
        <v>693</v>
      </c>
      <c r="D170" s="38">
        <v>1</v>
      </c>
      <c r="E170" s="13">
        <v>2075</v>
      </c>
      <c r="F170" s="50">
        <f t="shared" si="3"/>
        <v>2075</v>
      </c>
    </row>
    <row r="171" spans="1:6" s="8" customFormat="1" ht="15.75" x14ac:dyDescent="0.25">
      <c r="A171" s="15" t="s">
        <v>406</v>
      </c>
      <c r="B171" s="16">
        <v>44193</v>
      </c>
      <c r="C171" s="26" t="s">
        <v>694</v>
      </c>
      <c r="D171" s="38">
        <v>6</v>
      </c>
      <c r="E171" s="13">
        <v>79.8</v>
      </c>
      <c r="F171" s="50">
        <f t="shared" si="3"/>
        <v>478.79999999999995</v>
      </c>
    </row>
    <row r="172" spans="1:6" s="8" customFormat="1" ht="15.75" x14ac:dyDescent="0.25">
      <c r="A172" s="15" t="s">
        <v>407</v>
      </c>
      <c r="B172" s="16">
        <v>44193</v>
      </c>
      <c r="C172" s="26" t="s">
        <v>695</v>
      </c>
      <c r="D172" s="38">
        <v>1</v>
      </c>
      <c r="E172" s="13">
        <v>270.55</v>
      </c>
      <c r="F172" s="50">
        <f t="shared" si="3"/>
        <v>270.55</v>
      </c>
    </row>
    <row r="173" spans="1:6" s="8" customFormat="1" ht="15.75" x14ac:dyDescent="0.25">
      <c r="A173" s="15" t="s">
        <v>408</v>
      </c>
      <c r="B173" s="16">
        <v>44193</v>
      </c>
      <c r="C173" s="26" t="s">
        <v>696</v>
      </c>
      <c r="D173" s="38">
        <v>9</v>
      </c>
      <c r="E173" s="13">
        <v>79.8</v>
      </c>
      <c r="F173" s="50">
        <f t="shared" si="3"/>
        <v>718.19999999999993</v>
      </c>
    </row>
    <row r="174" spans="1:6" s="8" customFormat="1" ht="15.75" x14ac:dyDescent="0.25">
      <c r="A174" s="15" t="s">
        <v>409</v>
      </c>
      <c r="B174" s="16">
        <v>44193</v>
      </c>
      <c r="C174" s="26" t="s">
        <v>697</v>
      </c>
      <c r="D174" s="38">
        <v>20</v>
      </c>
      <c r="E174" s="13">
        <v>79.8</v>
      </c>
      <c r="F174" s="50">
        <f t="shared" si="3"/>
        <v>1596</v>
      </c>
    </row>
    <row r="175" spans="1:6" s="8" customFormat="1" ht="15.75" x14ac:dyDescent="0.25">
      <c r="A175" s="15" t="s">
        <v>410</v>
      </c>
      <c r="B175" s="16">
        <v>44193</v>
      </c>
      <c r="C175" s="26" t="s">
        <v>698</v>
      </c>
      <c r="D175" s="38">
        <v>21</v>
      </c>
      <c r="E175" s="13">
        <v>600</v>
      </c>
      <c r="F175" s="50">
        <f t="shared" si="3"/>
        <v>12600</v>
      </c>
    </row>
    <row r="176" spans="1:6" s="8" customFormat="1" ht="15.75" x14ac:dyDescent="0.25">
      <c r="A176" s="15" t="s">
        <v>414</v>
      </c>
      <c r="B176" s="16">
        <v>44193</v>
      </c>
      <c r="C176" s="26" t="s">
        <v>699</v>
      </c>
      <c r="D176" s="38">
        <v>16</v>
      </c>
      <c r="E176" s="13">
        <v>140</v>
      </c>
      <c r="F176" s="50">
        <f t="shared" si="3"/>
        <v>2240</v>
      </c>
    </row>
    <row r="177" spans="1:6" s="8" customFormat="1" ht="15.75" x14ac:dyDescent="0.25">
      <c r="A177" s="15" t="s">
        <v>416</v>
      </c>
      <c r="B177" s="16">
        <v>44193</v>
      </c>
      <c r="C177" s="9" t="s">
        <v>700</v>
      </c>
      <c r="D177" s="48">
        <v>60</v>
      </c>
      <c r="E177" s="13">
        <v>12.93</v>
      </c>
      <c r="F177" s="50">
        <f t="shared" si="3"/>
        <v>775.8</v>
      </c>
    </row>
    <row r="178" spans="1:6" s="8" customFormat="1" ht="15.75" x14ac:dyDescent="0.25">
      <c r="A178" s="15" t="s">
        <v>418</v>
      </c>
      <c r="B178" s="16">
        <v>44193</v>
      </c>
      <c r="C178" s="9" t="s">
        <v>701</v>
      </c>
      <c r="D178" s="48">
        <v>44</v>
      </c>
      <c r="E178" s="13">
        <v>14.37</v>
      </c>
      <c r="F178" s="50">
        <f t="shared" si="3"/>
        <v>632.28</v>
      </c>
    </row>
    <row r="179" spans="1:6" s="8" customFormat="1" ht="15.75" x14ac:dyDescent="0.25">
      <c r="A179" s="15" t="s">
        <v>419</v>
      </c>
      <c r="B179" s="16">
        <v>44193</v>
      </c>
      <c r="C179" s="9" t="s">
        <v>702</v>
      </c>
      <c r="D179" s="48">
        <v>14</v>
      </c>
      <c r="E179" s="13">
        <v>35</v>
      </c>
      <c r="F179" s="50">
        <f t="shared" si="3"/>
        <v>490</v>
      </c>
    </row>
    <row r="180" spans="1:6" s="8" customFormat="1" ht="15.75" x14ac:dyDescent="0.25">
      <c r="A180" s="15" t="s">
        <v>420</v>
      </c>
      <c r="B180" s="16">
        <v>44193</v>
      </c>
      <c r="C180" s="9" t="s">
        <v>703</v>
      </c>
      <c r="D180" s="48">
        <v>10</v>
      </c>
      <c r="E180" s="13">
        <v>30</v>
      </c>
      <c r="F180" s="50">
        <f t="shared" si="3"/>
        <v>300</v>
      </c>
    </row>
    <row r="181" spans="1:6" s="8" customFormat="1" ht="15.75" x14ac:dyDescent="0.25">
      <c r="A181" s="15" t="s">
        <v>421</v>
      </c>
      <c r="B181" s="16">
        <v>44193</v>
      </c>
      <c r="C181" s="9" t="s">
        <v>704</v>
      </c>
      <c r="D181" s="48">
        <v>1300</v>
      </c>
      <c r="E181" s="13">
        <v>2.6</v>
      </c>
      <c r="F181" s="50">
        <f t="shared" si="3"/>
        <v>3380</v>
      </c>
    </row>
    <row r="182" spans="1:6" s="8" customFormat="1" ht="15.75" x14ac:dyDescent="0.25">
      <c r="A182" s="15" t="s">
        <v>422</v>
      </c>
      <c r="B182" s="16">
        <v>44193</v>
      </c>
      <c r="C182" s="9" t="s">
        <v>705</v>
      </c>
      <c r="D182" s="48">
        <v>1</v>
      </c>
      <c r="E182" s="13">
        <v>728.81</v>
      </c>
      <c r="F182" s="50">
        <f t="shared" si="3"/>
        <v>728.81</v>
      </c>
    </row>
    <row r="183" spans="1:6" s="8" customFormat="1" ht="15.75" x14ac:dyDescent="0.25">
      <c r="A183" s="15" t="s">
        <v>423</v>
      </c>
      <c r="B183" s="16">
        <v>44193</v>
      </c>
      <c r="C183" s="9" t="s">
        <v>706</v>
      </c>
      <c r="D183" s="48">
        <v>1</v>
      </c>
      <c r="E183" s="13">
        <v>5250</v>
      </c>
      <c r="F183" s="50">
        <f t="shared" si="3"/>
        <v>5250</v>
      </c>
    </row>
    <row r="184" spans="1:6" s="8" customFormat="1" ht="15.75" x14ac:dyDescent="0.25">
      <c r="A184" s="15" t="s">
        <v>424</v>
      </c>
      <c r="B184" s="16">
        <v>44193</v>
      </c>
      <c r="C184" s="9" t="s">
        <v>707</v>
      </c>
      <c r="D184" s="48">
        <v>9</v>
      </c>
      <c r="E184" s="13">
        <v>595</v>
      </c>
      <c r="F184" s="50">
        <f t="shared" si="3"/>
        <v>5355</v>
      </c>
    </row>
    <row r="185" spans="1:6" s="8" customFormat="1" ht="15.75" x14ac:dyDescent="0.25">
      <c r="A185" s="15" t="s">
        <v>425</v>
      </c>
      <c r="B185" s="16">
        <v>44193</v>
      </c>
      <c r="C185" s="9" t="s">
        <v>708</v>
      </c>
      <c r="D185" s="48">
        <v>3</v>
      </c>
      <c r="E185" s="13">
        <v>300</v>
      </c>
      <c r="F185" s="50">
        <f t="shared" si="3"/>
        <v>900</v>
      </c>
    </row>
    <row r="186" spans="1:6" s="8" customFormat="1" ht="15.75" x14ac:dyDescent="0.25">
      <c r="A186" s="15" t="s">
        <v>426</v>
      </c>
      <c r="B186" s="16">
        <v>44193</v>
      </c>
      <c r="C186" s="9" t="s">
        <v>709</v>
      </c>
      <c r="D186" s="48">
        <v>2</v>
      </c>
      <c r="E186" s="13">
        <v>350</v>
      </c>
      <c r="F186" s="50">
        <f t="shared" si="3"/>
        <v>700</v>
      </c>
    </row>
    <row r="187" spans="1:6" s="8" customFormat="1" ht="15.75" x14ac:dyDescent="0.25">
      <c r="A187" s="15" t="s">
        <v>430</v>
      </c>
      <c r="B187" s="16">
        <v>44193</v>
      </c>
      <c r="C187" s="26" t="s">
        <v>710</v>
      </c>
      <c r="D187" s="32">
        <v>4</v>
      </c>
      <c r="E187" s="13">
        <v>3950</v>
      </c>
      <c r="F187" s="50">
        <f t="shared" si="3"/>
        <v>15800</v>
      </c>
    </row>
    <row r="188" spans="1:6" s="8" customFormat="1" ht="15.75" x14ac:dyDescent="0.25">
      <c r="A188" s="15" t="s">
        <v>432</v>
      </c>
      <c r="B188" s="16">
        <v>44193</v>
      </c>
      <c r="C188" s="26" t="s">
        <v>711</v>
      </c>
      <c r="D188" s="32">
        <v>7</v>
      </c>
      <c r="E188" s="13">
        <v>237.29</v>
      </c>
      <c r="F188" s="50">
        <f t="shared" si="3"/>
        <v>1661.03</v>
      </c>
    </row>
    <row r="189" spans="1:6" s="8" customFormat="1" ht="15.75" x14ac:dyDescent="0.25">
      <c r="A189" s="15" t="s">
        <v>433</v>
      </c>
      <c r="B189" s="16">
        <v>44193</v>
      </c>
      <c r="C189" s="26" t="s">
        <v>712</v>
      </c>
      <c r="D189" s="32">
        <v>3</v>
      </c>
      <c r="E189" s="13">
        <v>148.31</v>
      </c>
      <c r="F189" s="50">
        <f t="shared" si="3"/>
        <v>444.93</v>
      </c>
    </row>
    <row r="190" spans="1:6" s="8" customFormat="1" ht="15.75" x14ac:dyDescent="0.25">
      <c r="A190" s="15" t="s">
        <v>434</v>
      </c>
      <c r="B190" s="16">
        <v>44193</v>
      </c>
      <c r="C190" s="26" t="s">
        <v>713</v>
      </c>
      <c r="D190" s="32">
        <v>7</v>
      </c>
      <c r="E190" s="13">
        <v>122.88</v>
      </c>
      <c r="F190" s="50">
        <f t="shared" si="3"/>
        <v>860.16</v>
      </c>
    </row>
    <row r="191" spans="1:6" s="8" customFormat="1" ht="15.75" x14ac:dyDescent="0.25">
      <c r="A191" s="15" t="s">
        <v>435</v>
      </c>
      <c r="B191" s="23" t="s">
        <v>108</v>
      </c>
      <c r="C191" s="26" t="s">
        <v>714</v>
      </c>
      <c r="D191" s="32">
        <v>4</v>
      </c>
      <c r="E191" s="51">
        <v>11000</v>
      </c>
      <c r="F191" s="50">
        <f t="shared" si="3"/>
        <v>44000</v>
      </c>
    </row>
    <row r="192" spans="1:6" s="8" customFormat="1" ht="15.75" x14ac:dyDescent="0.25">
      <c r="A192" s="15" t="s">
        <v>436</v>
      </c>
      <c r="B192" s="23" t="s">
        <v>116</v>
      </c>
      <c r="C192" s="25" t="s">
        <v>715</v>
      </c>
      <c r="D192" s="32">
        <f>75+22</f>
        <v>97</v>
      </c>
      <c r="E192" s="51">
        <v>82</v>
      </c>
      <c r="F192" s="50">
        <f t="shared" si="3"/>
        <v>7954</v>
      </c>
    </row>
    <row r="193" spans="1:6" s="8" customFormat="1" ht="15.75" x14ac:dyDescent="0.25">
      <c r="A193" s="15" t="s">
        <v>437</v>
      </c>
      <c r="B193" s="16">
        <v>44193</v>
      </c>
      <c r="C193" s="25" t="s">
        <v>716</v>
      </c>
      <c r="D193" s="32">
        <v>36</v>
      </c>
      <c r="E193" s="51">
        <v>82</v>
      </c>
      <c r="F193" s="50">
        <f t="shared" si="3"/>
        <v>2952</v>
      </c>
    </row>
    <row r="194" spans="1:6" s="8" customFormat="1" ht="15.75" x14ac:dyDescent="0.25">
      <c r="A194" s="15" t="s">
        <v>438</v>
      </c>
      <c r="B194" s="16">
        <v>44193</v>
      </c>
      <c r="C194" s="25" t="s">
        <v>717</v>
      </c>
      <c r="D194" s="32">
        <v>1</v>
      </c>
      <c r="E194" s="51">
        <v>14.29</v>
      </c>
      <c r="F194" s="50">
        <f t="shared" si="3"/>
        <v>14.29</v>
      </c>
    </row>
    <row r="195" spans="1:6" s="8" customFormat="1" ht="15.75" x14ac:dyDescent="0.25">
      <c r="A195" s="15" t="s">
        <v>439</v>
      </c>
      <c r="B195" s="23" t="s">
        <v>108</v>
      </c>
      <c r="C195" s="25" t="s">
        <v>718</v>
      </c>
      <c r="D195" s="32">
        <v>2</v>
      </c>
      <c r="E195" s="51">
        <v>6375</v>
      </c>
      <c r="F195" s="50">
        <f t="shared" si="3"/>
        <v>12750</v>
      </c>
    </row>
    <row r="196" spans="1:6" s="8" customFormat="1" ht="15.75" x14ac:dyDescent="0.25">
      <c r="A196" s="15" t="s">
        <v>440</v>
      </c>
      <c r="B196" s="23" t="s">
        <v>116</v>
      </c>
      <c r="C196" s="25" t="s">
        <v>719</v>
      </c>
      <c r="D196" s="32">
        <v>720</v>
      </c>
      <c r="E196" s="51">
        <v>44.08</v>
      </c>
      <c r="F196" s="50">
        <f t="shared" si="3"/>
        <v>31737.599999999999</v>
      </c>
    </row>
    <row r="197" spans="1:6" s="8" customFormat="1" ht="15.75" x14ac:dyDescent="0.25">
      <c r="A197" s="15" t="s">
        <v>441</v>
      </c>
      <c r="B197" s="23" t="s">
        <v>116</v>
      </c>
      <c r="C197" s="25" t="s">
        <v>720</v>
      </c>
      <c r="D197" s="32">
        <v>1</v>
      </c>
      <c r="E197" s="51">
        <v>3000</v>
      </c>
      <c r="F197" s="50">
        <f t="shared" si="3"/>
        <v>3000</v>
      </c>
    </row>
    <row r="198" spans="1:6" s="8" customFormat="1" ht="15.75" x14ac:dyDescent="0.25">
      <c r="A198" s="15" t="s">
        <v>442</v>
      </c>
      <c r="B198" s="16">
        <v>44193</v>
      </c>
      <c r="C198" s="9" t="s">
        <v>721</v>
      </c>
      <c r="D198" s="30">
        <v>81</v>
      </c>
      <c r="E198" s="13">
        <v>230</v>
      </c>
      <c r="F198" s="50">
        <f t="shared" si="3"/>
        <v>18630</v>
      </c>
    </row>
    <row r="199" spans="1:6" s="8" customFormat="1" ht="15.75" x14ac:dyDescent="0.25">
      <c r="A199" s="15" t="s">
        <v>443</v>
      </c>
      <c r="B199" s="16">
        <v>44193</v>
      </c>
      <c r="C199" s="9" t="s">
        <v>722</v>
      </c>
      <c r="D199" s="48">
        <v>100</v>
      </c>
      <c r="E199" s="13">
        <v>2.25</v>
      </c>
      <c r="F199" s="50">
        <f t="shared" ref="F199:F240" si="4">D199*E199</f>
        <v>225</v>
      </c>
    </row>
    <row r="200" spans="1:6" s="8" customFormat="1" ht="15.75" x14ac:dyDescent="0.25">
      <c r="A200" s="15" t="s">
        <v>446</v>
      </c>
      <c r="B200" s="16">
        <v>44193</v>
      </c>
      <c r="C200" s="9" t="s">
        <v>723</v>
      </c>
      <c r="D200" s="48">
        <v>2</v>
      </c>
      <c r="E200" s="13">
        <v>725</v>
      </c>
      <c r="F200" s="50">
        <f t="shared" si="4"/>
        <v>1450</v>
      </c>
    </row>
    <row r="201" spans="1:6" s="8" customFormat="1" ht="15.75" x14ac:dyDescent="0.25">
      <c r="A201" s="15" t="s">
        <v>447</v>
      </c>
      <c r="B201" s="16">
        <v>44193</v>
      </c>
      <c r="C201" s="9" t="s">
        <v>724</v>
      </c>
      <c r="D201" s="48">
        <v>4</v>
      </c>
      <c r="E201" s="13">
        <v>250</v>
      </c>
      <c r="F201" s="50">
        <f t="shared" si="4"/>
        <v>1000</v>
      </c>
    </row>
    <row r="202" spans="1:6" s="8" customFormat="1" ht="15.75" x14ac:dyDescent="0.25">
      <c r="A202" s="15" t="s">
        <v>448</v>
      </c>
      <c r="B202" s="16">
        <v>44193</v>
      </c>
      <c r="C202" s="9" t="s">
        <v>725</v>
      </c>
      <c r="D202" s="48">
        <v>47</v>
      </c>
      <c r="E202" s="13">
        <v>30</v>
      </c>
      <c r="F202" s="50">
        <f t="shared" si="4"/>
        <v>1410</v>
      </c>
    </row>
    <row r="203" spans="1:6" s="8" customFormat="1" ht="15.75" x14ac:dyDescent="0.25">
      <c r="A203" s="15" t="s">
        <v>449</v>
      </c>
      <c r="B203" s="16">
        <v>44193</v>
      </c>
      <c r="C203" s="9" t="s">
        <v>726</v>
      </c>
      <c r="D203" s="14">
        <v>7</v>
      </c>
      <c r="E203" s="13">
        <v>120</v>
      </c>
      <c r="F203" s="50">
        <f t="shared" si="4"/>
        <v>840</v>
      </c>
    </row>
    <row r="204" spans="1:6" s="8" customFormat="1" ht="15.75" x14ac:dyDescent="0.25">
      <c r="A204" s="15" t="s">
        <v>450</v>
      </c>
      <c r="B204" s="16">
        <v>44193</v>
      </c>
      <c r="C204" s="9" t="s">
        <v>727</v>
      </c>
      <c r="D204" s="14">
        <f>550+330</f>
        <v>880</v>
      </c>
      <c r="E204" s="13">
        <v>567</v>
      </c>
      <c r="F204" s="50">
        <f t="shared" si="4"/>
        <v>498960</v>
      </c>
    </row>
    <row r="205" spans="1:6" s="8" customFormat="1" ht="15.75" x14ac:dyDescent="0.25">
      <c r="A205" s="15" t="s">
        <v>452</v>
      </c>
      <c r="B205" s="16">
        <v>44193</v>
      </c>
      <c r="C205" s="9" t="s">
        <v>728</v>
      </c>
      <c r="D205" s="30">
        <v>23</v>
      </c>
      <c r="E205" s="13">
        <v>62.5</v>
      </c>
      <c r="F205" s="50">
        <f t="shared" si="4"/>
        <v>1437.5</v>
      </c>
    </row>
    <row r="206" spans="1:6" s="8" customFormat="1" ht="15.75" x14ac:dyDescent="0.25">
      <c r="A206" s="15" t="s">
        <v>453</v>
      </c>
      <c r="B206" s="16">
        <v>44193</v>
      </c>
      <c r="C206" s="9" t="s">
        <v>729</v>
      </c>
      <c r="D206" s="30">
        <v>226</v>
      </c>
      <c r="E206" s="13">
        <v>22.2</v>
      </c>
      <c r="F206" s="50">
        <f t="shared" si="4"/>
        <v>5017.2</v>
      </c>
    </row>
    <row r="207" spans="1:6" s="8" customFormat="1" ht="15.75" x14ac:dyDescent="0.25">
      <c r="A207" s="15" t="s">
        <v>455</v>
      </c>
      <c r="B207" s="16">
        <v>44193</v>
      </c>
      <c r="C207" s="9" t="s">
        <v>730</v>
      </c>
      <c r="D207" s="30">
        <v>2</v>
      </c>
      <c r="E207" s="13">
        <v>375</v>
      </c>
      <c r="F207" s="50">
        <f t="shared" si="4"/>
        <v>750</v>
      </c>
    </row>
    <row r="208" spans="1:6" s="8" customFormat="1" ht="15.75" x14ac:dyDescent="0.25">
      <c r="A208" s="15" t="s">
        <v>457</v>
      </c>
      <c r="B208" s="23" t="s">
        <v>106</v>
      </c>
      <c r="C208" s="25" t="s">
        <v>731</v>
      </c>
      <c r="D208" s="30">
        <v>37</v>
      </c>
      <c r="E208" s="51">
        <v>171.6</v>
      </c>
      <c r="F208" s="50">
        <f t="shared" si="4"/>
        <v>6349.2</v>
      </c>
    </row>
    <row r="209" spans="1:6" s="8" customFormat="1" ht="15.75" x14ac:dyDescent="0.25">
      <c r="A209" s="15" t="s">
        <v>459</v>
      </c>
      <c r="B209" s="16">
        <v>44193</v>
      </c>
      <c r="C209" s="9" t="s">
        <v>732</v>
      </c>
      <c r="D209" s="30">
        <v>36</v>
      </c>
      <c r="E209" s="13">
        <v>65</v>
      </c>
      <c r="F209" s="50">
        <f t="shared" si="4"/>
        <v>2340</v>
      </c>
    </row>
    <row r="210" spans="1:6" s="8" customFormat="1" ht="15.75" x14ac:dyDescent="0.25">
      <c r="A210" s="15" t="s">
        <v>463</v>
      </c>
      <c r="B210" s="16">
        <v>44193</v>
      </c>
      <c r="C210" s="25" t="s">
        <v>733</v>
      </c>
      <c r="D210" s="38">
        <v>16</v>
      </c>
      <c r="E210" s="13">
        <v>3000</v>
      </c>
      <c r="F210" s="50">
        <f t="shared" si="4"/>
        <v>48000</v>
      </c>
    </row>
    <row r="211" spans="1:6" s="8" customFormat="1" ht="15.75" x14ac:dyDescent="0.25">
      <c r="A211" s="15" t="s">
        <v>464</v>
      </c>
      <c r="B211" s="16">
        <v>44193</v>
      </c>
      <c r="C211" s="25" t="s">
        <v>734</v>
      </c>
      <c r="D211" s="38">
        <v>11</v>
      </c>
      <c r="E211" s="13">
        <v>1500</v>
      </c>
      <c r="F211" s="50">
        <f t="shared" si="4"/>
        <v>16500</v>
      </c>
    </row>
    <row r="212" spans="1:6" s="8" customFormat="1" ht="15.75" x14ac:dyDescent="0.25">
      <c r="A212" s="15" t="s">
        <v>465</v>
      </c>
      <c r="B212" s="16">
        <v>44193</v>
      </c>
      <c r="C212" s="25" t="s">
        <v>735</v>
      </c>
      <c r="D212" s="38">
        <v>3</v>
      </c>
      <c r="E212" s="13">
        <v>3800</v>
      </c>
      <c r="F212" s="50">
        <f t="shared" si="4"/>
        <v>11400</v>
      </c>
    </row>
    <row r="213" spans="1:6" s="8" customFormat="1" ht="15.75" x14ac:dyDescent="0.25">
      <c r="A213" s="15" t="s">
        <v>466</v>
      </c>
      <c r="B213" s="16">
        <v>44193</v>
      </c>
      <c r="C213" s="25" t="s">
        <v>736</v>
      </c>
      <c r="D213" s="38">
        <v>2</v>
      </c>
      <c r="E213" s="13">
        <v>3800</v>
      </c>
      <c r="F213" s="50">
        <f t="shared" si="4"/>
        <v>7600</v>
      </c>
    </row>
    <row r="214" spans="1:6" s="8" customFormat="1" ht="15.75" x14ac:dyDescent="0.25">
      <c r="A214" s="15" t="s">
        <v>467</v>
      </c>
      <c r="B214" s="16">
        <v>44193</v>
      </c>
      <c r="C214" s="25" t="s">
        <v>737</v>
      </c>
      <c r="D214" s="38">
        <v>2</v>
      </c>
      <c r="E214" s="13">
        <v>3800</v>
      </c>
      <c r="F214" s="50">
        <f t="shared" si="4"/>
        <v>7600</v>
      </c>
    </row>
    <row r="215" spans="1:6" s="8" customFormat="1" ht="15.75" x14ac:dyDescent="0.25">
      <c r="A215" s="15" t="s">
        <v>468</v>
      </c>
      <c r="B215" s="16">
        <v>44193</v>
      </c>
      <c r="C215" s="25" t="s">
        <v>738</v>
      </c>
      <c r="D215" s="38">
        <v>4</v>
      </c>
      <c r="E215" s="13">
        <v>3800</v>
      </c>
      <c r="F215" s="50">
        <f t="shared" si="4"/>
        <v>15200</v>
      </c>
    </row>
    <row r="216" spans="1:6" s="8" customFormat="1" ht="15.75" x14ac:dyDescent="0.25">
      <c r="A216" s="15" t="s">
        <v>469</v>
      </c>
      <c r="B216" s="16">
        <v>44193</v>
      </c>
      <c r="C216" s="9" t="s">
        <v>739</v>
      </c>
      <c r="D216" s="30">
        <v>150</v>
      </c>
      <c r="E216" s="13">
        <v>29</v>
      </c>
      <c r="F216" s="50">
        <f t="shared" si="4"/>
        <v>4350</v>
      </c>
    </row>
    <row r="217" spans="1:6" s="8" customFormat="1" ht="15.75" x14ac:dyDescent="0.25">
      <c r="A217" s="15" t="s">
        <v>470</v>
      </c>
      <c r="B217" s="16">
        <v>44193</v>
      </c>
      <c r="C217" s="9" t="s">
        <v>740</v>
      </c>
      <c r="D217" s="30">
        <v>3</v>
      </c>
      <c r="E217" s="13">
        <v>75</v>
      </c>
      <c r="F217" s="50">
        <f t="shared" si="4"/>
        <v>225</v>
      </c>
    </row>
    <row r="218" spans="1:6" s="8" customFormat="1" ht="15.75" x14ac:dyDescent="0.25">
      <c r="A218" s="15" t="s">
        <v>472</v>
      </c>
      <c r="B218" s="16">
        <v>44193</v>
      </c>
      <c r="C218" s="9" t="s">
        <v>741</v>
      </c>
      <c r="D218" s="30">
        <v>112</v>
      </c>
      <c r="E218" s="13">
        <v>8.5</v>
      </c>
      <c r="F218" s="50">
        <f t="shared" si="4"/>
        <v>952</v>
      </c>
    </row>
    <row r="219" spans="1:6" s="8" customFormat="1" ht="15.75" x14ac:dyDescent="0.25">
      <c r="A219" s="15" t="s">
        <v>473</v>
      </c>
      <c r="B219" s="16">
        <v>44193</v>
      </c>
      <c r="C219" s="9" t="s">
        <v>742</v>
      </c>
      <c r="D219" s="30">
        <v>24</v>
      </c>
      <c r="E219" s="13">
        <v>12</v>
      </c>
      <c r="F219" s="50">
        <f t="shared" si="4"/>
        <v>288</v>
      </c>
    </row>
    <row r="220" spans="1:6" s="8" customFormat="1" ht="15.75" x14ac:dyDescent="0.25">
      <c r="A220" s="15" t="s">
        <v>507</v>
      </c>
      <c r="B220" s="16">
        <v>44193</v>
      </c>
      <c r="C220" s="9" t="s">
        <v>743</v>
      </c>
      <c r="D220" s="30">
        <v>34</v>
      </c>
      <c r="E220" s="13">
        <v>8</v>
      </c>
      <c r="F220" s="50">
        <f t="shared" si="4"/>
        <v>272</v>
      </c>
    </row>
    <row r="221" spans="1:6" s="8" customFormat="1" ht="15.75" x14ac:dyDescent="0.25">
      <c r="A221" s="15" t="s">
        <v>508</v>
      </c>
      <c r="B221" s="16">
        <v>44193</v>
      </c>
      <c r="C221" s="9" t="s">
        <v>744</v>
      </c>
      <c r="D221" s="30">
        <v>3</v>
      </c>
      <c r="E221" s="13">
        <v>150</v>
      </c>
      <c r="F221" s="50">
        <f t="shared" si="4"/>
        <v>450</v>
      </c>
    </row>
    <row r="222" spans="1:6" s="8" customFormat="1" ht="15.75" x14ac:dyDescent="0.25">
      <c r="A222" s="15" t="s">
        <v>509</v>
      </c>
      <c r="B222" s="16">
        <v>44193</v>
      </c>
      <c r="C222" s="9" t="s">
        <v>745</v>
      </c>
      <c r="D222" s="30">
        <v>2</v>
      </c>
      <c r="E222" s="13">
        <v>211.86</v>
      </c>
      <c r="F222" s="50">
        <f t="shared" si="4"/>
        <v>423.72</v>
      </c>
    </row>
    <row r="223" spans="1:6" s="8" customFormat="1" ht="15.75" x14ac:dyDescent="0.25">
      <c r="A223" s="15" t="s">
        <v>512</v>
      </c>
      <c r="B223" s="23" t="s">
        <v>105</v>
      </c>
      <c r="C223" s="9" t="s">
        <v>746</v>
      </c>
      <c r="D223" s="30">
        <v>18</v>
      </c>
      <c r="E223" s="51">
        <v>48</v>
      </c>
      <c r="F223" s="50">
        <f t="shared" si="4"/>
        <v>864</v>
      </c>
    </row>
    <row r="224" spans="1:6" s="8" customFormat="1" ht="15.75" x14ac:dyDescent="0.25">
      <c r="A224" s="15" t="s">
        <v>513</v>
      </c>
      <c r="B224" s="23" t="s">
        <v>105</v>
      </c>
      <c r="C224" s="9" t="s">
        <v>747</v>
      </c>
      <c r="D224" s="30">
        <v>117</v>
      </c>
      <c r="E224" s="13">
        <v>25.42</v>
      </c>
      <c r="F224" s="50">
        <f t="shared" si="4"/>
        <v>2974.1400000000003</v>
      </c>
    </row>
    <row r="225" spans="1:6" s="8" customFormat="1" ht="15.75" x14ac:dyDescent="0.25">
      <c r="A225" s="15" t="s">
        <v>514</v>
      </c>
      <c r="B225" s="16">
        <v>44193</v>
      </c>
      <c r="C225" s="9" t="s">
        <v>748</v>
      </c>
      <c r="D225" s="30">
        <v>31</v>
      </c>
      <c r="E225" s="13">
        <v>50</v>
      </c>
      <c r="F225" s="50">
        <f t="shared" si="4"/>
        <v>1550</v>
      </c>
    </row>
    <row r="226" spans="1:6" s="8" customFormat="1" ht="15.75" x14ac:dyDescent="0.25">
      <c r="A226" s="15" t="s">
        <v>515</v>
      </c>
      <c r="B226" s="16">
        <v>44193</v>
      </c>
      <c r="C226" s="26" t="s">
        <v>749</v>
      </c>
      <c r="D226" s="38">
        <v>25</v>
      </c>
      <c r="E226" s="13">
        <v>289</v>
      </c>
      <c r="F226" s="50">
        <f t="shared" si="4"/>
        <v>7225</v>
      </c>
    </row>
    <row r="227" spans="1:6" s="8" customFormat="1" ht="15.75" x14ac:dyDescent="0.25">
      <c r="A227" s="15" t="s">
        <v>516</v>
      </c>
      <c r="B227" s="16">
        <v>44193</v>
      </c>
      <c r="C227" s="26" t="s">
        <v>750</v>
      </c>
      <c r="D227" s="38">
        <v>32</v>
      </c>
      <c r="E227" s="13">
        <v>1449.14</v>
      </c>
      <c r="F227" s="50">
        <f t="shared" si="4"/>
        <v>46372.480000000003</v>
      </c>
    </row>
    <row r="228" spans="1:6" s="8" customFormat="1" ht="15.75" x14ac:dyDescent="0.25">
      <c r="A228" s="15" t="s">
        <v>517</v>
      </c>
      <c r="B228" s="16">
        <v>44193</v>
      </c>
      <c r="C228" s="26" t="s">
        <v>751</v>
      </c>
      <c r="D228" s="38">
        <v>16</v>
      </c>
      <c r="E228" s="13">
        <v>3000</v>
      </c>
      <c r="F228" s="50">
        <f t="shared" si="4"/>
        <v>48000</v>
      </c>
    </row>
    <row r="229" spans="1:6" s="8" customFormat="1" ht="15.75" x14ac:dyDescent="0.25">
      <c r="A229" s="15" t="s">
        <v>518</v>
      </c>
      <c r="B229" s="23" t="s">
        <v>112</v>
      </c>
      <c r="C229" s="26" t="s">
        <v>752</v>
      </c>
      <c r="D229" s="38">
        <v>5</v>
      </c>
      <c r="E229" s="13">
        <v>135</v>
      </c>
      <c r="F229" s="50">
        <f t="shared" si="4"/>
        <v>675</v>
      </c>
    </row>
    <row r="230" spans="1:6" s="8" customFormat="1" ht="15.75" x14ac:dyDescent="0.25">
      <c r="A230" s="15" t="s">
        <v>519</v>
      </c>
      <c r="B230" s="23" t="s">
        <v>105</v>
      </c>
      <c r="C230" s="26" t="s">
        <v>753</v>
      </c>
      <c r="D230" s="38">
        <v>12</v>
      </c>
      <c r="E230" s="13">
        <v>38</v>
      </c>
      <c r="F230" s="50">
        <f t="shared" si="4"/>
        <v>456</v>
      </c>
    </row>
    <row r="231" spans="1:6" s="8" customFormat="1" ht="15.75" x14ac:dyDescent="0.25">
      <c r="A231" s="15" t="s">
        <v>520</v>
      </c>
      <c r="B231" s="16">
        <v>44193</v>
      </c>
      <c r="C231" s="26" t="s">
        <v>754</v>
      </c>
      <c r="D231" s="38">
        <v>7</v>
      </c>
      <c r="E231" s="13">
        <v>38</v>
      </c>
      <c r="F231" s="50">
        <f t="shared" si="4"/>
        <v>266</v>
      </c>
    </row>
    <row r="232" spans="1:6" s="8" customFormat="1" ht="15.75" x14ac:dyDescent="0.25">
      <c r="A232" s="15" t="s">
        <v>521</v>
      </c>
      <c r="B232" s="23" t="s">
        <v>105</v>
      </c>
      <c r="C232" s="26" t="s">
        <v>755</v>
      </c>
      <c r="D232" s="38">
        <v>1</v>
      </c>
      <c r="E232" s="13">
        <v>38</v>
      </c>
      <c r="F232" s="50">
        <f t="shared" si="4"/>
        <v>38</v>
      </c>
    </row>
    <row r="233" spans="1:6" s="8" customFormat="1" ht="15.75" x14ac:dyDescent="0.25">
      <c r="A233" s="15" t="s">
        <v>522</v>
      </c>
      <c r="B233" s="16">
        <v>44193</v>
      </c>
      <c r="C233" s="26" t="s">
        <v>756</v>
      </c>
      <c r="D233" s="38">
        <v>1</v>
      </c>
      <c r="E233" s="13">
        <v>38</v>
      </c>
      <c r="F233" s="50">
        <f t="shared" si="4"/>
        <v>38</v>
      </c>
    </row>
    <row r="234" spans="1:6" s="8" customFormat="1" ht="15.75" x14ac:dyDescent="0.25">
      <c r="A234" s="15" t="s">
        <v>523</v>
      </c>
      <c r="B234" s="16">
        <v>44193</v>
      </c>
      <c r="C234" s="26" t="s">
        <v>757</v>
      </c>
      <c r="D234" s="38">
        <v>1</v>
      </c>
      <c r="E234" s="13">
        <v>38</v>
      </c>
      <c r="F234" s="50">
        <f t="shared" si="4"/>
        <v>38</v>
      </c>
    </row>
    <row r="235" spans="1:6" s="8" customFormat="1" ht="15.75" x14ac:dyDescent="0.25">
      <c r="A235" s="15" t="s">
        <v>524</v>
      </c>
      <c r="B235" s="16">
        <v>44193</v>
      </c>
      <c r="C235" s="26" t="s">
        <v>758</v>
      </c>
      <c r="D235" s="38">
        <v>1</v>
      </c>
      <c r="E235" s="13">
        <v>38</v>
      </c>
      <c r="F235" s="50">
        <f t="shared" si="4"/>
        <v>38</v>
      </c>
    </row>
    <row r="236" spans="1:6" s="8" customFormat="1" ht="15.75" x14ac:dyDescent="0.25">
      <c r="A236" s="15" t="s">
        <v>525</v>
      </c>
      <c r="B236" s="16">
        <v>44193</v>
      </c>
      <c r="C236" s="26" t="s">
        <v>759</v>
      </c>
      <c r="D236" s="38">
        <v>1</v>
      </c>
      <c r="E236" s="13">
        <v>38</v>
      </c>
      <c r="F236" s="50">
        <f t="shared" si="4"/>
        <v>38</v>
      </c>
    </row>
    <row r="237" spans="1:6" s="8" customFormat="1" ht="15.75" x14ac:dyDescent="0.25">
      <c r="A237" s="15" t="s">
        <v>526</v>
      </c>
      <c r="B237" s="16">
        <v>44193</v>
      </c>
      <c r="C237" s="26" t="s">
        <v>760</v>
      </c>
      <c r="D237" s="38">
        <v>1</v>
      </c>
      <c r="E237" s="13">
        <v>41</v>
      </c>
      <c r="F237" s="50">
        <f t="shared" si="4"/>
        <v>41</v>
      </c>
    </row>
    <row r="238" spans="1:6" s="8" customFormat="1" ht="15.75" x14ac:dyDescent="0.25">
      <c r="A238" s="15" t="s">
        <v>527</v>
      </c>
      <c r="B238" s="16">
        <v>44193</v>
      </c>
      <c r="C238" s="26" t="s">
        <v>761</v>
      </c>
      <c r="D238" s="38">
        <v>3</v>
      </c>
      <c r="E238" s="13">
        <v>537</v>
      </c>
      <c r="F238" s="50">
        <f t="shared" si="4"/>
        <v>1611</v>
      </c>
    </row>
    <row r="239" spans="1:6" s="8" customFormat="1" ht="15.75" x14ac:dyDescent="0.25">
      <c r="A239" s="15" t="s">
        <v>528</v>
      </c>
      <c r="B239" s="16">
        <v>44193</v>
      </c>
      <c r="C239" s="26" t="s">
        <v>762</v>
      </c>
      <c r="D239" s="38">
        <v>7</v>
      </c>
      <c r="E239" s="13">
        <v>537</v>
      </c>
      <c r="F239" s="50">
        <f t="shared" si="4"/>
        <v>3759</v>
      </c>
    </row>
    <row r="240" spans="1:6" s="8" customFormat="1" ht="15.75" x14ac:dyDescent="0.25">
      <c r="A240" s="15" t="s">
        <v>529</v>
      </c>
      <c r="B240" s="16">
        <v>44193</v>
      </c>
      <c r="C240" s="9" t="s">
        <v>763</v>
      </c>
      <c r="D240" s="30">
        <v>15</v>
      </c>
      <c r="E240" s="13">
        <v>13.87</v>
      </c>
      <c r="F240" s="50">
        <f t="shared" si="4"/>
        <v>208.04999999999998</v>
      </c>
    </row>
    <row r="241" spans="1:6" s="8" customFormat="1" ht="15.75" x14ac:dyDescent="0.25">
      <c r="A241" s="15" t="s">
        <v>530</v>
      </c>
      <c r="B241" s="16">
        <v>44193</v>
      </c>
      <c r="C241" s="25" t="s">
        <v>764</v>
      </c>
      <c r="D241" s="38">
        <v>23</v>
      </c>
      <c r="E241" s="13">
        <v>39</v>
      </c>
      <c r="F241" s="50">
        <f>D241*E241</f>
        <v>897</v>
      </c>
    </row>
    <row r="242" spans="1:6" ht="15.75" customHeight="1" x14ac:dyDescent="0.25">
      <c r="A242" s="44" t="s">
        <v>98</v>
      </c>
      <c r="B242" s="238"/>
      <c r="C242" s="239"/>
      <c r="D242" s="239"/>
      <c r="E242" s="240"/>
      <c r="F242" s="45">
        <f>SUM(F8:F241)</f>
        <v>2916020.7600000007</v>
      </c>
    </row>
    <row r="243" spans="1:6" s="2" customFormat="1" ht="60.75" hidden="1" customHeight="1" x14ac:dyDescent="0.25">
      <c r="C243" s="43"/>
    </row>
    <row r="244" spans="1:6" ht="15.75" x14ac:dyDescent="0.25">
      <c r="C244" s="12"/>
    </row>
    <row r="245" spans="1:6" ht="23.25" customHeight="1" x14ac:dyDescent="0.25">
      <c r="A245" t="s">
        <v>7</v>
      </c>
      <c r="C245" s="12"/>
    </row>
    <row r="246" spans="1:6" ht="15.75" x14ac:dyDescent="0.25">
      <c r="C246" s="12"/>
    </row>
    <row r="247" spans="1:6" ht="23.25" customHeight="1" x14ac:dyDescent="0.25">
      <c r="B247" t="s">
        <v>531</v>
      </c>
      <c r="C247" s="12"/>
    </row>
    <row r="248" spans="1:6" ht="15.75" x14ac:dyDescent="0.25">
      <c r="C248" s="12"/>
    </row>
    <row r="249" spans="1:6" ht="15.75" x14ac:dyDescent="0.25">
      <c r="A249" s="3" t="s">
        <v>5</v>
      </c>
      <c r="C249" s="12"/>
    </row>
    <row r="250" spans="1:6" ht="15.75" x14ac:dyDescent="0.25">
      <c r="C250" s="12"/>
    </row>
    <row r="251" spans="1:6" ht="15.75" x14ac:dyDescent="0.25">
      <c r="A251" s="7" t="s">
        <v>924</v>
      </c>
      <c r="C251" s="12"/>
    </row>
    <row r="252" spans="1:6" ht="15.75" x14ac:dyDescent="0.25">
      <c r="A252" t="s">
        <v>925</v>
      </c>
      <c r="C252" s="12"/>
    </row>
    <row r="253" spans="1:6" ht="15.75" x14ac:dyDescent="0.25">
      <c r="C253" s="12"/>
    </row>
    <row r="254" spans="1:6" ht="15.75" x14ac:dyDescent="0.25">
      <c r="C254" s="12" t="s">
        <v>506</v>
      </c>
    </row>
    <row r="255" spans="1:6" ht="15.75" x14ac:dyDescent="0.25">
      <c r="C255" s="12"/>
    </row>
    <row r="256" spans="1:6" ht="15.75" x14ac:dyDescent="0.25">
      <c r="C256" s="12"/>
    </row>
    <row r="257" spans="3:3" ht="15.75" x14ac:dyDescent="0.25">
      <c r="C257" s="12"/>
    </row>
    <row r="258" spans="3:3" ht="15.75" x14ac:dyDescent="0.25">
      <c r="C258" s="12"/>
    </row>
    <row r="259" spans="3:3" ht="15.75" x14ac:dyDescent="0.25">
      <c r="C259" s="12"/>
    </row>
    <row r="260" spans="3:3" ht="15.75" x14ac:dyDescent="0.25">
      <c r="C260" s="12"/>
    </row>
    <row r="261" spans="3:3" ht="15.75" x14ac:dyDescent="0.25">
      <c r="C261" s="12"/>
    </row>
  </sheetData>
  <sortState ref="A8:F285">
    <sortCondition ref="C8:C285"/>
  </sortState>
  <mergeCells count="4">
    <mergeCell ref="A3:F3"/>
    <mergeCell ref="A4:F4"/>
    <mergeCell ref="A5:F5"/>
    <mergeCell ref="B242:E242"/>
  </mergeCells>
  <pageMargins left="0.7" right="0.7" top="0.75" bottom="0.75" header="0.3" footer="0.3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2"/>
  <sheetViews>
    <sheetView view="pageBreakPreview" zoomScale="60" zoomScaleNormal="130" workbookViewId="0">
      <selection activeCell="C329" sqref="C329"/>
    </sheetView>
  </sheetViews>
  <sheetFormatPr baseColWidth="10" defaultColWidth="11.42578125" defaultRowHeight="15" x14ac:dyDescent="0.25"/>
  <cols>
    <col min="1" max="1" width="32.140625" customWidth="1"/>
    <col min="2" max="2" width="23" customWidth="1"/>
    <col min="3" max="3" width="51.28515625" customWidth="1"/>
    <col min="4" max="4" width="14.140625" customWidth="1"/>
    <col min="5" max="5" width="17.140625" customWidth="1"/>
    <col min="6" max="6" width="22.42578125" customWidth="1"/>
  </cols>
  <sheetData>
    <row r="3" spans="1:6" ht="26.25" x14ac:dyDescent="0.4">
      <c r="A3" s="234" t="s">
        <v>0</v>
      </c>
      <c r="B3" s="234"/>
      <c r="C3" s="234"/>
      <c r="D3" s="234"/>
      <c r="E3" s="234"/>
      <c r="F3" s="234"/>
    </row>
    <row r="4" spans="1:6" x14ac:dyDescent="0.25">
      <c r="A4" s="235" t="s">
        <v>1</v>
      </c>
      <c r="B4" s="236"/>
      <c r="C4" s="236"/>
      <c r="D4" s="236"/>
      <c r="E4" s="236"/>
      <c r="F4" s="236"/>
    </row>
    <row r="5" spans="1:6" ht="18.75" x14ac:dyDescent="0.3">
      <c r="A5" s="237" t="s">
        <v>766</v>
      </c>
      <c r="B5" s="237"/>
      <c r="C5" s="237"/>
      <c r="D5" s="237"/>
      <c r="E5" s="237"/>
      <c r="F5" s="237"/>
    </row>
    <row r="7" spans="1:6" ht="30" x14ac:dyDescent="0.25">
      <c r="A7" s="46" t="s">
        <v>118</v>
      </c>
      <c r="B7" s="47" t="s">
        <v>9</v>
      </c>
      <c r="C7" s="46" t="s">
        <v>2</v>
      </c>
      <c r="D7" s="46" t="s">
        <v>3</v>
      </c>
      <c r="E7" s="46" t="s">
        <v>117</v>
      </c>
      <c r="F7" s="46" t="s">
        <v>4</v>
      </c>
    </row>
    <row r="8" spans="1:6" s="8" customFormat="1" ht="15.75" x14ac:dyDescent="0.25">
      <c r="A8" s="15" t="s">
        <v>10</v>
      </c>
      <c r="B8" s="16"/>
      <c r="C8" s="25" t="s">
        <v>913</v>
      </c>
      <c r="D8" s="14">
        <v>2</v>
      </c>
      <c r="E8" s="13"/>
      <c r="F8" s="50"/>
    </row>
    <row r="9" spans="1:6" s="8" customFormat="1" ht="15.75" x14ac:dyDescent="0.25">
      <c r="A9" s="15" t="s">
        <v>11</v>
      </c>
      <c r="B9" s="16">
        <v>44652</v>
      </c>
      <c r="C9" s="25" t="s">
        <v>857</v>
      </c>
      <c r="D9" s="14">
        <f>18*30</f>
        <v>540</v>
      </c>
      <c r="E9" s="13">
        <v>850</v>
      </c>
      <c r="F9" s="50">
        <f>+E9*18</f>
        <v>15300</v>
      </c>
    </row>
    <row r="10" spans="1:6" s="8" customFormat="1" ht="15.75" x14ac:dyDescent="0.25">
      <c r="A10" s="15" t="s">
        <v>120</v>
      </c>
      <c r="B10" s="16">
        <v>44193</v>
      </c>
      <c r="C10" s="25" t="s">
        <v>533</v>
      </c>
      <c r="D10" s="14">
        <v>43</v>
      </c>
      <c r="E10" s="13">
        <v>215</v>
      </c>
      <c r="F10" s="50">
        <f>D10*E10</f>
        <v>9245</v>
      </c>
    </row>
    <row r="11" spans="1:6" s="8" customFormat="1" ht="15.75" x14ac:dyDescent="0.25">
      <c r="A11" s="15" t="s">
        <v>12</v>
      </c>
      <c r="B11" s="16">
        <v>44453</v>
      </c>
      <c r="C11" s="25" t="s">
        <v>534</v>
      </c>
      <c r="D11" s="14">
        <f>2+9</f>
        <v>11</v>
      </c>
      <c r="E11" s="13">
        <v>1350</v>
      </c>
      <c r="F11" s="50">
        <f>D11*E11</f>
        <v>14850</v>
      </c>
    </row>
    <row r="12" spans="1:6" s="8" customFormat="1" ht="15.75" x14ac:dyDescent="0.25">
      <c r="A12" s="15" t="s">
        <v>121</v>
      </c>
      <c r="B12" s="16">
        <v>44193</v>
      </c>
      <c r="C12" s="25" t="s">
        <v>535</v>
      </c>
      <c r="D12" s="30">
        <v>0</v>
      </c>
      <c r="E12" s="13">
        <v>127.12</v>
      </c>
      <c r="F12" s="50">
        <f t="shared" ref="F12:F24" si="0">D12*E12</f>
        <v>0</v>
      </c>
    </row>
    <row r="13" spans="1:6" s="8" customFormat="1" ht="15.75" x14ac:dyDescent="0.25">
      <c r="A13" s="15" t="s">
        <v>122</v>
      </c>
      <c r="B13" s="16">
        <v>44193</v>
      </c>
      <c r="C13" s="25" t="s">
        <v>838</v>
      </c>
      <c r="D13" s="38">
        <v>1</v>
      </c>
      <c r="E13" s="13">
        <v>30</v>
      </c>
      <c r="F13" s="50">
        <f t="shared" si="0"/>
        <v>30</v>
      </c>
    </row>
    <row r="14" spans="1:6" s="8" customFormat="1" ht="15.75" x14ac:dyDescent="0.25">
      <c r="A14" s="15" t="s">
        <v>123</v>
      </c>
      <c r="B14" s="16">
        <v>44193</v>
      </c>
      <c r="C14" s="25" t="s">
        <v>840</v>
      </c>
      <c r="D14" s="14">
        <v>10</v>
      </c>
      <c r="E14" s="13">
        <v>11</v>
      </c>
      <c r="F14" s="50">
        <f t="shared" si="0"/>
        <v>110</v>
      </c>
    </row>
    <row r="15" spans="1:6" s="8" customFormat="1" ht="15.75" x14ac:dyDescent="0.25">
      <c r="A15" s="15" t="s">
        <v>13</v>
      </c>
      <c r="B15" s="16">
        <v>44193</v>
      </c>
      <c r="C15" s="25" t="s">
        <v>536</v>
      </c>
      <c r="D15" s="14">
        <f>49+60+2</f>
        <v>111</v>
      </c>
      <c r="E15" s="13">
        <v>15.84</v>
      </c>
      <c r="F15" s="50">
        <f t="shared" si="0"/>
        <v>1758.24</v>
      </c>
    </row>
    <row r="16" spans="1:6" s="8" customFormat="1" ht="15.75" x14ac:dyDescent="0.25">
      <c r="A16" s="15" t="s">
        <v>14</v>
      </c>
      <c r="B16" s="16">
        <v>44193</v>
      </c>
      <c r="C16" s="25" t="s">
        <v>537</v>
      </c>
      <c r="D16" s="14">
        <v>52</v>
      </c>
      <c r="E16" s="13">
        <v>22.41</v>
      </c>
      <c r="F16" s="50">
        <f t="shared" si="0"/>
        <v>1165.32</v>
      </c>
    </row>
    <row r="17" spans="1:6" s="8" customFormat="1" ht="15.75" x14ac:dyDescent="0.25">
      <c r="A17" s="15" t="s">
        <v>15</v>
      </c>
      <c r="B17" s="16">
        <v>44193</v>
      </c>
      <c r="C17" s="25" t="s">
        <v>538</v>
      </c>
      <c r="D17" s="14">
        <v>42</v>
      </c>
      <c r="E17" s="13">
        <v>5.5</v>
      </c>
      <c r="F17" s="50">
        <f t="shared" si="0"/>
        <v>231</v>
      </c>
    </row>
    <row r="18" spans="1:6" s="8" customFormat="1" ht="15.75" x14ac:dyDescent="0.25">
      <c r="A18" s="15" t="s">
        <v>124</v>
      </c>
      <c r="B18" s="16">
        <v>44193</v>
      </c>
      <c r="C18" s="25" t="s">
        <v>539</v>
      </c>
      <c r="D18" s="14">
        <v>32</v>
      </c>
      <c r="E18" s="13">
        <v>78.099999999999994</v>
      </c>
      <c r="F18" s="50">
        <f t="shared" si="0"/>
        <v>2499.1999999999998</v>
      </c>
    </row>
    <row r="19" spans="1:6" s="8" customFormat="1" ht="15.75" x14ac:dyDescent="0.25">
      <c r="A19" s="15" t="s">
        <v>16</v>
      </c>
      <c r="B19" s="16" t="s">
        <v>107</v>
      </c>
      <c r="C19" s="25" t="s">
        <v>540</v>
      </c>
      <c r="D19" s="14">
        <v>131</v>
      </c>
      <c r="E19" s="13">
        <v>5.17</v>
      </c>
      <c r="F19" s="50">
        <f t="shared" si="0"/>
        <v>677.27</v>
      </c>
    </row>
    <row r="20" spans="1:6" s="8" customFormat="1" ht="15.75" x14ac:dyDescent="0.25">
      <c r="A20" s="15" t="s">
        <v>17</v>
      </c>
      <c r="B20" s="16" t="s">
        <v>107</v>
      </c>
      <c r="C20" s="25" t="s">
        <v>541</v>
      </c>
      <c r="D20" s="14">
        <v>10</v>
      </c>
      <c r="E20" s="51">
        <v>15</v>
      </c>
      <c r="F20" s="50">
        <f t="shared" si="0"/>
        <v>150</v>
      </c>
    </row>
    <row r="21" spans="1:6" s="8" customFormat="1" ht="15.75" x14ac:dyDescent="0.25">
      <c r="A21" s="15" t="s">
        <v>18</v>
      </c>
      <c r="B21" s="16">
        <v>44193</v>
      </c>
      <c r="C21" s="25" t="s">
        <v>542</v>
      </c>
      <c r="D21" s="30">
        <f>4+7+1</f>
        <v>12</v>
      </c>
      <c r="E21" s="13">
        <v>15</v>
      </c>
      <c r="F21" s="50">
        <f t="shared" si="0"/>
        <v>180</v>
      </c>
    </row>
    <row r="22" spans="1:6" s="8" customFormat="1" ht="15.75" x14ac:dyDescent="0.25">
      <c r="A22" s="15" t="s">
        <v>19</v>
      </c>
      <c r="B22" s="16">
        <v>44193</v>
      </c>
      <c r="C22" s="25" t="s">
        <v>543</v>
      </c>
      <c r="D22" s="30">
        <v>8</v>
      </c>
      <c r="E22" s="22">
        <v>15</v>
      </c>
      <c r="F22" s="50">
        <f t="shared" si="0"/>
        <v>120</v>
      </c>
    </row>
    <row r="23" spans="1:6" s="8" customFormat="1" ht="15.75" x14ac:dyDescent="0.25">
      <c r="A23" s="15" t="s">
        <v>20</v>
      </c>
      <c r="B23" s="16">
        <v>44193</v>
      </c>
      <c r="C23" s="25" t="s">
        <v>835</v>
      </c>
      <c r="D23" s="30">
        <v>1</v>
      </c>
      <c r="E23" s="22">
        <v>15</v>
      </c>
      <c r="F23" s="50">
        <f t="shared" si="0"/>
        <v>15</v>
      </c>
    </row>
    <row r="24" spans="1:6" s="8" customFormat="1" ht="15.75" x14ac:dyDescent="0.25">
      <c r="A24" s="15" t="s">
        <v>21</v>
      </c>
      <c r="B24" s="16" t="s">
        <v>107</v>
      </c>
      <c r="C24" s="25" t="s">
        <v>544</v>
      </c>
      <c r="D24" s="30">
        <v>32</v>
      </c>
      <c r="E24" s="51">
        <v>15</v>
      </c>
      <c r="F24" s="50">
        <f t="shared" si="0"/>
        <v>480</v>
      </c>
    </row>
    <row r="25" spans="1:6" s="8" customFormat="1" ht="15.75" hidden="1" x14ac:dyDescent="0.25">
      <c r="A25" s="15" t="s">
        <v>23</v>
      </c>
      <c r="B25" s="16">
        <v>44193</v>
      </c>
      <c r="C25" s="25" t="s">
        <v>811</v>
      </c>
      <c r="D25" s="30">
        <v>24</v>
      </c>
      <c r="E25" s="51"/>
      <c r="F25" s="50"/>
    </row>
    <row r="26" spans="1:6" s="8" customFormat="1" ht="15.75" hidden="1" x14ac:dyDescent="0.25">
      <c r="A26" s="15" t="s">
        <v>24</v>
      </c>
      <c r="B26" s="16">
        <v>44193</v>
      </c>
      <c r="C26" s="25" t="s">
        <v>809</v>
      </c>
      <c r="D26" s="30">
        <v>12</v>
      </c>
      <c r="E26" s="51"/>
      <c r="F26" s="50"/>
    </row>
    <row r="27" spans="1:6" s="8" customFormat="1" ht="15.75" x14ac:dyDescent="0.25">
      <c r="A27" s="15" t="s">
        <v>110</v>
      </c>
      <c r="B27" s="16">
        <v>44193</v>
      </c>
      <c r="C27" s="9" t="s">
        <v>545</v>
      </c>
      <c r="D27" s="31">
        <v>10</v>
      </c>
      <c r="E27" s="13">
        <v>225</v>
      </c>
      <c r="F27" s="50">
        <f>D27*E27</f>
        <v>2250</v>
      </c>
    </row>
    <row r="28" spans="1:6" s="8" customFormat="1" ht="15.75" x14ac:dyDescent="0.25">
      <c r="A28" s="15" t="s">
        <v>125</v>
      </c>
      <c r="B28" s="16">
        <v>44193</v>
      </c>
      <c r="C28" s="25" t="s">
        <v>546</v>
      </c>
      <c r="D28" s="30">
        <v>0</v>
      </c>
      <c r="E28" s="13">
        <v>68</v>
      </c>
      <c r="F28" s="50">
        <f>D28*E28</f>
        <v>0</v>
      </c>
    </row>
    <row r="29" spans="1:6" s="8" customFormat="1" ht="15.75" x14ac:dyDescent="0.25">
      <c r="A29" s="15" t="s">
        <v>25</v>
      </c>
      <c r="B29" s="16">
        <v>44193</v>
      </c>
      <c r="C29" s="25" t="s">
        <v>547</v>
      </c>
      <c r="D29" s="30">
        <v>4</v>
      </c>
      <c r="E29" s="13">
        <v>470</v>
      </c>
      <c r="F29" s="50">
        <f>D29*E29</f>
        <v>1880</v>
      </c>
    </row>
    <row r="30" spans="1:6" s="8" customFormat="1" ht="15.75" x14ac:dyDescent="0.25">
      <c r="A30" s="15" t="s">
        <v>126</v>
      </c>
      <c r="B30" s="16" t="s">
        <v>107</v>
      </c>
      <c r="C30" s="26" t="s">
        <v>807</v>
      </c>
      <c r="D30" s="30">
        <v>70</v>
      </c>
      <c r="E30" s="13">
        <v>16.46</v>
      </c>
      <c r="F30" s="50">
        <f>+D30*E30</f>
        <v>1152.2</v>
      </c>
    </row>
    <row r="31" spans="1:6" s="8" customFormat="1" ht="15.75" x14ac:dyDescent="0.25">
      <c r="A31" s="15" t="s">
        <v>26</v>
      </c>
      <c r="B31" s="16" t="s">
        <v>107</v>
      </c>
      <c r="C31" s="26" t="s">
        <v>549</v>
      </c>
      <c r="D31" s="30">
        <v>0</v>
      </c>
      <c r="E31" s="51">
        <v>6.4</v>
      </c>
      <c r="F31" s="50">
        <f>D31*E31</f>
        <v>0</v>
      </c>
    </row>
    <row r="32" spans="1:6" s="8" customFormat="1" ht="15.75" x14ac:dyDescent="0.25">
      <c r="A32" s="15" t="s">
        <v>27</v>
      </c>
      <c r="B32" s="16">
        <v>44193</v>
      </c>
      <c r="C32" s="26" t="s">
        <v>550</v>
      </c>
      <c r="D32" s="30">
        <v>0</v>
      </c>
      <c r="E32" s="13">
        <v>105.93</v>
      </c>
      <c r="F32" s="50">
        <f>D32*E32</f>
        <v>0</v>
      </c>
    </row>
    <row r="33" spans="1:6" s="8" customFormat="1" ht="15.75" x14ac:dyDescent="0.25">
      <c r="A33" s="15" t="s">
        <v>28</v>
      </c>
      <c r="B33" s="16">
        <v>44193</v>
      </c>
      <c r="C33" s="25" t="s">
        <v>806</v>
      </c>
      <c r="D33" s="38">
        <v>2</v>
      </c>
      <c r="E33" s="13">
        <v>160</v>
      </c>
      <c r="F33" s="50">
        <f>D33*E33</f>
        <v>320</v>
      </c>
    </row>
    <row r="34" spans="1:6" s="8" customFormat="1" ht="15.75" x14ac:dyDescent="0.25">
      <c r="A34" s="15" t="s">
        <v>127</v>
      </c>
      <c r="B34" s="16">
        <v>44449</v>
      </c>
      <c r="C34" s="25" t="s">
        <v>551</v>
      </c>
      <c r="D34" s="30">
        <v>9</v>
      </c>
      <c r="E34" s="13">
        <v>600</v>
      </c>
      <c r="F34" s="50">
        <f t="shared" ref="F34:F62" si="1">D34*E34</f>
        <v>5400</v>
      </c>
    </row>
    <row r="35" spans="1:6" s="8" customFormat="1" ht="15.75" x14ac:dyDescent="0.25">
      <c r="A35" s="15" t="s">
        <v>29</v>
      </c>
      <c r="B35" s="16">
        <v>44193</v>
      </c>
      <c r="C35" s="9" t="s">
        <v>552</v>
      </c>
      <c r="D35" s="30">
        <f>20+23</f>
        <v>43</v>
      </c>
      <c r="E35" s="13">
        <v>200</v>
      </c>
      <c r="F35" s="50">
        <f t="shared" si="1"/>
        <v>8600</v>
      </c>
    </row>
    <row r="36" spans="1:6" s="8" customFormat="1" ht="15.75" x14ac:dyDescent="0.25">
      <c r="A36" s="15" t="s">
        <v>30</v>
      </c>
      <c r="B36" s="16">
        <v>44193</v>
      </c>
      <c r="C36" s="9" t="s">
        <v>553</v>
      </c>
      <c r="D36" s="30">
        <v>9</v>
      </c>
      <c r="E36" s="13">
        <v>200</v>
      </c>
      <c r="F36" s="50">
        <f t="shared" si="1"/>
        <v>1800</v>
      </c>
    </row>
    <row r="37" spans="1:6" s="8" customFormat="1" ht="15.75" x14ac:dyDescent="0.25">
      <c r="A37" s="15" t="s">
        <v>99</v>
      </c>
      <c r="B37" s="16">
        <v>44193</v>
      </c>
      <c r="C37" s="25" t="s">
        <v>548</v>
      </c>
      <c r="D37" s="30">
        <v>36</v>
      </c>
      <c r="E37" s="13">
        <v>75</v>
      </c>
      <c r="F37" s="50">
        <f t="shared" si="1"/>
        <v>2700</v>
      </c>
    </row>
    <row r="38" spans="1:6" s="8" customFormat="1" ht="15.75" x14ac:dyDescent="0.25">
      <c r="A38" s="15" t="s">
        <v>31</v>
      </c>
      <c r="B38" s="16">
        <v>44193</v>
      </c>
      <c r="C38" s="25" t="s">
        <v>554</v>
      </c>
      <c r="D38" s="30">
        <v>0</v>
      </c>
      <c r="E38" s="13">
        <v>4.24</v>
      </c>
      <c r="F38" s="50">
        <f t="shared" si="1"/>
        <v>0</v>
      </c>
    </row>
    <row r="39" spans="1:6" s="8" customFormat="1" ht="15.75" x14ac:dyDescent="0.25">
      <c r="A39" s="15" t="s">
        <v>32</v>
      </c>
      <c r="B39" s="16">
        <v>44193</v>
      </c>
      <c r="C39" s="25" t="s">
        <v>555</v>
      </c>
      <c r="D39" s="30">
        <v>0</v>
      </c>
      <c r="E39" s="13">
        <v>3.39</v>
      </c>
      <c r="F39" s="50">
        <f t="shared" si="1"/>
        <v>0</v>
      </c>
    </row>
    <row r="40" spans="1:6" s="8" customFormat="1" ht="15.75" x14ac:dyDescent="0.25">
      <c r="A40" s="15" t="s">
        <v>33</v>
      </c>
      <c r="B40" s="16">
        <v>44193</v>
      </c>
      <c r="C40" s="9" t="s">
        <v>556</v>
      </c>
      <c r="D40" s="30">
        <v>23</v>
      </c>
      <c r="E40" s="13">
        <v>1625</v>
      </c>
      <c r="F40" s="50">
        <f t="shared" si="1"/>
        <v>37375</v>
      </c>
    </row>
    <row r="41" spans="1:6" s="8" customFormat="1" ht="15.75" x14ac:dyDescent="0.25">
      <c r="A41" s="15" t="s">
        <v>34</v>
      </c>
      <c r="B41" s="16">
        <v>44193</v>
      </c>
      <c r="C41" s="9" t="s">
        <v>557</v>
      </c>
      <c r="D41" s="30">
        <v>0</v>
      </c>
      <c r="E41" s="13">
        <v>1625</v>
      </c>
      <c r="F41" s="50">
        <f t="shared" si="1"/>
        <v>0</v>
      </c>
    </row>
    <row r="42" spans="1:6" s="8" customFormat="1" ht="15.75" x14ac:dyDescent="0.25">
      <c r="A42" s="15" t="s">
        <v>111</v>
      </c>
      <c r="B42" s="16">
        <v>44193</v>
      </c>
      <c r="C42" s="9" t="s">
        <v>558</v>
      </c>
      <c r="D42" s="30">
        <v>10</v>
      </c>
      <c r="E42" s="13">
        <v>66.3</v>
      </c>
      <c r="F42" s="50">
        <f t="shared" si="1"/>
        <v>663</v>
      </c>
    </row>
    <row r="43" spans="1:6" s="8" customFormat="1" ht="15.75" x14ac:dyDescent="0.25">
      <c r="A43" s="15" t="s">
        <v>128</v>
      </c>
      <c r="B43" s="16">
        <v>44488</v>
      </c>
      <c r="C43" s="26" t="s">
        <v>560</v>
      </c>
      <c r="D43" s="55">
        <v>13</v>
      </c>
      <c r="E43" s="13">
        <v>40</v>
      </c>
      <c r="F43" s="50">
        <f t="shared" si="1"/>
        <v>520</v>
      </c>
    </row>
    <row r="44" spans="1:6" s="8" customFormat="1" ht="15.75" x14ac:dyDescent="0.25">
      <c r="A44" s="15" t="s">
        <v>129</v>
      </c>
      <c r="B44" s="16">
        <v>44193</v>
      </c>
      <c r="C44" s="9" t="s">
        <v>772</v>
      </c>
      <c r="D44" s="30">
        <v>23</v>
      </c>
      <c r="E44" s="13">
        <v>2.4</v>
      </c>
      <c r="F44" s="50">
        <f t="shared" si="1"/>
        <v>55.199999999999996</v>
      </c>
    </row>
    <row r="45" spans="1:6" s="8" customFormat="1" ht="15.75" x14ac:dyDescent="0.25">
      <c r="A45" s="15" t="s">
        <v>130</v>
      </c>
      <c r="B45" s="16">
        <v>44193</v>
      </c>
      <c r="C45" s="26" t="s">
        <v>562</v>
      </c>
      <c r="D45" s="32">
        <v>0</v>
      </c>
      <c r="E45" s="13">
        <v>700</v>
      </c>
      <c r="F45" s="50">
        <f t="shared" si="1"/>
        <v>0</v>
      </c>
    </row>
    <row r="46" spans="1:6" s="8" customFormat="1" ht="15.75" x14ac:dyDescent="0.25">
      <c r="A46" s="15" t="s">
        <v>35</v>
      </c>
      <c r="B46" s="16">
        <v>44193</v>
      </c>
      <c r="C46" s="9" t="s">
        <v>563</v>
      </c>
      <c r="D46" s="30">
        <v>1</v>
      </c>
      <c r="E46" s="13">
        <v>35</v>
      </c>
      <c r="F46" s="50">
        <f t="shared" si="1"/>
        <v>35</v>
      </c>
    </row>
    <row r="47" spans="1:6" s="8" customFormat="1" ht="15.75" x14ac:dyDescent="0.25">
      <c r="A47" s="15" t="s">
        <v>36</v>
      </c>
      <c r="B47" s="16">
        <v>44193</v>
      </c>
      <c r="C47" s="9" t="s">
        <v>564</v>
      </c>
      <c r="D47" s="30">
        <v>0</v>
      </c>
      <c r="E47" s="13">
        <v>2719</v>
      </c>
      <c r="F47" s="50">
        <f t="shared" si="1"/>
        <v>0</v>
      </c>
    </row>
    <row r="48" spans="1:6" s="8" customFormat="1" ht="15.75" x14ac:dyDescent="0.25">
      <c r="A48" s="15" t="s">
        <v>37</v>
      </c>
      <c r="B48" s="16">
        <v>44193</v>
      </c>
      <c r="C48" s="26" t="s">
        <v>797</v>
      </c>
      <c r="D48" s="30">
        <v>2</v>
      </c>
      <c r="E48" s="13">
        <v>600</v>
      </c>
      <c r="F48" s="50">
        <f t="shared" si="1"/>
        <v>1200</v>
      </c>
    </row>
    <row r="49" spans="1:6" s="8" customFormat="1" ht="15.75" x14ac:dyDescent="0.25">
      <c r="A49" s="15" t="s">
        <v>38</v>
      </c>
      <c r="B49" s="16">
        <v>44678</v>
      </c>
      <c r="C49" s="26" t="s">
        <v>565</v>
      </c>
      <c r="D49" s="32">
        <v>5</v>
      </c>
      <c r="E49" s="13">
        <v>1400</v>
      </c>
      <c r="F49" s="50">
        <f t="shared" si="1"/>
        <v>7000</v>
      </c>
    </row>
    <row r="50" spans="1:6" s="8" customFormat="1" ht="15.75" x14ac:dyDescent="0.25">
      <c r="A50" s="15" t="s">
        <v>131</v>
      </c>
      <c r="B50" s="16">
        <v>44678</v>
      </c>
      <c r="C50" s="26" t="s">
        <v>567</v>
      </c>
      <c r="D50" s="32">
        <v>10</v>
      </c>
      <c r="E50" s="13">
        <v>500</v>
      </c>
      <c r="F50" s="50">
        <f t="shared" si="1"/>
        <v>5000</v>
      </c>
    </row>
    <row r="51" spans="1:6" s="8" customFormat="1" ht="15.75" x14ac:dyDescent="0.25">
      <c r="A51" s="15" t="s">
        <v>39</v>
      </c>
      <c r="B51" s="16">
        <v>44678</v>
      </c>
      <c r="C51" s="26" t="s">
        <v>568</v>
      </c>
      <c r="D51" s="32">
        <v>6</v>
      </c>
      <c r="E51" s="13">
        <v>5000</v>
      </c>
      <c r="F51" s="50">
        <f t="shared" si="1"/>
        <v>30000</v>
      </c>
    </row>
    <row r="52" spans="1:6" s="8" customFormat="1" ht="15.75" x14ac:dyDescent="0.25">
      <c r="A52" s="15" t="s">
        <v>40</v>
      </c>
      <c r="B52" s="16">
        <v>44193</v>
      </c>
      <c r="C52" s="26" t="s">
        <v>803</v>
      </c>
      <c r="D52" s="32">
        <v>6</v>
      </c>
      <c r="E52" s="13">
        <v>2600</v>
      </c>
      <c r="F52" s="50">
        <f t="shared" si="1"/>
        <v>15600</v>
      </c>
    </row>
    <row r="53" spans="1:6" s="8" customFormat="1" ht="15.75" x14ac:dyDescent="0.25">
      <c r="A53" s="15" t="s">
        <v>132</v>
      </c>
      <c r="B53" s="16">
        <v>44193</v>
      </c>
      <c r="C53" s="25" t="s">
        <v>773</v>
      </c>
      <c r="D53" s="14">
        <v>2</v>
      </c>
      <c r="E53" s="13">
        <v>325</v>
      </c>
      <c r="F53" s="50">
        <f t="shared" si="1"/>
        <v>650</v>
      </c>
    </row>
    <row r="54" spans="1:6" s="8" customFormat="1" ht="15.75" x14ac:dyDescent="0.25">
      <c r="A54" s="15" t="s">
        <v>41</v>
      </c>
      <c r="B54" s="16">
        <v>44193</v>
      </c>
      <c r="C54" s="25" t="s">
        <v>570</v>
      </c>
      <c r="D54" s="14">
        <f>(43*3)+1</f>
        <v>130</v>
      </c>
      <c r="E54" s="13">
        <v>25</v>
      </c>
      <c r="F54" s="50">
        <f t="shared" si="1"/>
        <v>3250</v>
      </c>
    </row>
    <row r="55" spans="1:6" s="8" customFormat="1" ht="15.75" x14ac:dyDescent="0.25">
      <c r="A55" s="15" t="s">
        <v>133</v>
      </c>
      <c r="B55" s="16">
        <v>44677</v>
      </c>
      <c r="C55" s="25" t="s">
        <v>571</v>
      </c>
      <c r="D55" s="14">
        <v>352</v>
      </c>
      <c r="E55" s="13">
        <v>14</v>
      </c>
      <c r="F55" s="50">
        <f t="shared" si="1"/>
        <v>4928</v>
      </c>
    </row>
    <row r="56" spans="1:6" s="8" customFormat="1" ht="15.75" x14ac:dyDescent="0.25">
      <c r="A56" s="15" t="s">
        <v>134</v>
      </c>
      <c r="B56" s="23" t="s">
        <v>106</v>
      </c>
      <c r="C56" s="26" t="s">
        <v>572</v>
      </c>
      <c r="D56" s="32"/>
      <c r="E56" s="51">
        <v>84.75</v>
      </c>
      <c r="F56" s="50">
        <f t="shared" si="1"/>
        <v>0</v>
      </c>
    </row>
    <row r="57" spans="1:6" s="8" customFormat="1" ht="15.75" x14ac:dyDescent="0.25">
      <c r="A57" s="15" t="s">
        <v>42</v>
      </c>
      <c r="B57" s="16">
        <v>44193</v>
      </c>
      <c r="C57" s="26" t="s">
        <v>573</v>
      </c>
      <c r="D57" s="32"/>
      <c r="E57" s="13">
        <v>169.49</v>
      </c>
      <c r="F57" s="50">
        <f t="shared" si="1"/>
        <v>0</v>
      </c>
    </row>
    <row r="58" spans="1:6" s="8" customFormat="1" ht="15.75" x14ac:dyDescent="0.25">
      <c r="A58" s="15" t="s">
        <v>109</v>
      </c>
      <c r="B58" s="16">
        <v>44193</v>
      </c>
      <c r="C58" s="25" t="s">
        <v>574</v>
      </c>
      <c r="D58" s="14"/>
      <c r="E58" s="13">
        <v>76.27</v>
      </c>
      <c r="F58" s="50">
        <f t="shared" si="1"/>
        <v>0</v>
      </c>
    </row>
    <row r="59" spans="1:6" s="8" customFormat="1" ht="15.75" x14ac:dyDescent="0.25">
      <c r="A59" s="15" t="s">
        <v>135</v>
      </c>
      <c r="B59" s="16">
        <v>44193</v>
      </c>
      <c r="C59" s="25" t="s">
        <v>575</v>
      </c>
      <c r="D59" s="14"/>
      <c r="E59" s="13">
        <v>93.22</v>
      </c>
      <c r="F59" s="50">
        <f t="shared" si="1"/>
        <v>0</v>
      </c>
    </row>
    <row r="60" spans="1:6" s="8" customFormat="1" ht="15.75" x14ac:dyDescent="0.25">
      <c r="A60" s="15" t="s">
        <v>43</v>
      </c>
      <c r="B60" s="16">
        <v>44193</v>
      </c>
      <c r="C60" s="26" t="s">
        <v>576</v>
      </c>
      <c r="D60" s="32"/>
      <c r="E60" s="13">
        <v>122.8</v>
      </c>
      <c r="F60" s="50">
        <f t="shared" si="1"/>
        <v>0</v>
      </c>
    </row>
    <row r="61" spans="1:6" s="8" customFormat="1" ht="15.75" x14ac:dyDescent="0.25">
      <c r="A61" s="15" t="s">
        <v>45</v>
      </c>
      <c r="B61" s="16">
        <v>44453</v>
      </c>
      <c r="C61" s="9" t="s">
        <v>577</v>
      </c>
      <c r="D61" s="48">
        <v>0</v>
      </c>
      <c r="E61" s="13">
        <v>3000</v>
      </c>
      <c r="F61" s="50">
        <f t="shared" si="1"/>
        <v>0</v>
      </c>
    </row>
    <row r="62" spans="1:6" s="8" customFormat="1" ht="15.75" x14ac:dyDescent="0.25">
      <c r="A62" s="15" t="s">
        <v>46</v>
      </c>
      <c r="B62" s="16">
        <v>44193</v>
      </c>
      <c r="C62" s="26" t="s">
        <v>578</v>
      </c>
      <c r="D62" s="32">
        <v>0</v>
      </c>
      <c r="E62" s="13">
        <v>63.56</v>
      </c>
      <c r="F62" s="50">
        <f t="shared" si="1"/>
        <v>0</v>
      </c>
    </row>
    <row r="63" spans="1:6" s="8" customFormat="1" ht="15.75" hidden="1" x14ac:dyDescent="0.25">
      <c r="A63" s="15" t="s">
        <v>47</v>
      </c>
      <c r="B63" s="16">
        <v>44193</v>
      </c>
      <c r="C63" s="26" t="s">
        <v>819</v>
      </c>
      <c r="D63" s="32">
        <v>2</v>
      </c>
      <c r="E63" s="13"/>
      <c r="F63" s="50"/>
    </row>
    <row r="64" spans="1:6" s="8" customFormat="1" ht="15.75" hidden="1" x14ac:dyDescent="0.25">
      <c r="A64" s="15" t="s">
        <v>48</v>
      </c>
      <c r="B64" s="16">
        <v>44193</v>
      </c>
      <c r="C64" s="26" t="s">
        <v>817</v>
      </c>
      <c r="D64" s="32">
        <v>7</v>
      </c>
      <c r="E64" s="13"/>
      <c r="F64" s="50"/>
    </row>
    <row r="65" spans="1:6" s="8" customFormat="1" ht="15.75" hidden="1" x14ac:dyDescent="0.25">
      <c r="A65" s="15" t="s">
        <v>49</v>
      </c>
      <c r="B65" s="16">
        <v>44193</v>
      </c>
      <c r="C65" s="26" t="s">
        <v>818</v>
      </c>
      <c r="D65" s="32">
        <v>8</v>
      </c>
      <c r="E65" s="13"/>
      <c r="F65" s="50"/>
    </row>
    <row r="66" spans="1:6" s="8" customFormat="1" ht="15.75" x14ac:dyDescent="0.25">
      <c r="A66" s="15" t="s">
        <v>50</v>
      </c>
      <c r="B66" s="23" t="s">
        <v>116</v>
      </c>
      <c r="C66" s="25" t="s">
        <v>720</v>
      </c>
      <c r="D66" s="32">
        <v>1</v>
      </c>
      <c r="E66" s="51">
        <v>3000</v>
      </c>
      <c r="F66" s="50">
        <f>D66*E66</f>
        <v>3000</v>
      </c>
    </row>
    <row r="67" spans="1:6" s="8" customFormat="1" ht="15.75" x14ac:dyDescent="0.25">
      <c r="A67" s="15" t="s">
        <v>51</v>
      </c>
      <c r="B67" s="16">
        <v>44193</v>
      </c>
      <c r="C67" s="26" t="s">
        <v>579</v>
      </c>
      <c r="D67" s="32">
        <v>0</v>
      </c>
      <c r="E67" s="13">
        <v>35</v>
      </c>
      <c r="F67" s="50">
        <f t="shared" ref="F67:F88" si="2">D67*E67</f>
        <v>0</v>
      </c>
    </row>
    <row r="68" spans="1:6" s="8" customFormat="1" ht="15.75" x14ac:dyDescent="0.25">
      <c r="A68" s="15" t="s">
        <v>52</v>
      </c>
      <c r="B68" s="16">
        <v>44193</v>
      </c>
      <c r="C68" s="25" t="s">
        <v>794</v>
      </c>
      <c r="D68" s="38">
        <v>1</v>
      </c>
      <c r="E68" s="13">
        <v>97.96</v>
      </c>
      <c r="F68" s="50">
        <f t="shared" si="2"/>
        <v>97.96</v>
      </c>
    </row>
    <row r="69" spans="1:6" s="8" customFormat="1" ht="15.75" x14ac:dyDescent="0.25">
      <c r="A69" s="15" t="s">
        <v>53</v>
      </c>
      <c r="B69" s="16">
        <v>44193</v>
      </c>
      <c r="C69" s="9" t="s">
        <v>580</v>
      </c>
      <c r="D69" s="58">
        <v>22</v>
      </c>
      <c r="E69" s="13">
        <v>18</v>
      </c>
      <c r="F69" s="50">
        <f t="shared" si="2"/>
        <v>396</v>
      </c>
    </row>
    <row r="70" spans="1:6" s="8" customFormat="1" ht="15.75" x14ac:dyDescent="0.25">
      <c r="A70" s="15" t="s">
        <v>44</v>
      </c>
      <c r="B70" s="16">
        <v>44193</v>
      </c>
      <c r="C70" s="9" t="s">
        <v>581</v>
      </c>
      <c r="D70" s="48">
        <v>0</v>
      </c>
      <c r="E70" s="13">
        <v>114</v>
      </c>
      <c r="F70" s="50">
        <f t="shared" si="2"/>
        <v>0</v>
      </c>
    </row>
    <row r="71" spans="1:6" s="8" customFormat="1" ht="15.75" x14ac:dyDescent="0.25">
      <c r="A71" s="15" t="s">
        <v>113</v>
      </c>
      <c r="B71" s="16">
        <v>44193</v>
      </c>
      <c r="C71" s="9" t="s">
        <v>582</v>
      </c>
      <c r="D71" s="48">
        <v>50</v>
      </c>
      <c r="E71" s="13">
        <v>150</v>
      </c>
      <c r="F71" s="50">
        <f t="shared" si="2"/>
        <v>7500</v>
      </c>
    </row>
    <row r="72" spans="1:6" s="8" customFormat="1" ht="15.75" x14ac:dyDescent="0.25">
      <c r="A72" s="15" t="s">
        <v>136</v>
      </c>
      <c r="B72" s="16">
        <v>44193</v>
      </c>
      <c r="C72" s="26" t="s">
        <v>583</v>
      </c>
      <c r="D72" s="14">
        <v>0</v>
      </c>
      <c r="E72" s="13">
        <v>105.93</v>
      </c>
      <c r="F72" s="50">
        <f t="shared" si="2"/>
        <v>0</v>
      </c>
    </row>
    <row r="73" spans="1:6" s="8" customFormat="1" ht="15.75" x14ac:dyDescent="0.25">
      <c r="A73" s="15" t="s">
        <v>137</v>
      </c>
      <c r="B73" s="16">
        <v>44193</v>
      </c>
      <c r="C73" s="26" t="s">
        <v>584</v>
      </c>
      <c r="D73" s="14">
        <v>1</v>
      </c>
      <c r="E73" s="13">
        <v>762.71</v>
      </c>
      <c r="F73" s="50">
        <f t="shared" si="2"/>
        <v>762.71</v>
      </c>
    </row>
    <row r="74" spans="1:6" s="8" customFormat="1" ht="15.75" x14ac:dyDescent="0.25">
      <c r="A74" s="15" t="s">
        <v>138</v>
      </c>
      <c r="B74" s="16">
        <v>44193</v>
      </c>
      <c r="C74" s="26" t="s">
        <v>585</v>
      </c>
      <c r="D74" s="14">
        <v>0</v>
      </c>
      <c r="E74" s="13">
        <v>338.98</v>
      </c>
      <c r="F74" s="50">
        <f t="shared" si="2"/>
        <v>0</v>
      </c>
    </row>
    <row r="75" spans="1:6" s="8" customFormat="1" ht="15.75" x14ac:dyDescent="0.25">
      <c r="A75" s="15" t="s">
        <v>54</v>
      </c>
      <c r="B75" s="16">
        <v>44193</v>
      </c>
      <c r="C75" s="9" t="s">
        <v>586</v>
      </c>
      <c r="D75" s="30">
        <v>8</v>
      </c>
      <c r="E75" s="13">
        <v>17.07</v>
      </c>
      <c r="F75" s="50">
        <f t="shared" si="2"/>
        <v>136.56</v>
      </c>
    </row>
    <row r="76" spans="1:6" s="8" customFormat="1" ht="15.75" x14ac:dyDescent="0.25">
      <c r="A76" s="15" t="s">
        <v>55</v>
      </c>
      <c r="B76" s="16">
        <v>44193</v>
      </c>
      <c r="C76" s="26" t="s">
        <v>587</v>
      </c>
      <c r="D76" s="30">
        <v>129</v>
      </c>
      <c r="E76" s="13">
        <v>134</v>
      </c>
      <c r="F76" s="50">
        <f t="shared" si="2"/>
        <v>17286</v>
      </c>
    </row>
    <row r="77" spans="1:6" s="8" customFormat="1" ht="15.75" x14ac:dyDescent="0.25">
      <c r="A77" s="15" t="s">
        <v>56</v>
      </c>
      <c r="B77" s="23" t="s">
        <v>106</v>
      </c>
      <c r="C77" s="26" t="s">
        <v>774</v>
      </c>
      <c r="D77" s="30">
        <v>67</v>
      </c>
      <c r="E77" s="51">
        <v>50</v>
      </c>
      <c r="F77" s="50">
        <f t="shared" si="2"/>
        <v>3350</v>
      </c>
    </row>
    <row r="78" spans="1:6" s="8" customFormat="1" ht="15.75" x14ac:dyDescent="0.25">
      <c r="A78" s="15" t="s">
        <v>100</v>
      </c>
      <c r="B78" s="16">
        <v>44488</v>
      </c>
      <c r="C78" s="26" t="s">
        <v>589</v>
      </c>
      <c r="D78" s="30">
        <v>3</v>
      </c>
      <c r="E78" s="13">
        <v>2200</v>
      </c>
      <c r="F78" s="50">
        <f t="shared" si="2"/>
        <v>6600</v>
      </c>
    </row>
    <row r="79" spans="1:6" s="8" customFormat="1" ht="15.75" x14ac:dyDescent="0.25">
      <c r="A79" s="15" t="s">
        <v>57</v>
      </c>
      <c r="B79" s="16">
        <v>44193</v>
      </c>
      <c r="C79" s="9" t="s">
        <v>590</v>
      </c>
      <c r="D79" s="30">
        <v>0</v>
      </c>
      <c r="E79" s="13">
        <v>402.54</v>
      </c>
      <c r="F79" s="50">
        <f t="shared" si="2"/>
        <v>0</v>
      </c>
    </row>
    <row r="80" spans="1:6" s="8" customFormat="1" ht="15.75" x14ac:dyDescent="0.25">
      <c r="A80" s="15" t="s">
        <v>139</v>
      </c>
      <c r="B80" s="16">
        <v>44193</v>
      </c>
      <c r="C80" s="9" t="s">
        <v>591</v>
      </c>
      <c r="D80" s="30">
        <v>11</v>
      </c>
      <c r="E80" s="13">
        <v>37.74</v>
      </c>
      <c r="F80" s="50">
        <f t="shared" si="2"/>
        <v>415.14000000000004</v>
      </c>
    </row>
    <row r="81" spans="1:6" s="8" customFormat="1" ht="15.75" x14ac:dyDescent="0.25">
      <c r="A81" s="15" t="s">
        <v>140</v>
      </c>
      <c r="B81" s="16">
        <v>44193</v>
      </c>
      <c r="C81" s="9" t="s">
        <v>592</v>
      </c>
      <c r="D81" s="30">
        <v>0</v>
      </c>
      <c r="E81" s="13">
        <v>55</v>
      </c>
      <c r="F81" s="50">
        <f t="shared" si="2"/>
        <v>0</v>
      </c>
    </row>
    <row r="82" spans="1:6" s="8" customFormat="1" ht="15.75" x14ac:dyDescent="0.25">
      <c r="A82" s="15" t="s">
        <v>141</v>
      </c>
      <c r="B82" s="16">
        <v>44193</v>
      </c>
      <c r="C82" s="9" t="s">
        <v>593</v>
      </c>
      <c r="D82" s="30">
        <v>6</v>
      </c>
      <c r="E82" s="13">
        <v>4740</v>
      </c>
      <c r="F82" s="50">
        <f t="shared" si="2"/>
        <v>28440</v>
      </c>
    </row>
    <row r="83" spans="1:6" s="8" customFormat="1" ht="15.75" x14ac:dyDescent="0.25">
      <c r="A83" s="15" t="s">
        <v>58</v>
      </c>
      <c r="B83" s="16">
        <v>44193</v>
      </c>
      <c r="C83" s="9" t="s">
        <v>594</v>
      </c>
      <c r="D83" s="30">
        <v>1</v>
      </c>
      <c r="E83" s="13">
        <v>2535</v>
      </c>
      <c r="F83" s="50">
        <f t="shared" si="2"/>
        <v>2535</v>
      </c>
    </row>
    <row r="84" spans="1:6" s="8" customFormat="1" ht="15.75" x14ac:dyDescent="0.25">
      <c r="A84" s="15" t="s">
        <v>59</v>
      </c>
      <c r="B84" s="16">
        <v>44193</v>
      </c>
      <c r="C84" s="9" t="s">
        <v>595</v>
      </c>
      <c r="D84" s="30">
        <v>0</v>
      </c>
      <c r="E84" s="13">
        <v>211.86</v>
      </c>
      <c r="F84" s="50">
        <f t="shared" si="2"/>
        <v>0</v>
      </c>
    </row>
    <row r="85" spans="1:6" s="8" customFormat="1" ht="15.75" x14ac:dyDescent="0.25">
      <c r="A85" s="15" t="s">
        <v>60</v>
      </c>
      <c r="B85" s="16">
        <v>44193</v>
      </c>
      <c r="C85" s="9" t="s">
        <v>596</v>
      </c>
      <c r="D85" s="30">
        <v>0</v>
      </c>
      <c r="E85" s="13">
        <v>70</v>
      </c>
      <c r="F85" s="50">
        <f t="shared" si="2"/>
        <v>0</v>
      </c>
    </row>
    <row r="86" spans="1:6" s="8" customFormat="1" ht="15.75" x14ac:dyDescent="0.25">
      <c r="A86" s="15" t="s">
        <v>61</v>
      </c>
      <c r="B86" s="16">
        <v>44193</v>
      </c>
      <c r="C86" s="26" t="s">
        <v>597</v>
      </c>
      <c r="D86" s="30">
        <v>2</v>
      </c>
      <c r="E86" s="13">
        <v>148.31</v>
      </c>
      <c r="F86" s="50">
        <f t="shared" si="2"/>
        <v>296.62</v>
      </c>
    </row>
    <row r="87" spans="1:6" s="8" customFormat="1" ht="15.75" x14ac:dyDescent="0.25">
      <c r="A87" s="15" t="s">
        <v>62</v>
      </c>
      <c r="B87" s="16">
        <v>44547</v>
      </c>
      <c r="C87" s="9" t="s">
        <v>598</v>
      </c>
      <c r="D87" s="30">
        <v>24</v>
      </c>
      <c r="E87" s="13">
        <v>200</v>
      </c>
      <c r="F87" s="50">
        <f t="shared" si="2"/>
        <v>4800</v>
      </c>
    </row>
    <row r="88" spans="1:6" s="8" customFormat="1" ht="15.75" x14ac:dyDescent="0.25">
      <c r="A88" s="15" t="s">
        <v>63</v>
      </c>
      <c r="B88" s="16">
        <v>44193</v>
      </c>
      <c r="C88" s="9" t="s">
        <v>599</v>
      </c>
      <c r="D88" s="30">
        <v>0</v>
      </c>
      <c r="E88" s="13">
        <v>65</v>
      </c>
      <c r="F88" s="50">
        <f t="shared" si="2"/>
        <v>0</v>
      </c>
    </row>
    <row r="89" spans="1:6" s="8" customFormat="1" ht="15.75" hidden="1" x14ac:dyDescent="0.25">
      <c r="A89" s="15" t="s">
        <v>64</v>
      </c>
      <c r="B89" s="16">
        <v>44193</v>
      </c>
      <c r="C89" s="25" t="s">
        <v>850</v>
      </c>
      <c r="D89" s="38">
        <v>1</v>
      </c>
      <c r="E89" s="13"/>
      <c r="F89" s="50"/>
    </row>
    <row r="90" spans="1:6" s="8" customFormat="1" ht="15.75" x14ac:dyDescent="0.25">
      <c r="A90" s="15" t="s">
        <v>65</v>
      </c>
      <c r="B90" s="16">
        <v>44193</v>
      </c>
      <c r="C90" s="9" t="s">
        <v>851</v>
      </c>
      <c r="D90" s="30">
        <v>6</v>
      </c>
      <c r="E90" s="13">
        <v>115</v>
      </c>
      <c r="F90" s="50">
        <f>D90*E90</f>
        <v>690</v>
      </c>
    </row>
    <row r="91" spans="1:6" s="8" customFormat="1" ht="15.75" x14ac:dyDescent="0.25">
      <c r="A91" s="15" t="s">
        <v>66</v>
      </c>
      <c r="B91" s="16">
        <v>44547</v>
      </c>
      <c r="C91" s="9" t="s">
        <v>775</v>
      </c>
      <c r="D91" s="30">
        <v>10</v>
      </c>
      <c r="E91" s="13">
        <v>155</v>
      </c>
      <c r="F91" s="50">
        <f>D91*E91</f>
        <v>1550</v>
      </c>
    </row>
    <row r="92" spans="1:6" s="8" customFormat="1" ht="15.75" x14ac:dyDescent="0.25">
      <c r="A92" s="15" t="s">
        <v>68</v>
      </c>
      <c r="B92" s="16">
        <v>44453</v>
      </c>
      <c r="C92" s="25" t="s">
        <v>603</v>
      </c>
      <c r="D92" s="14">
        <v>4</v>
      </c>
      <c r="E92" s="13">
        <v>7500</v>
      </c>
      <c r="F92" s="50">
        <f>D92*E92</f>
        <v>30000</v>
      </c>
    </row>
    <row r="93" spans="1:6" s="8" customFormat="1" ht="15.75" x14ac:dyDescent="0.25">
      <c r="A93" s="15" t="s">
        <v>67</v>
      </c>
      <c r="B93" s="16">
        <v>44659</v>
      </c>
      <c r="C93" s="25" t="s">
        <v>776</v>
      </c>
      <c r="D93" s="14">
        <v>108</v>
      </c>
      <c r="E93" s="13">
        <v>156.66667000000001</v>
      </c>
      <c r="F93" s="50">
        <f>D93*E93</f>
        <v>16920.000360000002</v>
      </c>
    </row>
    <row r="94" spans="1:6" s="8" customFormat="1" ht="15.75" x14ac:dyDescent="0.25">
      <c r="A94" s="15" t="s">
        <v>69</v>
      </c>
      <c r="B94" s="16">
        <v>44193</v>
      </c>
      <c r="C94" s="25" t="s">
        <v>844</v>
      </c>
      <c r="D94" s="14">
        <v>20</v>
      </c>
      <c r="E94" s="13">
        <v>30.5</v>
      </c>
      <c r="F94" s="50">
        <f>D94*E94</f>
        <v>610</v>
      </c>
    </row>
    <row r="95" spans="1:6" s="8" customFormat="1" ht="15.75" x14ac:dyDescent="0.25">
      <c r="A95" s="15" t="s">
        <v>103</v>
      </c>
      <c r="B95" s="16">
        <v>44193</v>
      </c>
      <c r="C95" s="25" t="s">
        <v>789</v>
      </c>
      <c r="D95" s="14">
        <f>21+8+14</f>
        <v>43</v>
      </c>
      <c r="E95" s="13">
        <v>11.24</v>
      </c>
      <c r="F95" s="50">
        <f t="shared" ref="F95:F133" si="3">D95*E95</f>
        <v>483.32</v>
      </c>
    </row>
    <row r="96" spans="1:6" s="8" customFormat="1" ht="15.75" x14ac:dyDescent="0.25">
      <c r="A96" s="15" t="s">
        <v>104</v>
      </c>
      <c r="B96" s="16">
        <v>44193</v>
      </c>
      <c r="C96" s="25" t="s">
        <v>788</v>
      </c>
      <c r="D96" s="14">
        <f>16+6+7+2</f>
        <v>31</v>
      </c>
      <c r="E96" s="13">
        <v>11.24</v>
      </c>
      <c r="F96" s="50">
        <f t="shared" si="3"/>
        <v>348.44</v>
      </c>
    </row>
    <row r="97" spans="1:6" s="8" customFormat="1" ht="15.75" x14ac:dyDescent="0.25">
      <c r="A97" s="15" t="s">
        <v>142</v>
      </c>
      <c r="B97" s="16">
        <v>44193</v>
      </c>
      <c r="C97" s="25" t="s">
        <v>604</v>
      </c>
      <c r="D97" s="14">
        <v>28</v>
      </c>
      <c r="E97" s="13">
        <v>45</v>
      </c>
      <c r="F97" s="50">
        <f t="shared" si="3"/>
        <v>1260</v>
      </c>
    </row>
    <row r="98" spans="1:6" s="8" customFormat="1" ht="15.75" x14ac:dyDescent="0.25">
      <c r="A98" s="15" t="s">
        <v>70</v>
      </c>
      <c r="B98" s="16">
        <v>44193</v>
      </c>
      <c r="C98" s="25" t="s">
        <v>605</v>
      </c>
      <c r="D98" s="14">
        <v>4</v>
      </c>
      <c r="E98" s="13">
        <v>40</v>
      </c>
      <c r="F98" s="50">
        <f t="shared" si="3"/>
        <v>160</v>
      </c>
    </row>
    <row r="99" spans="1:6" s="8" customFormat="1" ht="15.75" x14ac:dyDescent="0.25">
      <c r="A99" s="15" t="s">
        <v>71</v>
      </c>
      <c r="B99" s="16">
        <v>44193</v>
      </c>
      <c r="C99" s="25" t="s">
        <v>606</v>
      </c>
      <c r="D99" s="14">
        <v>39</v>
      </c>
      <c r="E99" s="13">
        <v>45</v>
      </c>
      <c r="F99" s="50">
        <f t="shared" si="3"/>
        <v>1755</v>
      </c>
    </row>
    <row r="100" spans="1:6" s="8" customFormat="1" ht="15.75" x14ac:dyDescent="0.25">
      <c r="A100" s="15" t="s">
        <v>72</v>
      </c>
      <c r="B100" s="16">
        <v>44193</v>
      </c>
      <c r="C100" s="25" t="s">
        <v>846</v>
      </c>
      <c r="D100" s="14">
        <v>1</v>
      </c>
      <c r="E100" s="13">
        <v>47</v>
      </c>
      <c r="F100" s="50">
        <f t="shared" si="3"/>
        <v>47</v>
      </c>
    </row>
    <row r="101" spans="1:6" s="8" customFormat="1" ht="15.75" x14ac:dyDescent="0.25">
      <c r="A101" s="15" t="s">
        <v>73</v>
      </c>
      <c r="B101" s="16">
        <v>44193</v>
      </c>
      <c r="C101" s="25" t="s">
        <v>607</v>
      </c>
      <c r="D101" s="14">
        <v>1</v>
      </c>
      <c r="E101" s="13">
        <v>40</v>
      </c>
      <c r="F101" s="50">
        <f t="shared" si="3"/>
        <v>40</v>
      </c>
    </row>
    <row r="102" spans="1:6" s="8" customFormat="1" ht="15.75" x14ac:dyDescent="0.25">
      <c r="A102" s="15" t="s">
        <v>74</v>
      </c>
      <c r="B102" s="16">
        <v>44193</v>
      </c>
      <c r="C102" s="25" t="s">
        <v>608</v>
      </c>
      <c r="D102" s="32">
        <v>2</v>
      </c>
      <c r="E102" s="13">
        <v>12.21</v>
      </c>
      <c r="F102" s="50">
        <f t="shared" si="3"/>
        <v>24.42</v>
      </c>
    </row>
    <row r="103" spans="1:6" s="8" customFormat="1" ht="15.75" x14ac:dyDescent="0.25">
      <c r="A103" s="15" t="s">
        <v>101</v>
      </c>
      <c r="B103" s="16">
        <v>44193</v>
      </c>
      <c r="C103" s="25" t="s">
        <v>609</v>
      </c>
      <c r="D103" s="32">
        <v>0</v>
      </c>
      <c r="E103" s="13">
        <v>4</v>
      </c>
      <c r="F103" s="50">
        <f t="shared" si="3"/>
        <v>0</v>
      </c>
    </row>
    <row r="104" spans="1:6" s="8" customFormat="1" ht="15.75" x14ac:dyDescent="0.25">
      <c r="A104" s="15" t="s">
        <v>75</v>
      </c>
      <c r="B104" s="16">
        <v>44193</v>
      </c>
      <c r="C104" s="25" t="s">
        <v>610</v>
      </c>
      <c r="D104" s="32">
        <f>13+7+29</f>
        <v>49</v>
      </c>
      <c r="E104" s="13">
        <v>5.05</v>
      </c>
      <c r="F104" s="50">
        <f t="shared" si="3"/>
        <v>247.45</v>
      </c>
    </row>
    <row r="105" spans="1:6" s="8" customFormat="1" ht="15.75" x14ac:dyDescent="0.25">
      <c r="A105" s="15" t="s">
        <v>102</v>
      </c>
      <c r="B105" s="16">
        <v>44193</v>
      </c>
      <c r="C105" s="25" t="s">
        <v>611</v>
      </c>
      <c r="D105" s="32">
        <v>0</v>
      </c>
      <c r="E105" s="13">
        <v>42.95</v>
      </c>
      <c r="F105" s="50">
        <f t="shared" si="3"/>
        <v>0</v>
      </c>
    </row>
    <row r="106" spans="1:6" s="8" customFormat="1" ht="15.75" x14ac:dyDescent="0.25">
      <c r="A106" s="15" t="s">
        <v>143</v>
      </c>
      <c r="B106" s="16">
        <v>44193</v>
      </c>
      <c r="C106" s="25" t="s">
        <v>612</v>
      </c>
      <c r="D106" s="30">
        <v>11</v>
      </c>
      <c r="E106" s="13">
        <v>19.95</v>
      </c>
      <c r="F106" s="50">
        <f t="shared" si="3"/>
        <v>219.45</v>
      </c>
    </row>
    <row r="107" spans="1:6" s="8" customFormat="1" ht="15.75" x14ac:dyDescent="0.25">
      <c r="A107" s="15" t="s">
        <v>334</v>
      </c>
      <c r="B107" s="16">
        <v>44193</v>
      </c>
      <c r="C107" s="25" t="s">
        <v>613</v>
      </c>
      <c r="D107" s="30">
        <f>6+7</f>
        <v>13</v>
      </c>
      <c r="E107" s="13">
        <v>5.78</v>
      </c>
      <c r="F107" s="50">
        <f t="shared" si="3"/>
        <v>75.14</v>
      </c>
    </row>
    <row r="108" spans="1:6" s="8" customFormat="1" ht="15.75" hidden="1" x14ac:dyDescent="0.25">
      <c r="A108" s="15" t="s">
        <v>335</v>
      </c>
      <c r="B108" s="16">
        <v>44193</v>
      </c>
      <c r="C108" s="25" t="s">
        <v>849</v>
      </c>
      <c r="D108" s="30">
        <v>1</v>
      </c>
      <c r="E108" s="13"/>
      <c r="F108" s="50">
        <f t="shared" si="3"/>
        <v>0</v>
      </c>
    </row>
    <row r="109" spans="1:6" s="8" customFormat="1" ht="15.75" x14ac:dyDescent="0.25">
      <c r="A109" s="15" t="s">
        <v>336</v>
      </c>
      <c r="B109" s="16">
        <v>44193</v>
      </c>
      <c r="C109" s="26" t="s">
        <v>821</v>
      </c>
      <c r="D109" s="30">
        <v>9</v>
      </c>
      <c r="E109" s="13">
        <v>77.540000000000006</v>
      </c>
      <c r="F109" s="50">
        <f t="shared" si="3"/>
        <v>697.86</v>
      </c>
    </row>
    <row r="110" spans="1:6" s="8" customFormat="1" ht="15.75" x14ac:dyDescent="0.25">
      <c r="A110" s="15" t="s">
        <v>337</v>
      </c>
      <c r="B110" s="16">
        <v>44193</v>
      </c>
      <c r="C110" s="26" t="s">
        <v>820</v>
      </c>
      <c r="D110" s="30">
        <v>21</v>
      </c>
      <c r="E110" s="13">
        <v>719.2</v>
      </c>
      <c r="F110" s="50">
        <f t="shared" si="3"/>
        <v>15103.2</v>
      </c>
    </row>
    <row r="111" spans="1:6" s="8" customFormat="1" ht="15.75" x14ac:dyDescent="0.25">
      <c r="A111" s="15" t="s">
        <v>338</v>
      </c>
      <c r="B111" s="16">
        <v>44193</v>
      </c>
      <c r="C111" s="26" t="s">
        <v>823</v>
      </c>
      <c r="D111" s="30">
        <v>3</v>
      </c>
      <c r="E111" s="13">
        <v>51</v>
      </c>
      <c r="F111" s="50">
        <f t="shared" si="3"/>
        <v>153</v>
      </c>
    </row>
    <row r="112" spans="1:6" s="8" customFormat="1" ht="15.75" x14ac:dyDescent="0.25">
      <c r="A112" s="15" t="s">
        <v>339</v>
      </c>
      <c r="B112" s="16">
        <v>44193</v>
      </c>
      <c r="C112" s="26" t="s">
        <v>822</v>
      </c>
      <c r="D112" s="30">
        <v>12</v>
      </c>
      <c r="E112" s="13">
        <v>66.11</v>
      </c>
      <c r="F112" s="50">
        <f t="shared" si="3"/>
        <v>793.31999999999994</v>
      </c>
    </row>
    <row r="113" spans="1:6" s="8" customFormat="1" ht="15.75" x14ac:dyDescent="0.25">
      <c r="A113" s="15" t="s">
        <v>340</v>
      </c>
      <c r="B113" s="16">
        <v>44193</v>
      </c>
      <c r="C113" s="26" t="s">
        <v>802</v>
      </c>
      <c r="D113" s="30">
        <v>2</v>
      </c>
      <c r="E113" s="13">
        <v>70</v>
      </c>
      <c r="F113" s="50">
        <f t="shared" si="3"/>
        <v>140</v>
      </c>
    </row>
    <row r="114" spans="1:6" s="8" customFormat="1" ht="15.75" x14ac:dyDescent="0.25">
      <c r="A114" s="15" t="s">
        <v>341</v>
      </c>
      <c r="B114" s="16">
        <v>44193</v>
      </c>
      <c r="C114" s="26" t="s">
        <v>804</v>
      </c>
      <c r="D114" s="30">
        <v>6</v>
      </c>
      <c r="E114" s="13">
        <v>450</v>
      </c>
      <c r="F114" s="50">
        <f t="shared" si="3"/>
        <v>2700</v>
      </c>
    </row>
    <row r="115" spans="1:6" s="8" customFormat="1" ht="15.75" x14ac:dyDescent="0.25">
      <c r="A115" s="15" t="s">
        <v>342</v>
      </c>
      <c r="B115" s="16">
        <v>44193</v>
      </c>
      <c r="C115" s="26" t="s">
        <v>801</v>
      </c>
      <c r="D115" s="30">
        <v>2</v>
      </c>
      <c r="E115" s="13">
        <v>719.2</v>
      </c>
      <c r="F115" s="50">
        <f t="shared" si="3"/>
        <v>1438.4</v>
      </c>
    </row>
    <row r="116" spans="1:6" s="8" customFormat="1" ht="15.75" hidden="1" x14ac:dyDescent="0.25">
      <c r="A116" s="15" t="s">
        <v>343</v>
      </c>
      <c r="B116" s="16">
        <v>44193</v>
      </c>
      <c r="C116" s="25" t="s">
        <v>616</v>
      </c>
      <c r="D116" s="32">
        <v>0</v>
      </c>
      <c r="E116" s="13">
        <v>2950</v>
      </c>
      <c r="F116" s="50">
        <f t="shared" si="3"/>
        <v>0</v>
      </c>
    </row>
    <row r="117" spans="1:6" s="8" customFormat="1" ht="15.75" x14ac:dyDescent="0.25">
      <c r="A117" s="15" t="s">
        <v>344</v>
      </c>
      <c r="B117" s="16">
        <v>44193</v>
      </c>
      <c r="C117" s="25" t="s">
        <v>617</v>
      </c>
      <c r="D117" s="32">
        <v>5</v>
      </c>
      <c r="E117" s="13">
        <v>29</v>
      </c>
      <c r="F117" s="50">
        <f t="shared" si="3"/>
        <v>145</v>
      </c>
    </row>
    <row r="118" spans="1:6" s="8" customFormat="1" ht="15.75" x14ac:dyDescent="0.25">
      <c r="A118" s="15" t="s">
        <v>345</v>
      </c>
      <c r="B118" s="23" t="s">
        <v>106</v>
      </c>
      <c r="C118" s="9" t="s">
        <v>618</v>
      </c>
      <c r="D118" s="30">
        <v>12</v>
      </c>
      <c r="E118" s="51">
        <v>35</v>
      </c>
      <c r="F118" s="50">
        <f t="shared" si="3"/>
        <v>420</v>
      </c>
    </row>
    <row r="119" spans="1:6" s="8" customFormat="1" ht="15.75" x14ac:dyDescent="0.25">
      <c r="A119" s="15" t="s">
        <v>346</v>
      </c>
      <c r="B119" s="16">
        <v>44193</v>
      </c>
      <c r="C119" s="26" t="s">
        <v>619</v>
      </c>
      <c r="D119" s="32">
        <v>0</v>
      </c>
      <c r="E119" s="13">
        <v>155</v>
      </c>
      <c r="F119" s="50">
        <f t="shared" si="3"/>
        <v>0</v>
      </c>
    </row>
    <row r="120" spans="1:6" s="8" customFormat="1" ht="15.75" x14ac:dyDescent="0.25">
      <c r="A120" s="15" t="s">
        <v>347</v>
      </c>
      <c r="B120" s="16">
        <v>44777</v>
      </c>
      <c r="C120" s="26" t="s">
        <v>620</v>
      </c>
      <c r="D120" s="32">
        <v>90</v>
      </c>
      <c r="E120" s="13">
        <v>71.95</v>
      </c>
      <c r="F120" s="50">
        <f t="shared" si="3"/>
        <v>6475.5</v>
      </c>
    </row>
    <row r="121" spans="1:6" s="8" customFormat="1" ht="15.75" x14ac:dyDescent="0.25">
      <c r="A121" s="15" t="s">
        <v>348</v>
      </c>
      <c r="B121" s="16">
        <v>44193</v>
      </c>
      <c r="C121" s="26" t="s">
        <v>626</v>
      </c>
      <c r="D121" s="32">
        <v>0</v>
      </c>
      <c r="E121" s="13">
        <v>190.68</v>
      </c>
      <c r="F121" s="50">
        <f t="shared" si="3"/>
        <v>0</v>
      </c>
    </row>
    <row r="122" spans="1:6" s="8" customFormat="1" ht="15.75" x14ac:dyDescent="0.25">
      <c r="A122" s="15" t="s">
        <v>349</v>
      </c>
      <c r="B122" s="16">
        <v>44678</v>
      </c>
      <c r="C122" s="26" t="s">
        <v>621</v>
      </c>
      <c r="D122" s="32">
        <v>1</v>
      </c>
      <c r="E122" s="13">
        <v>3800</v>
      </c>
      <c r="F122" s="50">
        <f t="shared" si="3"/>
        <v>3800</v>
      </c>
    </row>
    <row r="123" spans="1:6" s="8" customFormat="1" ht="15.75" x14ac:dyDescent="0.25">
      <c r="A123" s="15" t="s">
        <v>350</v>
      </c>
      <c r="B123" s="16">
        <v>44193</v>
      </c>
      <c r="C123" s="26" t="s">
        <v>622</v>
      </c>
      <c r="D123" s="32">
        <v>0</v>
      </c>
      <c r="E123" s="13">
        <v>1400</v>
      </c>
      <c r="F123" s="50">
        <f t="shared" si="3"/>
        <v>0</v>
      </c>
    </row>
    <row r="124" spans="1:6" s="8" customFormat="1" ht="15.75" x14ac:dyDescent="0.25">
      <c r="A124" s="15" t="s">
        <v>351</v>
      </c>
      <c r="B124" s="16">
        <v>44456</v>
      </c>
      <c r="C124" s="26" t="s">
        <v>623</v>
      </c>
      <c r="D124" s="32">
        <v>13</v>
      </c>
      <c r="E124" s="13">
        <v>1099</v>
      </c>
      <c r="F124" s="50">
        <f t="shared" si="3"/>
        <v>14287</v>
      </c>
    </row>
    <row r="125" spans="1:6" s="8" customFormat="1" ht="15.75" x14ac:dyDescent="0.25">
      <c r="A125" s="15" t="s">
        <v>352</v>
      </c>
      <c r="B125" s="16">
        <v>44456</v>
      </c>
      <c r="C125" s="26" t="s">
        <v>767</v>
      </c>
      <c r="D125" s="32">
        <v>18</v>
      </c>
      <c r="E125" s="13">
        <v>4000</v>
      </c>
      <c r="F125" s="50">
        <f t="shared" si="3"/>
        <v>72000</v>
      </c>
    </row>
    <row r="126" spans="1:6" s="8" customFormat="1" ht="15.75" x14ac:dyDescent="0.25">
      <c r="A126" s="15" t="s">
        <v>353</v>
      </c>
      <c r="B126" s="16">
        <v>44193</v>
      </c>
      <c r="C126" s="26" t="s">
        <v>625</v>
      </c>
      <c r="D126" s="32">
        <v>5</v>
      </c>
      <c r="E126" s="13">
        <v>1400</v>
      </c>
      <c r="F126" s="50">
        <f t="shared" si="3"/>
        <v>7000</v>
      </c>
    </row>
    <row r="127" spans="1:6" s="8" customFormat="1" ht="15.75" x14ac:dyDescent="0.25">
      <c r="A127" s="15" t="s">
        <v>354</v>
      </c>
      <c r="B127" s="23" t="s">
        <v>106</v>
      </c>
      <c r="C127" s="28" t="s">
        <v>627</v>
      </c>
      <c r="D127" s="49">
        <v>100</v>
      </c>
      <c r="E127" s="52">
        <v>28</v>
      </c>
      <c r="F127" s="50">
        <f t="shared" si="3"/>
        <v>2800</v>
      </c>
    </row>
    <row r="128" spans="1:6" s="8" customFormat="1" ht="15.75" x14ac:dyDescent="0.25">
      <c r="A128" s="15" t="s">
        <v>355</v>
      </c>
      <c r="B128" s="23" t="s">
        <v>114</v>
      </c>
      <c r="C128" s="26" t="s">
        <v>80</v>
      </c>
      <c r="D128" s="32">
        <v>0</v>
      </c>
      <c r="E128" s="51">
        <v>85</v>
      </c>
      <c r="F128" s="50">
        <f t="shared" si="3"/>
        <v>0</v>
      </c>
    </row>
    <row r="129" spans="1:6" s="8" customFormat="1" ht="15.75" x14ac:dyDescent="0.25">
      <c r="A129" s="15" t="s">
        <v>356</v>
      </c>
      <c r="B129" s="16">
        <v>44193</v>
      </c>
      <c r="C129" s="9" t="s">
        <v>628</v>
      </c>
      <c r="D129" s="58">
        <v>1</v>
      </c>
      <c r="E129" s="13">
        <v>550</v>
      </c>
      <c r="F129" s="50">
        <f t="shared" si="3"/>
        <v>550</v>
      </c>
    </row>
    <row r="130" spans="1:6" s="8" customFormat="1" ht="15.75" x14ac:dyDescent="0.25">
      <c r="A130" s="15" t="s">
        <v>357</v>
      </c>
      <c r="B130" s="16">
        <v>44193</v>
      </c>
      <c r="C130" s="9" t="s">
        <v>629</v>
      </c>
      <c r="D130" s="48">
        <v>0</v>
      </c>
      <c r="E130" s="13">
        <v>60</v>
      </c>
      <c r="F130" s="50">
        <f t="shared" si="3"/>
        <v>0</v>
      </c>
    </row>
    <row r="131" spans="1:6" s="8" customFormat="1" ht="15.75" x14ac:dyDescent="0.25">
      <c r="A131" s="15" t="s">
        <v>358</v>
      </c>
      <c r="B131" s="16">
        <v>44656</v>
      </c>
      <c r="C131" s="25" t="s">
        <v>631</v>
      </c>
      <c r="D131" s="32">
        <v>40</v>
      </c>
      <c r="E131" s="13">
        <v>115.53</v>
      </c>
      <c r="F131" s="50">
        <f t="shared" si="3"/>
        <v>4621.2</v>
      </c>
    </row>
    <row r="132" spans="1:6" s="8" customFormat="1" ht="15.75" x14ac:dyDescent="0.25">
      <c r="A132" s="15" t="s">
        <v>359</v>
      </c>
      <c r="B132" s="16">
        <v>44656</v>
      </c>
      <c r="C132" s="26" t="s">
        <v>632</v>
      </c>
      <c r="D132" s="32">
        <v>12</v>
      </c>
      <c r="E132" s="13">
        <v>128.62</v>
      </c>
      <c r="F132" s="50">
        <f t="shared" si="3"/>
        <v>1543.44</v>
      </c>
    </row>
    <row r="133" spans="1:6" s="8" customFormat="1" ht="15.75" x14ac:dyDescent="0.25">
      <c r="A133" s="15" t="s">
        <v>360</v>
      </c>
      <c r="B133" s="16">
        <v>44659</v>
      </c>
      <c r="C133" s="26" t="s">
        <v>633</v>
      </c>
      <c r="D133" s="14">
        <v>41</v>
      </c>
      <c r="E133" s="13">
        <v>325</v>
      </c>
      <c r="F133" s="50">
        <f t="shared" si="3"/>
        <v>13325</v>
      </c>
    </row>
    <row r="134" spans="1:6" s="8" customFormat="1" ht="15.75" hidden="1" x14ac:dyDescent="0.25">
      <c r="A134" s="15" t="s">
        <v>361</v>
      </c>
      <c r="B134" s="16"/>
      <c r="C134" s="25" t="s">
        <v>861</v>
      </c>
      <c r="D134" s="38">
        <f>8+48</f>
        <v>56</v>
      </c>
      <c r="E134" s="13"/>
      <c r="F134" s="50">
        <f t="shared" ref="F134:F139" si="4">+D134*E134</f>
        <v>0</v>
      </c>
    </row>
    <row r="135" spans="1:6" s="8" customFormat="1" ht="15.75" hidden="1" x14ac:dyDescent="0.25">
      <c r="A135" s="15" t="s">
        <v>362</v>
      </c>
      <c r="B135" s="16"/>
      <c r="C135" s="25" t="s">
        <v>862</v>
      </c>
      <c r="D135" s="38">
        <v>74</v>
      </c>
      <c r="E135" s="13"/>
      <c r="F135" s="50">
        <f t="shared" si="4"/>
        <v>0</v>
      </c>
    </row>
    <row r="136" spans="1:6" s="8" customFormat="1" ht="15.75" hidden="1" x14ac:dyDescent="0.25">
      <c r="A136" s="15" t="s">
        <v>363</v>
      </c>
      <c r="B136" s="16"/>
      <c r="C136" s="25" t="s">
        <v>863</v>
      </c>
      <c r="D136" s="38">
        <f>79+33+106</f>
        <v>218</v>
      </c>
      <c r="E136" s="13"/>
      <c r="F136" s="50">
        <f t="shared" si="4"/>
        <v>0</v>
      </c>
    </row>
    <row r="137" spans="1:6" s="8" customFormat="1" ht="15.75" hidden="1" x14ac:dyDescent="0.25">
      <c r="A137" s="15" t="s">
        <v>364</v>
      </c>
      <c r="B137" s="16"/>
      <c r="C137" s="25" t="s">
        <v>864</v>
      </c>
      <c r="D137" s="38">
        <v>46</v>
      </c>
      <c r="E137" s="13"/>
      <c r="F137" s="50">
        <f t="shared" si="4"/>
        <v>0</v>
      </c>
    </row>
    <row r="138" spans="1:6" s="8" customFormat="1" ht="15.75" hidden="1" x14ac:dyDescent="0.25">
      <c r="A138" s="15" t="s">
        <v>365</v>
      </c>
      <c r="B138" s="16"/>
      <c r="C138" s="25" t="s">
        <v>865</v>
      </c>
      <c r="D138" s="38">
        <v>41</v>
      </c>
      <c r="E138" s="13"/>
      <c r="F138" s="50">
        <f t="shared" si="4"/>
        <v>0</v>
      </c>
    </row>
    <row r="139" spans="1:6" s="8" customFormat="1" ht="15.75" hidden="1" x14ac:dyDescent="0.25">
      <c r="A139" s="15" t="s">
        <v>366</v>
      </c>
      <c r="B139" s="16"/>
      <c r="C139" s="25" t="s">
        <v>866</v>
      </c>
      <c r="D139" s="38">
        <f>34+1</f>
        <v>35</v>
      </c>
      <c r="E139" s="13"/>
      <c r="F139" s="50">
        <f t="shared" si="4"/>
        <v>0</v>
      </c>
    </row>
    <row r="140" spans="1:6" s="8" customFormat="1" ht="15.75" x14ac:dyDescent="0.25">
      <c r="A140" s="15" t="s">
        <v>367</v>
      </c>
      <c r="B140" s="23" t="s">
        <v>116</v>
      </c>
      <c r="C140" s="25" t="s">
        <v>719</v>
      </c>
      <c r="D140" s="32"/>
      <c r="E140" s="51">
        <v>529</v>
      </c>
      <c r="F140" s="50">
        <f>D140*E140</f>
        <v>0</v>
      </c>
    </row>
    <row r="141" spans="1:6" s="8" customFormat="1" ht="15.75" x14ac:dyDescent="0.25">
      <c r="A141" s="15" t="s">
        <v>368</v>
      </c>
      <c r="B141" s="16">
        <v>44193</v>
      </c>
      <c r="C141" s="25" t="s">
        <v>813</v>
      </c>
      <c r="D141" s="32">
        <v>8</v>
      </c>
      <c r="E141" s="13">
        <v>1375</v>
      </c>
      <c r="F141" s="50">
        <f>D141*E141</f>
        <v>11000</v>
      </c>
    </row>
    <row r="142" spans="1:6" s="8" customFormat="1" ht="15.75" x14ac:dyDescent="0.25">
      <c r="A142" s="15" t="s">
        <v>369</v>
      </c>
      <c r="B142" s="23" t="s">
        <v>114</v>
      </c>
      <c r="C142" s="25" t="s">
        <v>642</v>
      </c>
      <c r="D142" s="32">
        <v>8</v>
      </c>
      <c r="E142" s="13">
        <v>1375</v>
      </c>
      <c r="F142" s="50">
        <f>D142*E142</f>
        <v>11000</v>
      </c>
    </row>
    <row r="143" spans="1:6" s="8" customFormat="1" ht="15.75" hidden="1" x14ac:dyDescent="0.25">
      <c r="A143" s="15" t="s">
        <v>370</v>
      </c>
      <c r="B143" s="16"/>
      <c r="C143" s="25" t="s">
        <v>833</v>
      </c>
      <c r="D143" s="32">
        <v>7</v>
      </c>
      <c r="E143" s="13"/>
      <c r="F143" s="50"/>
    </row>
    <row r="144" spans="1:6" s="8" customFormat="1" ht="15.75" x14ac:dyDescent="0.25">
      <c r="A144" s="15" t="s">
        <v>371</v>
      </c>
      <c r="B144" s="16">
        <v>44193</v>
      </c>
      <c r="C144" s="25" t="s">
        <v>643</v>
      </c>
      <c r="D144" s="32">
        <v>4</v>
      </c>
      <c r="E144" s="13">
        <v>1375</v>
      </c>
      <c r="F144" s="50">
        <f>D144*E144</f>
        <v>5500</v>
      </c>
    </row>
    <row r="145" spans="1:6" s="8" customFormat="1" ht="15.75" hidden="1" x14ac:dyDescent="0.25">
      <c r="A145" s="15" t="s">
        <v>372</v>
      </c>
      <c r="B145" s="23"/>
      <c r="C145" s="25" t="s">
        <v>816</v>
      </c>
      <c r="D145" s="32">
        <v>2</v>
      </c>
      <c r="E145" s="13"/>
      <c r="F145" s="50"/>
    </row>
    <row r="146" spans="1:6" s="8" customFormat="1" ht="15.75" hidden="1" x14ac:dyDescent="0.25">
      <c r="A146" s="15" t="s">
        <v>373</v>
      </c>
      <c r="B146" s="16"/>
      <c r="C146" s="25" t="s">
        <v>829</v>
      </c>
      <c r="D146" s="32">
        <v>2</v>
      </c>
      <c r="E146" s="13"/>
      <c r="F146" s="50"/>
    </row>
    <row r="147" spans="1:6" s="8" customFormat="1" ht="15.75" x14ac:dyDescent="0.25">
      <c r="A147" s="15" t="s">
        <v>374</v>
      </c>
      <c r="B147" s="23" t="s">
        <v>106</v>
      </c>
      <c r="C147" s="25" t="s">
        <v>635</v>
      </c>
      <c r="D147" s="32">
        <v>8</v>
      </c>
      <c r="E147" s="13">
        <v>1375</v>
      </c>
      <c r="F147" s="50">
        <f>D147*E147</f>
        <v>11000</v>
      </c>
    </row>
    <row r="148" spans="1:6" s="8" customFormat="1" ht="15.75" x14ac:dyDescent="0.25">
      <c r="A148" s="15" t="s">
        <v>375</v>
      </c>
      <c r="B148" s="23" t="s">
        <v>106</v>
      </c>
      <c r="C148" s="25" t="s">
        <v>636</v>
      </c>
      <c r="D148" s="55">
        <v>60</v>
      </c>
      <c r="E148" s="13">
        <v>1375</v>
      </c>
      <c r="F148" s="50">
        <f>D148*E148</f>
        <v>82500</v>
      </c>
    </row>
    <row r="149" spans="1:6" s="8" customFormat="1" ht="15.75" hidden="1" x14ac:dyDescent="0.25">
      <c r="A149" s="15" t="s">
        <v>376</v>
      </c>
      <c r="B149" s="16"/>
      <c r="C149" s="25" t="s">
        <v>831</v>
      </c>
      <c r="D149" s="32">
        <f>25+28</f>
        <v>53</v>
      </c>
      <c r="E149" s="13"/>
      <c r="F149" s="50"/>
    </row>
    <row r="150" spans="1:6" s="8" customFormat="1" ht="15.75" hidden="1" x14ac:dyDescent="0.25">
      <c r="A150" s="15" t="s">
        <v>377</v>
      </c>
      <c r="B150" s="16"/>
      <c r="C150" s="25" t="s">
        <v>832</v>
      </c>
      <c r="D150" s="32">
        <v>5</v>
      </c>
      <c r="E150" s="13"/>
      <c r="F150" s="50"/>
    </row>
    <row r="151" spans="1:6" s="8" customFormat="1" ht="15.75" x14ac:dyDescent="0.25">
      <c r="A151" s="15" t="s">
        <v>378</v>
      </c>
      <c r="B151" s="23" t="s">
        <v>106</v>
      </c>
      <c r="C151" s="25" t="s">
        <v>812</v>
      </c>
      <c r="D151" s="32">
        <v>3</v>
      </c>
      <c r="E151" s="13">
        <v>1180</v>
      </c>
      <c r="F151" s="50">
        <f>D151*E151</f>
        <v>3540</v>
      </c>
    </row>
    <row r="152" spans="1:6" s="8" customFormat="1" ht="15.75" x14ac:dyDescent="0.25">
      <c r="A152" s="15" t="s">
        <v>379</v>
      </c>
      <c r="B152" s="16">
        <v>44193</v>
      </c>
      <c r="C152" s="25" t="s">
        <v>637</v>
      </c>
      <c r="D152" s="55">
        <v>9</v>
      </c>
      <c r="E152" s="13">
        <v>1180</v>
      </c>
      <c r="F152" s="50">
        <f>D152*E152</f>
        <v>10620</v>
      </c>
    </row>
    <row r="153" spans="1:6" s="8" customFormat="1" ht="15.75" hidden="1" x14ac:dyDescent="0.25">
      <c r="A153" s="15" t="s">
        <v>380</v>
      </c>
      <c r="B153" s="16"/>
      <c r="C153" s="25" t="s">
        <v>834</v>
      </c>
      <c r="D153" s="32">
        <v>1</v>
      </c>
      <c r="E153" s="13"/>
      <c r="F153" s="50"/>
    </row>
    <row r="154" spans="1:6" s="8" customFormat="1" ht="15.75" x14ac:dyDescent="0.25">
      <c r="A154" s="15" t="s">
        <v>381</v>
      </c>
      <c r="B154" s="23" t="s">
        <v>106</v>
      </c>
      <c r="C154" s="25" t="s">
        <v>639</v>
      </c>
      <c r="D154" s="32">
        <v>8</v>
      </c>
      <c r="E154" s="51">
        <v>1375</v>
      </c>
      <c r="F154" s="50">
        <f t="shared" ref="F154:F166" si="5">D154*E154</f>
        <v>11000</v>
      </c>
    </row>
    <row r="155" spans="1:6" s="8" customFormat="1" ht="15.75" x14ac:dyDescent="0.25">
      <c r="A155" s="15" t="s">
        <v>382</v>
      </c>
      <c r="B155" s="16">
        <v>44193</v>
      </c>
      <c r="C155" s="25" t="s">
        <v>638</v>
      </c>
      <c r="D155" s="32">
        <v>4</v>
      </c>
      <c r="E155" s="13">
        <v>1294.3699999999999</v>
      </c>
      <c r="F155" s="50">
        <f t="shared" si="5"/>
        <v>5177.4799999999996</v>
      </c>
    </row>
    <row r="156" spans="1:6" s="8" customFormat="1" ht="15.75" x14ac:dyDescent="0.25">
      <c r="A156" s="15" t="s">
        <v>383</v>
      </c>
      <c r="B156" s="23" t="s">
        <v>114</v>
      </c>
      <c r="C156" s="25" t="s">
        <v>640</v>
      </c>
      <c r="D156" s="32">
        <v>4</v>
      </c>
      <c r="E156" s="52">
        <v>2600</v>
      </c>
      <c r="F156" s="50">
        <f t="shared" si="5"/>
        <v>10400</v>
      </c>
    </row>
    <row r="157" spans="1:6" s="8" customFormat="1" ht="15.75" x14ac:dyDescent="0.25">
      <c r="A157" s="15" t="s">
        <v>384</v>
      </c>
      <c r="B157" s="16">
        <v>44193</v>
      </c>
      <c r="C157" s="25" t="s">
        <v>830</v>
      </c>
      <c r="D157" s="32">
        <v>2</v>
      </c>
      <c r="E157" s="13">
        <v>2600</v>
      </c>
      <c r="F157" s="50">
        <f t="shared" si="5"/>
        <v>5200</v>
      </c>
    </row>
    <row r="158" spans="1:6" s="8" customFormat="1" ht="15.75" x14ac:dyDescent="0.25">
      <c r="A158" s="15" t="s">
        <v>385</v>
      </c>
      <c r="B158" s="16">
        <v>44193</v>
      </c>
      <c r="C158" s="9" t="s">
        <v>646</v>
      </c>
      <c r="D158" s="58">
        <v>46</v>
      </c>
      <c r="E158" s="13">
        <v>4.55</v>
      </c>
      <c r="F158" s="50">
        <f t="shared" si="5"/>
        <v>209.29999999999998</v>
      </c>
    </row>
    <row r="159" spans="1:6" s="8" customFormat="1" ht="15.75" x14ac:dyDescent="0.25">
      <c r="A159" s="15" t="s">
        <v>386</v>
      </c>
      <c r="B159" s="16">
        <v>44193</v>
      </c>
      <c r="C159" s="9" t="s">
        <v>647</v>
      </c>
      <c r="D159" s="58">
        <v>15</v>
      </c>
      <c r="E159" s="13">
        <v>4.55</v>
      </c>
      <c r="F159" s="50">
        <f t="shared" si="5"/>
        <v>68.25</v>
      </c>
    </row>
    <row r="160" spans="1:6" s="8" customFormat="1" ht="15.75" x14ac:dyDescent="0.25">
      <c r="A160" s="15" t="s">
        <v>387</v>
      </c>
      <c r="B160" s="16">
        <v>44193</v>
      </c>
      <c r="C160" s="26" t="s">
        <v>645</v>
      </c>
      <c r="D160" s="58">
        <v>820</v>
      </c>
      <c r="E160" s="13">
        <v>7.5</v>
      </c>
      <c r="F160" s="50">
        <f t="shared" si="5"/>
        <v>6150</v>
      </c>
    </row>
    <row r="161" spans="1:6" s="8" customFormat="1" ht="15.75" x14ac:dyDescent="0.25">
      <c r="A161" s="15" t="s">
        <v>388</v>
      </c>
      <c r="B161" s="16">
        <v>44659</v>
      </c>
      <c r="C161" s="26" t="s">
        <v>854</v>
      </c>
      <c r="D161" s="30">
        <f>30*100</f>
        <v>3000</v>
      </c>
      <c r="E161" s="13">
        <v>3.4</v>
      </c>
      <c r="F161" s="50">
        <f t="shared" si="5"/>
        <v>10200</v>
      </c>
    </row>
    <row r="162" spans="1:6" s="8" customFormat="1" ht="15.75" x14ac:dyDescent="0.25">
      <c r="A162" s="15" t="s">
        <v>389</v>
      </c>
      <c r="B162" s="16">
        <v>44453</v>
      </c>
      <c r="C162" s="9" t="s">
        <v>648</v>
      </c>
      <c r="D162" s="30">
        <v>1100</v>
      </c>
      <c r="E162" s="13">
        <v>2.59</v>
      </c>
      <c r="F162" s="50">
        <f t="shared" si="5"/>
        <v>2849</v>
      </c>
    </row>
    <row r="163" spans="1:6" s="8" customFormat="1" ht="15.75" x14ac:dyDescent="0.25">
      <c r="A163" s="15" t="s">
        <v>390</v>
      </c>
      <c r="B163" s="16">
        <v>44659</v>
      </c>
      <c r="C163" s="25" t="s">
        <v>855</v>
      </c>
      <c r="D163" s="38">
        <f>25*100</f>
        <v>2500</v>
      </c>
      <c r="E163" s="13">
        <v>4.3499999999999996</v>
      </c>
      <c r="F163" s="50">
        <f t="shared" si="5"/>
        <v>10875</v>
      </c>
    </row>
    <row r="164" spans="1:6" s="8" customFormat="1" ht="15.75" x14ac:dyDescent="0.25">
      <c r="A164" s="15" t="s">
        <v>391</v>
      </c>
      <c r="B164" s="16">
        <v>44659</v>
      </c>
      <c r="C164" s="25" t="s">
        <v>651</v>
      </c>
      <c r="D164" s="38">
        <f>60*100</f>
        <v>6000</v>
      </c>
      <c r="E164" s="13">
        <v>6.95</v>
      </c>
      <c r="F164" s="50">
        <f t="shared" si="5"/>
        <v>41700</v>
      </c>
    </row>
    <row r="165" spans="1:6" s="8" customFormat="1" ht="15.75" x14ac:dyDescent="0.25">
      <c r="A165" s="15" t="s">
        <v>392</v>
      </c>
      <c r="B165" s="16">
        <v>44659</v>
      </c>
      <c r="C165" s="25" t="s">
        <v>652</v>
      </c>
      <c r="D165" s="38">
        <f>30*100</f>
        <v>3000</v>
      </c>
      <c r="E165" s="13">
        <v>6.5</v>
      </c>
      <c r="F165" s="50">
        <f t="shared" si="5"/>
        <v>19500</v>
      </c>
    </row>
    <row r="166" spans="1:6" s="8" customFormat="1" ht="15.75" x14ac:dyDescent="0.25">
      <c r="A166" s="15" t="s">
        <v>393</v>
      </c>
      <c r="B166" s="16">
        <v>44193</v>
      </c>
      <c r="C166" s="26" t="s">
        <v>786</v>
      </c>
      <c r="D166" s="32">
        <f>4+8</f>
        <v>12</v>
      </c>
      <c r="E166" s="13">
        <v>150</v>
      </c>
      <c r="F166" s="50">
        <f t="shared" si="5"/>
        <v>1800</v>
      </c>
    </row>
    <row r="167" spans="1:6" s="8" customFormat="1" ht="15.75" hidden="1" x14ac:dyDescent="0.25">
      <c r="A167" s="15" t="s">
        <v>394</v>
      </c>
      <c r="B167" s="16"/>
      <c r="C167" s="25" t="s">
        <v>827</v>
      </c>
      <c r="D167" s="38">
        <v>2</v>
      </c>
      <c r="E167" s="13"/>
      <c r="F167" s="50"/>
    </row>
    <row r="168" spans="1:6" s="8" customFormat="1" ht="15.75" hidden="1" x14ac:dyDescent="0.25">
      <c r="A168" s="15" t="s">
        <v>395</v>
      </c>
      <c r="B168" s="16"/>
      <c r="C168" s="25" t="s">
        <v>828</v>
      </c>
      <c r="D168" s="38">
        <v>1</v>
      </c>
      <c r="E168" s="13"/>
      <c r="F168" s="50"/>
    </row>
    <row r="169" spans="1:6" s="8" customFormat="1" ht="15.75" x14ac:dyDescent="0.25">
      <c r="A169" s="15" t="s">
        <v>396</v>
      </c>
      <c r="B169" s="16">
        <v>44193</v>
      </c>
      <c r="C169" s="25" t="s">
        <v>653</v>
      </c>
      <c r="D169" s="38">
        <v>50</v>
      </c>
      <c r="E169" s="13">
        <v>575</v>
      </c>
      <c r="F169" s="50">
        <f t="shared" ref="F169:F199" si="6">D169*E169</f>
        <v>28750</v>
      </c>
    </row>
    <row r="170" spans="1:6" s="8" customFormat="1" ht="15.75" x14ac:dyDescent="0.25">
      <c r="A170" s="15" t="s">
        <v>397</v>
      </c>
      <c r="B170" s="16">
        <v>44193</v>
      </c>
      <c r="C170" s="26" t="s">
        <v>655</v>
      </c>
      <c r="D170" s="32">
        <v>20</v>
      </c>
      <c r="E170" s="13">
        <v>25</v>
      </c>
      <c r="F170" s="50">
        <f t="shared" si="6"/>
        <v>500</v>
      </c>
    </row>
    <row r="171" spans="1:6" s="8" customFormat="1" ht="15.75" x14ac:dyDescent="0.25">
      <c r="A171" s="15" t="s">
        <v>398</v>
      </c>
      <c r="B171" s="16">
        <v>44193</v>
      </c>
      <c r="C171" s="9" t="s">
        <v>656</v>
      </c>
      <c r="D171" s="32">
        <v>15</v>
      </c>
      <c r="E171" s="13">
        <v>275</v>
      </c>
      <c r="F171" s="50">
        <f t="shared" si="6"/>
        <v>4125</v>
      </c>
    </row>
    <row r="172" spans="1:6" s="8" customFormat="1" ht="15.75" x14ac:dyDescent="0.25">
      <c r="A172" s="15" t="s">
        <v>399</v>
      </c>
      <c r="B172" s="16">
        <v>44193</v>
      </c>
      <c r="C172" s="9" t="s">
        <v>658</v>
      </c>
      <c r="D172" s="30">
        <v>2</v>
      </c>
      <c r="E172" s="13">
        <v>50</v>
      </c>
      <c r="F172" s="50">
        <f t="shared" si="6"/>
        <v>100</v>
      </c>
    </row>
    <row r="173" spans="1:6" s="8" customFormat="1" ht="15.75" x14ac:dyDescent="0.25">
      <c r="A173" s="15" t="s">
        <v>400</v>
      </c>
      <c r="B173" s="16">
        <v>44193</v>
      </c>
      <c r="C173" s="9" t="s">
        <v>657</v>
      </c>
      <c r="D173" s="30">
        <f>20+9</f>
        <v>29</v>
      </c>
      <c r="E173" s="13">
        <v>50</v>
      </c>
      <c r="F173" s="50">
        <f t="shared" si="6"/>
        <v>1450</v>
      </c>
    </row>
    <row r="174" spans="1:6" s="8" customFormat="1" ht="15.75" x14ac:dyDescent="0.25">
      <c r="A174" s="15" t="s">
        <v>401</v>
      </c>
      <c r="B174" s="16">
        <v>44193</v>
      </c>
      <c r="C174" s="26" t="s">
        <v>660</v>
      </c>
      <c r="D174" s="30">
        <v>35</v>
      </c>
      <c r="E174" s="13">
        <v>7</v>
      </c>
      <c r="F174" s="50">
        <f t="shared" si="6"/>
        <v>245</v>
      </c>
    </row>
    <row r="175" spans="1:6" s="8" customFormat="1" ht="15.75" x14ac:dyDescent="0.25">
      <c r="A175" s="15" t="s">
        <v>402</v>
      </c>
      <c r="B175" s="16">
        <v>44193</v>
      </c>
      <c r="C175" s="26" t="s">
        <v>659</v>
      </c>
      <c r="D175" s="30">
        <v>34</v>
      </c>
      <c r="E175" s="13">
        <v>125</v>
      </c>
      <c r="F175" s="50">
        <f t="shared" si="6"/>
        <v>4250</v>
      </c>
    </row>
    <row r="176" spans="1:6" s="8" customFormat="1" ht="15.75" x14ac:dyDescent="0.25">
      <c r="A176" s="15" t="s">
        <v>403</v>
      </c>
      <c r="B176" s="16">
        <v>44193</v>
      </c>
      <c r="C176" s="26" t="s">
        <v>661</v>
      </c>
      <c r="D176" s="30">
        <v>106</v>
      </c>
      <c r="E176" s="13">
        <v>7</v>
      </c>
      <c r="F176" s="50">
        <f t="shared" si="6"/>
        <v>742</v>
      </c>
    </row>
    <row r="177" spans="1:6" s="8" customFormat="1" ht="15.75" x14ac:dyDescent="0.25">
      <c r="A177" s="15" t="s">
        <v>404</v>
      </c>
      <c r="B177" s="16">
        <v>44456</v>
      </c>
      <c r="C177" s="26" t="s">
        <v>662</v>
      </c>
      <c r="D177" s="30">
        <v>27</v>
      </c>
      <c r="E177" s="13">
        <v>7</v>
      </c>
      <c r="F177" s="50">
        <f t="shared" si="6"/>
        <v>189</v>
      </c>
    </row>
    <row r="178" spans="1:6" s="8" customFormat="1" ht="15.75" x14ac:dyDescent="0.25">
      <c r="A178" s="15" t="s">
        <v>405</v>
      </c>
      <c r="B178" s="16">
        <v>44193</v>
      </c>
      <c r="C178" s="26" t="s">
        <v>800</v>
      </c>
      <c r="D178" s="32">
        <f>6+6</f>
        <v>12</v>
      </c>
      <c r="E178" s="13">
        <v>135</v>
      </c>
      <c r="F178" s="50">
        <f t="shared" si="6"/>
        <v>1620</v>
      </c>
    </row>
    <row r="179" spans="1:6" s="8" customFormat="1" ht="15.75" x14ac:dyDescent="0.25">
      <c r="A179" s="15" t="s">
        <v>406</v>
      </c>
      <c r="B179" s="16">
        <v>44193</v>
      </c>
      <c r="C179" s="26" t="s">
        <v>663</v>
      </c>
      <c r="D179" s="55">
        <v>42</v>
      </c>
      <c r="E179" s="13">
        <v>115</v>
      </c>
      <c r="F179" s="50">
        <f t="shared" si="6"/>
        <v>4830</v>
      </c>
    </row>
    <row r="180" spans="1:6" s="8" customFormat="1" ht="15.75" x14ac:dyDescent="0.25">
      <c r="A180" s="15" t="s">
        <v>407</v>
      </c>
      <c r="B180" s="16">
        <v>44656</v>
      </c>
      <c r="C180" s="26" t="s">
        <v>768</v>
      </c>
      <c r="D180" s="32">
        <v>104</v>
      </c>
      <c r="E180" s="13">
        <v>636.6</v>
      </c>
      <c r="F180" s="50">
        <f t="shared" si="6"/>
        <v>66206.400000000009</v>
      </c>
    </row>
    <row r="181" spans="1:6" s="8" customFormat="1" ht="15.75" x14ac:dyDescent="0.25">
      <c r="A181" s="15" t="s">
        <v>408</v>
      </c>
      <c r="B181" s="16">
        <v>44656</v>
      </c>
      <c r="C181" s="25" t="s">
        <v>769</v>
      </c>
      <c r="D181" s="32">
        <v>74</v>
      </c>
      <c r="E181" s="13">
        <v>115.48</v>
      </c>
      <c r="F181" s="50">
        <f t="shared" si="6"/>
        <v>8545.52</v>
      </c>
    </row>
    <row r="182" spans="1:6" s="8" customFormat="1" ht="15.75" x14ac:dyDescent="0.25">
      <c r="A182" s="15" t="s">
        <v>409</v>
      </c>
      <c r="B182" s="16">
        <v>44193</v>
      </c>
      <c r="C182" s="25" t="s">
        <v>796</v>
      </c>
      <c r="D182" s="38">
        <v>3</v>
      </c>
      <c r="E182" s="13">
        <v>352</v>
      </c>
      <c r="F182" s="50">
        <f t="shared" si="6"/>
        <v>1056</v>
      </c>
    </row>
    <row r="183" spans="1:6" s="8" customFormat="1" ht="15.75" x14ac:dyDescent="0.25">
      <c r="A183" s="15" t="s">
        <v>410</v>
      </c>
      <c r="B183" s="16">
        <v>44193</v>
      </c>
      <c r="C183" s="25" t="s">
        <v>670</v>
      </c>
      <c r="D183" s="55">
        <f>38+19</f>
        <v>57</v>
      </c>
      <c r="E183" s="13">
        <v>67.8</v>
      </c>
      <c r="F183" s="50">
        <f t="shared" si="6"/>
        <v>3864.6</v>
      </c>
    </row>
    <row r="184" spans="1:6" s="8" customFormat="1" ht="15.75" x14ac:dyDescent="0.25">
      <c r="A184" s="15" t="s">
        <v>411</v>
      </c>
      <c r="B184" s="16">
        <v>44193</v>
      </c>
      <c r="C184" s="25" t="s">
        <v>671</v>
      </c>
      <c r="D184" s="55">
        <f>19+19</f>
        <v>38</v>
      </c>
      <c r="E184" s="13">
        <v>67.8</v>
      </c>
      <c r="F184" s="50">
        <f t="shared" si="6"/>
        <v>2576.4</v>
      </c>
    </row>
    <row r="185" spans="1:6" s="8" customFormat="1" ht="15.75" x14ac:dyDescent="0.25">
      <c r="A185" s="15" t="s">
        <v>412</v>
      </c>
      <c r="B185" s="16">
        <v>44193</v>
      </c>
      <c r="C185" s="25" t="s">
        <v>669</v>
      </c>
      <c r="D185" s="32">
        <v>0</v>
      </c>
      <c r="E185" s="13">
        <v>67.8</v>
      </c>
      <c r="F185" s="50">
        <f t="shared" si="6"/>
        <v>0</v>
      </c>
    </row>
    <row r="186" spans="1:6" s="8" customFormat="1" ht="15.75" x14ac:dyDescent="0.25">
      <c r="A186" s="15" t="s">
        <v>413</v>
      </c>
      <c r="B186" s="16">
        <v>44193</v>
      </c>
      <c r="C186" s="9" t="s">
        <v>672</v>
      </c>
      <c r="D186" s="55">
        <v>50</v>
      </c>
      <c r="E186" s="13">
        <v>170.69</v>
      </c>
      <c r="F186" s="50">
        <f t="shared" si="6"/>
        <v>8534.5</v>
      </c>
    </row>
    <row r="187" spans="1:6" s="8" customFormat="1" ht="15.75" x14ac:dyDescent="0.25">
      <c r="A187" s="15" t="s">
        <v>414</v>
      </c>
      <c r="B187" s="16">
        <v>44193</v>
      </c>
      <c r="C187" s="9" t="s">
        <v>673</v>
      </c>
      <c r="D187" s="55">
        <v>1040</v>
      </c>
      <c r="E187" s="13">
        <v>170.69</v>
      </c>
      <c r="F187" s="50">
        <f t="shared" si="6"/>
        <v>177517.6</v>
      </c>
    </row>
    <row r="188" spans="1:6" s="8" customFormat="1" ht="15.75" x14ac:dyDescent="0.25">
      <c r="A188" s="15" t="s">
        <v>415</v>
      </c>
      <c r="B188" s="16">
        <v>44193</v>
      </c>
      <c r="C188" s="9" t="s">
        <v>674</v>
      </c>
      <c r="D188" s="56">
        <v>1</v>
      </c>
      <c r="E188" s="13">
        <v>170.69</v>
      </c>
      <c r="F188" s="50">
        <f t="shared" si="6"/>
        <v>170.69</v>
      </c>
    </row>
    <row r="189" spans="1:6" s="8" customFormat="1" ht="15.75" x14ac:dyDescent="0.25">
      <c r="A189" s="15" t="s">
        <v>416</v>
      </c>
      <c r="B189" s="16">
        <v>44193</v>
      </c>
      <c r="C189" s="9" t="s">
        <v>675</v>
      </c>
      <c r="D189" s="30">
        <v>300</v>
      </c>
      <c r="E189" s="13">
        <v>6.5</v>
      </c>
      <c r="F189" s="50">
        <f t="shared" si="6"/>
        <v>1950</v>
      </c>
    </row>
    <row r="190" spans="1:6" s="8" customFormat="1" ht="15.75" x14ac:dyDescent="0.25">
      <c r="A190" s="15" t="s">
        <v>417</v>
      </c>
      <c r="B190" s="16">
        <v>44193</v>
      </c>
      <c r="C190" s="9" t="s">
        <v>676</v>
      </c>
      <c r="D190" s="30">
        <v>2</v>
      </c>
      <c r="E190" s="13">
        <v>3.5</v>
      </c>
      <c r="F190" s="50">
        <f t="shared" si="6"/>
        <v>7</v>
      </c>
    </row>
    <row r="191" spans="1:6" s="8" customFormat="1" ht="15.75" x14ac:dyDescent="0.25">
      <c r="A191" s="15" t="s">
        <v>418</v>
      </c>
      <c r="B191" s="16">
        <v>44193</v>
      </c>
      <c r="C191" s="26" t="s">
        <v>678</v>
      </c>
      <c r="D191" s="30">
        <v>5</v>
      </c>
      <c r="E191" s="13">
        <v>5000</v>
      </c>
      <c r="F191" s="50">
        <f t="shared" si="6"/>
        <v>25000</v>
      </c>
    </row>
    <row r="192" spans="1:6" s="8" customFormat="1" ht="15.75" x14ac:dyDescent="0.25">
      <c r="A192" s="15" t="s">
        <v>419</v>
      </c>
      <c r="B192" s="16">
        <v>44193</v>
      </c>
      <c r="C192" s="26" t="s">
        <v>677</v>
      </c>
      <c r="D192" s="30">
        <v>2</v>
      </c>
      <c r="E192" s="13">
        <v>10800</v>
      </c>
      <c r="F192" s="50">
        <f t="shared" si="6"/>
        <v>21600</v>
      </c>
    </row>
    <row r="193" spans="1:6" s="8" customFormat="1" ht="15.75" x14ac:dyDescent="0.25">
      <c r="A193" s="15" t="s">
        <v>420</v>
      </c>
      <c r="B193" s="16">
        <v>44193</v>
      </c>
      <c r="C193" s="9" t="s">
        <v>679</v>
      </c>
      <c r="D193" s="38">
        <v>29</v>
      </c>
      <c r="E193" s="13">
        <v>33</v>
      </c>
      <c r="F193" s="50">
        <f t="shared" si="6"/>
        <v>957</v>
      </c>
    </row>
    <row r="194" spans="1:6" s="8" customFormat="1" ht="15.75" x14ac:dyDescent="0.25">
      <c r="A194" s="15" t="s">
        <v>421</v>
      </c>
      <c r="B194" s="16">
        <v>44193</v>
      </c>
      <c r="C194" s="9" t="s">
        <v>779</v>
      </c>
      <c r="D194" s="30">
        <v>8</v>
      </c>
      <c r="E194" s="13">
        <v>15</v>
      </c>
      <c r="F194" s="50">
        <f t="shared" si="6"/>
        <v>120</v>
      </c>
    </row>
    <row r="195" spans="1:6" s="8" customFormat="1" ht="15.75" x14ac:dyDescent="0.25">
      <c r="A195" s="15" t="s">
        <v>422</v>
      </c>
      <c r="B195" s="16">
        <v>44547</v>
      </c>
      <c r="C195" s="9" t="s">
        <v>777</v>
      </c>
      <c r="D195" s="30">
        <v>27</v>
      </c>
      <c r="E195" s="13">
        <v>8.34</v>
      </c>
      <c r="F195" s="50">
        <f t="shared" si="6"/>
        <v>225.18</v>
      </c>
    </row>
    <row r="196" spans="1:6" s="8" customFormat="1" ht="15.75" x14ac:dyDescent="0.25">
      <c r="A196" s="15" t="s">
        <v>423</v>
      </c>
      <c r="B196" s="16">
        <v>44193</v>
      </c>
      <c r="C196" s="9" t="s">
        <v>778</v>
      </c>
      <c r="D196" s="30">
        <v>12</v>
      </c>
      <c r="E196" s="13">
        <v>8.34</v>
      </c>
      <c r="F196" s="50">
        <f t="shared" si="6"/>
        <v>100.08</v>
      </c>
    </row>
    <row r="197" spans="1:6" s="8" customFormat="1" ht="15.75" x14ac:dyDescent="0.25">
      <c r="A197" s="15" t="s">
        <v>424</v>
      </c>
      <c r="B197" s="16">
        <v>44193</v>
      </c>
      <c r="C197" s="9" t="s">
        <v>681</v>
      </c>
      <c r="D197" s="30">
        <v>139</v>
      </c>
      <c r="E197" s="13">
        <v>5.6</v>
      </c>
      <c r="F197" s="50">
        <f t="shared" si="6"/>
        <v>778.4</v>
      </c>
    </row>
    <row r="198" spans="1:6" s="8" customFormat="1" ht="15.75" x14ac:dyDescent="0.25">
      <c r="A198" s="15" t="s">
        <v>425</v>
      </c>
      <c r="B198" s="16">
        <v>44193</v>
      </c>
      <c r="C198" s="9" t="s">
        <v>684</v>
      </c>
      <c r="D198" s="30">
        <v>79</v>
      </c>
      <c r="E198" s="13">
        <v>160</v>
      </c>
      <c r="F198" s="50">
        <f t="shared" si="6"/>
        <v>12640</v>
      </c>
    </row>
    <row r="199" spans="1:6" s="8" customFormat="1" ht="15.75" x14ac:dyDescent="0.25">
      <c r="A199" s="15" t="s">
        <v>426</v>
      </c>
      <c r="B199" s="16">
        <v>44193</v>
      </c>
      <c r="C199" s="9" t="s">
        <v>787</v>
      </c>
      <c r="D199" s="30">
        <v>11</v>
      </c>
      <c r="E199" s="13">
        <v>35</v>
      </c>
      <c r="F199" s="50">
        <f t="shared" si="6"/>
        <v>385</v>
      </c>
    </row>
    <row r="200" spans="1:6" s="8" customFormat="1" ht="15.75" hidden="1" x14ac:dyDescent="0.25">
      <c r="A200" s="15" t="s">
        <v>427</v>
      </c>
      <c r="B200" s="16"/>
      <c r="C200" s="25" t="s">
        <v>782</v>
      </c>
      <c r="D200" s="38">
        <v>38</v>
      </c>
      <c r="E200" s="13"/>
      <c r="F200" s="50"/>
    </row>
    <row r="201" spans="1:6" s="8" customFormat="1" ht="15.75" x14ac:dyDescent="0.25">
      <c r="A201" s="15" t="s">
        <v>428</v>
      </c>
      <c r="B201" s="23" t="s">
        <v>106</v>
      </c>
      <c r="C201" s="9" t="s">
        <v>780</v>
      </c>
      <c r="D201" s="30">
        <v>2</v>
      </c>
      <c r="E201" s="51">
        <v>325</v>
      </c>
      <c r="F201" s="50">
        <f>D201*E201</f>
        <v>650</v>
      </c>
    </row>
    <row r="202" spans="1:6" s="8" customFormat="1" ht="15.75" hidden="1" x14ac:dyDescent="0.25">
      <c r="A202" s="15" t="s">
        <v>429</v>
      </c>
      <c r="B202" s="16"/>
      <c r="C202" s="25" t="s">
        <v>783</v>
      </c>
      <c r="D202" s="38">
        <v>15</v>
      </c>
      <c r="E202" s="13"/>
      <c r="F202" s="50"/>
    </row>
    <row r="203" spans="1:6" s="8" customFormat="1" ht="15.75" x14ac:dyDescent="0.25">
      <c r="A203" s="15" t="s">
        <v>430</v>
      </c>
      <c r="B203" s="16">
        <v>44193</v>
      </c>
      <c r="C203" s="9" t="s">
        <v>687</v>
      </c>
      <c r="D203" s="32">
        <v>2</v>
      </c>
      <c r="E203" s="13">
        <v>175</v>
      </c>
      <c r="F203" s="50">
        <f t="shared" ref="F203:F261" si="7">D203*E203</f>
        <v>350</v>
      </c>
    </row>
    <row r="204" spans="1:6" s="8" customFormat="1" ht="15.75" x14ac:dyDescent="0.25">
      <c r="A204" s="15" t="s">
        <v>431</v>
      </c>
      <c r="B204" s="16">
        <v>44193</v>
      </c>
      <c r="C204" s="26" t="s">
        <v>695</v>
      </c>
      <c r="D204" s="38">
        <v>1</v>
      </c>
      <c r="E204" s="13">
        <v>270.55</v>
      </c>
      <c r="F204" s="50">
        <f t="shared" si="7"/>
        <v>270.55</v>
      </c>
    </row>
    <row r="205" spans="1:6" s="8" customFormat="1" ht="15.75" x14ac:dyDescent="0.25">
      <c r="A205" s="15" t="s">
        <v>432</v>
      </c>
      <c r="B205" s="16">
        <v>44193</v>
      </c>
      <c r="C205" s="25" t="s">
        <v>688</v>
      </c>
      <c r="D205" s="58">
        <v>3</v>
      </c>
      <c r="E205" s="13">
        <v>79.8</v>
      </c>
      <c r="F205" s="50">
        <f t="shared" si="7"/>
        <v>239.39999999999998</v>
      </c>
    </row>
    <row r="206" spans="1:6" s="8" customFormat="1" ht="15.75" x14ac:dyDescent="0.25">
      <c r="A206" s="15" t="s">
        <v>433</v>
      </c>
      <c r="B206" s="16">
        <v>44193</v>
      </c>
      <c r="C206" s="25" t="s">
        <v>689</v>
      </c>
      <c r="D206" s="55">
        <v>7</v>
      </c>
      <c r="E206" s="13">
        <v>79.8</v>
      </c>
      <c r="F206" s="50">
        <f t="shared" si="7"/>
        <v>558.6</v>
      </c>
    </row>
    <row r="207" spans="1:6" s="8" customFormat="1" ht="15.75" x14ac:dyDescent="0.25">
      <c r="A207" s="15" t="s">
        <v>434</v>
      </c>
      <c r="B207" s="16">
        <v>44193</v>
      </c>
      <c r="C207" s="25" t="s">
        <v>690</v>
      </c>
      <c r="D207" s="57">
        <v>7</v>
      </c>
      <c r="E207" s="13">
        <v>62.93</v>
      </c>
      <c r="F207" s="50">
        <f t="shared" si="7"/>
        <v>440.51</v>
      </c>
    </row>
    <row r="208" spans="1:6" s="8" customFormat="1" ht="15.75" x14ac:dyDescent="0.25">
      <c r="A208" s="15" t="s">
        <v>435</v>
      </c>
      <c r="B208" s="16">
        <v>44193</v>
      </c>
      <c r="C208" s="26" t="s">
        <v>691</v>
      </c>
      <c r="D208" s="57">
        <v>21</v>
      </c>
      <c r="E208" s="13">
        <v>165</v>
      </c>
      <c r="F208" s="50">
        <f t="shared" si="7"/>
        <v>3465</v>
      </c>
    </row>
    <row r="209" spans="1:6" s="8" customFormat="1" ht="15.75" x14ac:dyDescent="0.25">
      <c r="A209" s="15" t="s">
        <v>436</v>
      </c>
      <c r="B209" s="16">
        <v>44193</v>
      </c>
      <c r="C209" s="26" t="s">
        <v>791</v>
      </c>
      <c r="D209" s="38">
        <v>18</v>
      </c>
      <c r="E209" s="13">
        <v>52</v>
      </c>
      <c r="F209" s="50">
        <f t="shared" si="7"/>
        <v>936</v>
      </c>
    </row>
    <row r="210" spans="1:6" s="8" customFormat="1" ht="15.75" x14ac:dyDescent="0.25">
      <c r="A210" s="15" t="s">
        <v>437</v>
      </c>
      <c r="B210" s="16">
        <v>44193</v>
      </c>
      <c r="C210" s="26" t="s">
        <v>790</v>
      </c>
      <c r="D210" s="38">
        <v>11</v>
      </c>
      <c r="E210" s="13">
        <v>79.8</v>
      </c>
      <c r="F210" s="50">
        <f t="shared" si="7"/>
        <v>877.8</v>
      </c>
    </row>
    <row r="211" spans="1:6" s="8" customFormat="1" ht="15.75" x14ac:dyDescent="0.25">
      <c r="A211" s="15" t="s">
        <v>438</v>
      </c>
      <c r="B211" s="16">
        <v>44193</v>
      </c>
      <c r="C211" s="26" t="s">
        <v>693</v>
      </c>
      <c r="D211" s="38">
        <v>1</v>
      </c>
      <c r="E211" s="13">
        <v>2075</v>
      </c>
      <c r="F211" s="50">
        <f t="shared" si="7"/>
        <v>2075</v>
      </c>
    </row>
    <row r="212" spans="1:6" s="8" customFormat="1" ht="15.75" x14ac:dyDescent="0.25">
      <c r="A212" s="15" t="s">
        <v>439</v>
      </c>
      <c r="B212" s="16">
        <v>44193</v>
      </c>
      <c r="C212" s="26" t="s">
        <v>692</v>
      </c>
      <c r="D212" s="57">
        <v>18</v>
      </c>
      <c r="E212" s="13">
        <v>165</v>
      </c>
      <c r="F212" s="50">
        <f t="shared" si="7"/>
        <v>2970</v>
      </c>
    </row>
    <row r="213" spans="1:6" s="8" customFormat="1" ht="15.75" x14ac:dyDescent="0.25">
      <c r="A213" s="15" t="s">
        <v>440</v>
      </c>
      <c r="B213" s="16">
        <v>44193</v>
      </c>
      <c r="C213" s="26" t="s">
        <v>697</v>
      </c>
      <c r="D213" s="38">
        <v>20</v>
      </c>
      <c r="E213" s="13">
        <v>79.8</v>
      </c>
      <c r="F213" s="50">
        <f t="shared" si="7"/>
        <v>1596</v>
      </c>
    </row>
    <row r="214" spans="1:6" s="8" customFormat="1" ht="15.75" x14ac:dyDescent="0.25">
      <c r="A214" s="15" t="s">
        <v>441</v>
      </c>
      <c r="B214" s="16">
        <v>44193</v>
      </c>
      <c r="C214" s="26" t="s">
        <v>696</v>
      </c>
      <c r="D214" s="38">
        <v>9</v>
      </c>
      <c r="E214" s="13">
        <v>79.8</v>
      </c>
      <c r="F214" s="50">
        <f t="shared" si="7"/>
        <v>718.19999999999993</v>
      </c>
    </row>
    <row r="215" spans="1:6" s="8" customFormat="1" ht="15.75" x14ac:dyDescent="0.25">
      <c r="A215" s="15" t="s">
        <v>442</v>
      </c>
      <c r="B215" s="16"/>
      <c r="C215" s="26" t="s">
        <v>808</v>
      </c>
      <c r="D215" s="38">
        <v>9</v>
      </c>
      <c r="E215" s="13">
        <v>352</v>
      </c>
      <c r="F215" s="50">
        <f t="shared" si="7"/>
        <v>3168</v>
      </c>
    </row>
    <row r="216" spans="1:6" s="8" customFormat="1" ht="15.75" x14ac:dyDescent="0.25">
      <c r="A216" s="15" t="s">
        <v>443</v>
      </c>
      <c r="B216" s="16">
        <v>44456</v>
      </c>
      <c r="C216" s="26" t="s">
        <v>698</v>
      </c>
      <c r="D216" s="38">
        <v>3</v>
      </c>
      <c r="E216" s="13">
        <v>600</v>
      </c>
      <c r="F216" s="50">
        <f t="shared" si="7"/>
        <v>1800</v>
      </c>
    </row>
    <row r="217" spans="1:6" s="8" customFormat="1" ht="15.75" x14ac:dyDescent="0.25">
      <c r="A217" s="15" t="s">
        <v>444</v>
      </c>
      <c r="B217" s="16">
        <v>44193</v>
      </c>
      <c r="C217" s="26" t="s">
        <v>699</v>
      </c>
      <c r="D217" s="38">
        <v>15</v>
      </c>
      <c r="E217" s="13">
        <v>140</v>
      </c>
      <c r="F217" s="50">
        <f t="shared" si="7"/>
        <v>2100</v>
      </c>
    </row>
    <row r="218" spans="1:6" s="8" customFormat="1" ht="15.75" x14ac:dyDescent="0.25">
      <c r="A218" s="15" t="s">
        <v>445</v>
      </c>
      <c r="B218" s="16">
        <v>44193</v>
      </c>
      <c r="C218" s="9" t="s">
        <v>706</v>
      </c>
      <c r="D218" s="48">
        <v>1</v>
      </c>
      <c r="E218" s="13">
        <v>5250</v>
      </c>
      <c r="F218" s="50">
        <f t="shared" si="7"/>
        <v>5250</v>
      </c>
    </row>
    <row r="219" spans="1:6" s="8" customFormat="1" ht="15.75" x14ac:dyDescent="0.25">
      <c r="A219" s="15" t="s">
        <v>446</v>
      </c>
      <c r="B219" s="16">
        <v>44193</v>
      </c>
      <c r="C219" s="9" t="s">
        <v>700</v>
      </c>
      <c r="D219" s="48">
        <f>9+12+12+24</f>
        <v>57</v>
      </c>
      <c r="E219" s="13">
        <v>12.93</v>
      </c>
      <c r="F219" s="50">
        <f t="shared" si="7"/>
        <v>737.01</v>
      </c>
    </row>
    <row r="220" spans="1:6" s="8" customFormat="1" ht="15.75" x14ac:dyDescent="0.25">
      <c r="A220" s="15" t="s">
        <v>447</v>
      </c>
      <c r="B220" s="16">
        <v>44193</v>
      </c>
      <c r="C220" s="9" t="s">
        <v>701</v>
      </c>
      <c r="D220" s="48">
        <f>16+12+12</f>
        <v>40</v>
      </c>
      <c r="E220" s="13">
        <v>14.37</v>
      </c>
      <c r="F220" s="50">
        <f t="shared" si="7"/>
        <v>574.79999999999995</v>
      </c>
    </row>
    <row r="221" spans="1:6" s="8" customFormat="1" ht="15.75" x14ac:dyDescent="0.25">
      <c r="A221" s="15" t="s">
        <v>448</v>
      </c>
      <c r="B221" s="16">
        <v>44193</v>
      </c>
      <c r="C221" s="9" t="s">
        <v>702</v>
      </c>
      <c r="D221" s="48">
        <v>6</v>
      </c>
      <c r="E221" s="13">
        <v>35</v>
      </c>
      <c r="F221" s="50">
        <f t="shared" si="7"/>
        <v>210</v>
      </c>
    </row>
    <row r="222" spans="1:6" s="8" customFormat="1" ht="15.75" x14ac:dyDescent="0.25">
      <c r="A222" s="15" t="s">
        <v>449</v>
      </c>
      <c r="B222" s="16">
        <v>44193</v>
      </c>
      <c r="C222" s="9" t="s">
        <v>703</v>
      </c>
      <c r="D222" s="48"/>
      <c r="E222" s="13">
        <v>30</v>
      </c>
      <c r="F222" s="50">
        <f t="shared" si="7"/>
        <v>0</v>
      </c>
    </row>
    <row r="223" spans="1:6" s="8" customFormat="1" ht="15.75" x14ac:dyDescent="0.25">
      <c r="A223" s="15" t="s">
        <v>450</v>
      </c>
      <c r="B223" s="16">
        <v>44193</v>
      </c>
      <c r="C223" s="9" t="s">
        <v>704</v>
      </c>
      <c r="D223" s="48">
        <v>1300</v>
      </c>
      <c r="E223" s="13">
        <v>2.6</v>
      </c>
      <c r="F223" s="50">
        <f t="shared" si="7"/>
        <v>3380</v>
      </c>
    </row>
    <row r="224" spans="1:6" s="8" customFormat="1" ht="15.75" x14ac:dyDescent="0.25">
      <c r="A224" s="15" t="s">
        <v>451</v>
      </c>
      <c r="B224" s="16">
        <v>44193</v>
      </c>
      <c r="C224" s="9" t="s">
        <v>705</v>
      </c>
      <c r="D224" s="48">
        <v>1</v>
      </c>
      <c r="E224" s="13">
        <v>728.81</v>
      </c>
      <c r="F224" s="50">
        <f t="shared" si="7"/>
        <v>728.81</v>
      </c>
    </row>
    <row r="225" spans="1:6" s="8" customFormat="1" ht="15.75" x14ac:dyDescent="0.25">
      <c r="A225" s="15" t="s">
        <v>452</v>
      </c>
      <c r="B225" s="16">
        <v>44193</v>
      </c>
      <c r="C225" s="9" t="s">
        <v>709</v>
      </c>
      <c r="D225" s="58">
        <v>2</v>
      </c>
      <c r="E225" s="13">
        <v>350</v>
      </c>
      <c r="F225" s="50">
        <f t="shared" si="7"/>
        <v>700</v>
      </c>
    </row>
    <row r="226" spans="1:6" s="8" customFormat="1" ht="15.75" x14ac:dyDescent="0.25">
      <c r="A226" s="15" t="s">
        <v>453</v>
      </c>
      <c r="B226" s="16">
        <v>44193</v>
      </c>
      <c r="C226" s="9" t="s">
        <v>707</v>
      </c>
      <c r="D226" s="48">
        <v>5</v>
      </c>
      <c r="E226" s="13">
        <v>595</v>
      </c>
      <c r="F226" s="50">
        <f t="shared" si="7"/>
        <v>2975</v>
      </c>
    </row>
    <row r="227" spans="1:6" s="8" customFormat="1" ht="15.75" x14ac:dyDescent="0.25">
      <c r="A227" s="15" t="s">
        <v>454</v>
      </c>
      <c r="B227" s="16">
        <v>44193</v>
      </c>
      <c r="C227" s="9" t="s">
        <v>868</v>
      </c>
      <c r="D227" s="48">
        <v>2</v>
      </c>
      <c r="E227" s="13">
        <v>300</v>
      </c>
      <c r="F227" s="50">
        <f t="shared" si="7"/>
        <v>600</v>
      </c>
    </row>
    <row r="228" spans="1:6" s="8" customFormat="1" ht="15.75" x14ac:dyDescent="0.25">
      <c r="A228" s="15" t="s">
        <v>455</v>
      </c>
      <c r="B228" s="16">
        <v>44193</v>
      </c>
      <c r="C228" s="26" t="s">
        <v>710</v>
      </c>
      <c r="D228" s="32">
        <v>0</v>
      </c>
      <c r="E228" s="13">
        <v>3950</v>
      </c>
      <c r="F228" s="50">
        <f t="shared" si="7"/>
        <v>0</v>
      </c>
    </row>
    <row r="229" spans="1:6" s="8" customFormat="1" ht="15.75" x14ac:dyDescent="0.25">
      <c r="A229" s="15" t="s">
        <v>456</v>
      </c>
      <c r="B229" s="23" t="s">
        <v>108</v>
      </c>
      <c r="C229" s="26" t="s">
        <v>714</v>
      </c>
      <c r="D229" s="55">
        <v>6</v>
      </c>
      <c r="E229" s="51">
        <v>11000</v>
      </c>
      <c r="F229" s="50">
        <f t="shared" si="7"/>
        <v>66000</v>
      </c>
    </row>
    <row r="230" spans="1:6" s="8" customFormat="1" ht="15.75" x14ac:dyDescent="0.25">
      <c r="A230" s="15" t="s">
        <v>457</v>
      </c>
      <c r="B230" s="16">
        <v>44652</v>
      </c>
      <c r="C230" s="26" t="s">
        <v>856</v>
      </c>
      <c r="D230" s="38">
        <v>5</v>
      </c>
      <c r="E230" s="59">
        <v>1700</v>
      </c>
      <c r="F230" s="50">
        <f t="shared" si="7"/>
        <v>8500</v>
      </c>
    </row>
    <row r="231" spans="1:6" s="8" customFormat="1" ht="15.75" x14ac:dyDescent="0.25">
      <c r="A231" s="15" t="s">
        <v>458</v>
      </c>
      <c r="B231" s="16">
        <v>44193</v>
      </c>
      <c r="C231" s="26" t="s">
        <v>712</v>
      </c>
      <c r="D231" s="32">
        <v>0</v>
      </c>
      <c r="E231" s="13">
        <v>148.31</v>
      </c>
      <c r="F231" s="50">
        <f t="shared" si="7"/>
        <v>0</v>
      </c>
    </row>
    <row r="232" spans="1:6" s="8" customFormat="1" ht="15.75" x14ac:dyDescent="0.25">
      <c r="A232" s="15" t="s">
        <v>459</v>
      </c>
      <c r="B232" s="16">
        <v>44193</v>
      </c>
      <c r="C232" s="26" t="s">
        <v>713</v>
      </c>
      <c r="D232" s="32">
        <v>0</v>
      </c>
      <c r="E232" s="13">
        <v>122.88</v>
      </c>
      <c r="F232" s="50">
        <f t="shared" si="7"/>
        <v>0</v>
      </c>
    </row>
    <row r="233" spans="1:6" s="8" customFormat="1" ht="15.75" x14ac:dyDescent="0.25">
      <c r="A233" s="15" t="s">
        <v>460</v>
      </c>
      <c r="B233" s="16">
        <v>44193</v>
      </c>
      <c r="C233" s="26" t="s">
        <v>847</v>
      </c>
      <c r="D233" s="32">
        <v>0</v>
      </c>
      <c r="E233" s="13">
        <v>0</v>
      </c>
      <c r="F233" s="50">
        <f t="shared" si="7"/>
        <v>0</v>
      </c>
    </row>
    <row r="234" spans="1:6" s="8" customFormat="1" ht="15.75" x14ac:dyDescent="0.25">
      <c r="A234" s="15" t="s">
        <v>461</v>
      </c>
      <c r="B234" s="16">
        <v>44193</v>
      </c>
      <c r="C234" s="26" t="s">
        <v>711</v>
      </c>
      <c r="D234" s="32">
        <v>0</v>
      </c>
      <c r="E234" s="13">
        <v>237.29</v>
      </c>
      <c r="F234" s="50">
        <f t="shared" si="7"/>
        <v>0</v>
      </c>
    </row>
    <row r="235" spans="1:6" s="8" customFormat="1" ht="15.75" x14ac:dyDescent="0.25">
      <c r="A235" s="15" t="s">
        <v>462</v>
      </c>
      <c r="B235" s="16">
        <v>44193</v>
      </c>
      <c r="C235" s="25" t="s">
        <v>716</v>
      </c>
      <c r="D235" s="32">
        <v>0</v>
      </c>
      <c r="E235" s="51">
        <v>82</v>
      </c>
      <c r="F235" s="50">
        <f t="shared" si="7"/>
        <v>0</v>
      </c>
    </row>
    <row r="236" spans="1:6" s="8" customFormat="1" ht="15.75" x14ac:dyDescent="0.25">
      <c r="A236" s="15" t="s">
        <v>463</v>
      </c>
      <c r="B236" s="16">
        <v>44193</v>
      </c>
      <c r="C236" s="25" t="s">
        <v>717</v>
      </c>
      <c r="D236" s="32">
        <v>0</v>
      </c>
      <c r="E236" s="51">
        <v>14.29</v>
      </c>
      <c r="F236" s="50">
        <f t="shared" si="7"/>
        <v>0</v>
      </c>
    </row>
    <row r="237" spans="1:6" s="8" customFormat="1" ht="15.75" x14ac:dyDescent="0.25">
      <c r="A237" s="15" t="s">
        <v>464</v>
      </c>
      <c r="B237" s="23" t="s">
        <v>770</v>
      </c>
      <c r="C237" s="25" t="s">
        <v>715</v>
      </c>
      <c r="D237" s="32">
        <v>6</v>
      </c>
      <c r="E237" s="51">
        <v>82</v>
      </c>
      <c r="F237" s="50">
        <f t="shared" si="7"/>
        <v>492</v>
      </c>
    </row>
    <row r="238" spans="1:6" s="8" customFormat="1" ht="15.75" x14ac:dyDescent="0.25">
      <c r="A238" s="15" t="s">
        <v>465</v>
      </c>
      <c r="B238" s="23" t="s">
        <v>108</v>
      </c>
      <c r="C238" s="25" t="s">
        <v>718</v>
      </c>
      <c r="D238" s="32">
        <v>0</v>
      </c>
      <c r="E238" s="51">
        <v>6375</v>
      </c>
      <c r="F238" s="50">
        <f t="shared" si="7"/>
        <v>0</v>
      </c>
    </row>
    <row r="239" spans="1:6" s="8" customFormat="1" ht="15.75" x14ac:dyDescent="0.25">
      <c r="A239" s="15" t="s">
        <v>466</v>
      </c>
      <c r="B239" s="16">
        <v>44193</v>
      </c>
      <c r="C239" s="9" t="s">
        <v>781</v>
      </c>
      <c r="D239" s="48">
        <v>2</v>
      </c>
      <c r="E239" s="13">
        <v>725</v>
      </c>
      <c r="F239" s="50">
        <f t="shared" si="7"/>
        <v>1450</v>
      </c>
    </row>
    <row r="240" spans="1:6" s="8" customFormat="1" ht="15.75" x14ac:dyDescent="0.25">
      <c r="A240" s="15" t="s">
        <v>467</v>
      </c>
      <c r="B240" s="16">
        <v>44193</v>
      </c>
      <c r="C240" s="9" t="s">
        <v>721</v>
      </c>
      <c r="D240" s="30">
        <v>40</v>
      </c>
      <c r="E240" s="13">
        <v>230</v>
      </c>
      <c r="F240" s="50">
        <f t="shared" si="7"/>
        <v>9200</v>
      </c>
    </row>
    <row r="241" spans="1:6" s="8" customFormat="1" ht="15.75" x14ac:dyDescent="0.25">
      <c r="A241" s="15" t="s">
        <v>468</v>
      </c>
      <c r="B241" s="16">
        <v>44193</v>
      </c>
      <c r="C241" s="9" t="s">
        <v>722</v>
      </c>
      <c r="D241" s="48">
        <v>100</v>
      </c>
      <c r="E241" s="13">
        <v>2.25</v>
      </c>
      <c r="F241" s="50">
        <f t="shared" si="7"/>
        <v>225</v>
      </c>
    </row>
    <row r="242" spans="1:6" ht="15.75" customHeight="1" x14ac:dyDescent="0.25">
      <c r="A242" s="15" t="s">
        <v>469</v>
      </c>
      <c r="B242" s="16">
        <v>44193</v>
      </c>
      <c r="C242" s="9" t="s">
        <v>724</v>
      </c>
      <c r="D242" s="48">
        <v>7</v>
      </c>
      <c r="E242" s="13">
        <v>250</v>
      </c>
      <c r="F242" s="50">
        <f t="shared" si="7"/>
        <v>1750</v>
      </c>
    </row>
    <row r="243" spans="1:6" s="2" customFormat="1" ht="60.75" hidden="1" customHeight="1" x14ac:dyDescent="0.25">
      <c r="A243" s="15" t="s">
        <v>470</v>
      </c>
      <c r="B243" s="16">
        <v>44193</v>
      </c>
      <c r="C243" s="9" t="s">
        <v>725</v>
      </c>
      <c r="D243" s="48">
        <v>61</v>
      </c>
      <c r="E243" s="13">
        <v>30</v>
      </c>
      <c r="F243" s="50">
        <f t="shared" si="7"/>
        <v>1830</v>
      </c>
    </row>
    <row r="244" spans="1:6" ht="15.75" x14ac:dyDescent="0.25">
      <c r="A244" s="15" t="s">
        <v>471</v>
      </c>
      <c r="B244" s="16">
        <v>44193</v>
      </c>
      <c r="C244" s="9" t="s">
        <v>726</v>
      </c>
      <c r="D244" s="58">
        <v>7</v>
      </c>
      <c r="E244" s="13">
        <v>120</v>
      </c>
      <c r="F244" s="50">
        <f t="shared" si="7"/>
        <v>840</v>
      </c>
    </row>
    <row r="245" spans="1:6" ht="23.25" customHeight="1" x14ac:dyDescent="0.25">
      <c r="A245" s="15" t="s">
        <v>472</v>
      </c>
      <c r="B245" s="16">
        <v>44652</v>
      </c>
      <c r="C245" s="9" t="s">
        <v>727</v>
      </c>
      <c r="D245" s="14">
        <v>190</v>
      </c>
      <c r="E245" s="13">
        <v>560</v>
      </c>
      <c r="F245" s="50">
        <f t="shared" si="7"/>
        <v>106400</v>
      </c>
    </row>
    <row r="246" spans="1:6" ht="15.75" x14ac:dyDescent="0.25">
      <c r="A246" s="15" t="s">
        <v>473</v>
      </c>
      <c r="B246" s="23" t="s">
        <v>112</v>
      </c>
      <c r="C246" s="26" t="s">
        <v>752</v>
      </c>
      <c r="D246" s="38">
        <v>3</v>
      </c>
      <c r="E246" s="13">
        <v>135</v>
      </c>
      <c r="F246" s="50">
        <f t="shared" si="7"/>
        <v>405</v>
      </c>
    </row>
    <row r="247" spans="1:6" ht="23.25" customHeight="1" x14ac:dyDescent="0.25">
      <c r="A247" s="15" t="s">
        <v>507</v>
      </c>
      <c r="B247" s="16">
        <v>44193</v>
      </c>
      <c r="C247" s="9" t="s">
        <v>728</v>
      </c>
      <c r="D247" s="30">
        <v>0</v>
      </c>
      <c r="E247" s="13">
        <v>62.5</v>
      </c>
      <c r="F247" s="50">
        <f t="shared" si="7"/>
        <v>0</v>
      </c>
    </row>
    <row r="248" spans="1:6" ht="15.75" x14ac:dyDescent="0.25">
      <c r="A248" s="15" t="s">
        <v>508</v>
      </c>
      <c r="B248" s="16">
        <v>44193</v>
      </c>
      <c r="C248" s="9" t="s">
        <v>729</v>
      </c>
      <c r="D248" s="30">
        <v>226</v>
      </c>
      <c r="E248" s="13">
        <v>22.2</v>
      </c>
      <c r="F248" s="50">
        <f t="shared" si="7"/>
        <v>5017.2</v>
      </c>
    </row>
    <row r="249" spans="1:6" ht="15.75" x14ac:dyDescent="0.25">
      <c r="A249" s="15" t="s">
        <v>509</v>
      </c>
      <c r="B249" s="16">
        <v>44193</v>
      </c>
      <c r="C249" s="9" t="s">
        <v>730</v>
      </c>
      <c r="D249" s="30">
        <v>2</v>
      </c>
      <c r="E249" s="13">
        <v>375</v>
      </c>
      <c r="F249" s="50">
        <f t="shared" si="7"/>
        <v>750</v>
      </c>
    </row>
    <row r="250" spans="1:6" ht="15.75" x14ac:dyDescent="0.25">
      <c r="A250" s="15" t="s">
        <v>869</v>
      </c>
      <c r="B250" s="16">
        <v>44193</v>
      </c>
      <c r="C250" s="25" t="s">
        <v>825</v>
      </c>
      <c r="D250" s="38">
        <v>11</v>
      </c>
      <c r="E250" s="13">
        <v>301</v>
      </c>
      <c r="F250" s="50">
        <f t="shared" si="7"/>
        <v>3311</v>
      </c>
    </row>
    <row r="251" spans="1:6" ht="15.75" x14ac:dyDescent="0.25">
      <c r="A251" s="15" t="s">
        <v>512</v>
      </c>
      <c r="B251" s="23" t="s">
        <v>106</v>
      </c>
      <c r="C251" s="25" t="s">
        <v>731</v>
      </c>
      <c r="D251" s="30">
        <v>0</v>
      </c>
      <c r="E251" s="51">
        <v>171.6</v>
      </c>
      <c r="F251" s="50">
        <f t="shared" si="7"/>
        <v>0</v>
      </c>
    </row>
    <row r="252" spans="1:6" ht="15.75" x14ac:dyDescent="0.25">
      <c r="A252" s="15" t="s">
        <v>870</v>
      </c>
      <c r="B252" s="16">
        <v>44193</v>
      </c>
      <c r="C252" s="9" t="s">
        <v>732</v>
      </c>
      <c r="D252" s="30">
        <v>12</v>
      </c>
      <c r="E252" s="13">
        <v>65</v>
      </c>
      <c r="F252" s="50">
        <f t="shared" si="7"/>
        <v>780</v>
      </c>
    </row>
    <row r="253" spans="1:6" ht="15.75" x14ac:dyDescent="0.25">
      <c r="A253" s="15" t="s">
        <v>513</v>
      </c>
      <c r="B253" s="16">
        <v>44678</v>
      </c>
      <c r="C253" s="25" t="s">
        <v>853</v>
      </c>
      <c r="D253" s="56">
        <v>16</v>
      </c>
      <c r="E253" s="13">
        <v>3000</v>
      </c>
      <c r="F253" s="50">
        <f t="shared" si="7"/>
        <v>48000</v>
      </c>
    </row>
    <row r="254" spans="1:6" ht="15.75" x14ac:dyDescent="0.25">
      <c r="A254" s="15" t="s">
        <v>514</v>
      </c>
      <c r="B254" s="16">
        <v>44193</v>
      </c>
      <c r="C254" s="25" t="s">
        <v>734</v>
      </c>
      <c r="D254" s="38">
        <v>0</v>
      </c>
      <c r="E254" s="13">
        <v>1500</v>
      </c>
      <c r="F254" s="50">
        <f t="shared" si="7"/>
        <v>0</v>
      </c>
    </row>
    <row r="255" spans="1:6" ht="15.75" x14ac:dyDescent="0.25">
      <c r="A255" s="15" t="s">
        <v>871</v>
      </c>
      <c r="B255" s="16">
        <v>44678</v>
      </c>
      <c r="C255" s="25" t="s">
        <v>852</v>
      </c>
      <c r="D255" s="57">
        <v>11</v>
      </c>
      <c r="E255" s="13">
        <v>1500</v>
      </c>
      <c r="F255" s="50">
        <f t="shared" si="7"/>
        <v>16500</v>
      </c>
    </row>
    <row r="256" spans="1:6" ht="15.75" x14ac:dyDescent="0.25">
      <c r="A256" s="15" t="s">
        <v>872</v>
      </c>
      <c r="B256" s="16">
        <v>44678</v>
      </c>
      <c r="C256" s="25" t="s">
        <v>735</v>
      </c>
      <c r="D256" s="57">
        <v>3</v>
      </c>
      <c r="E256" s="13">
        <v>3800</v>
      </c>
      <c r="F256" s="50">
        <f t="shared" si="7"/>
        <v>11400</v>
      </c>
    </row>
    <row r="257" spans="1:6" ht="15.75" x14ac:dyDescent="0.25">
      <c r="A257" s="15" t="s">
        <v>515</v>
      </c>
      <c r="B257" s="16">
        <v>44678</v>
      </c>
      <c r="C257" s="25" t="s">
        <v>737</v>
      </c>
      <c r="D257" s="57">
        <v>2</v>
      </c>
      <c r="E257" s="13">
        <v>1500</v>
      </c>
      <c r="F257" s="50">
        <f t="shared" si="7"/>
        <v>3000</v>
      </c>
    </row>
    <row r="258" spans="1:6" ht="15.75" x14ac:dyDescent="0.25">
      <c r="A258" s="15" t="s">
        <v>516</v>
      </c>
      <c r="B258" s="16">
        <v>44678</v>
      </c>
      <c r="C258" s="25" t="s">
        <v>736</v>
      </c>
      <c r="D258" s="57">
        <v>2</v>
      </c>
      <c r="E258" s="13">
        <v>3800</v>
      </c>
      <c r="F258" s="50">
        <f t="shared" si="7"/>
        <v>7600</v>
      </c>
    </row>
    <row r="259" spans="1:6" ht="15.75" x14ac:dyDescent="0.25">
      <c r="A259" s="15" t="s">
        <v>517</v>
      </c>
      <c r="B259" s="16">
        <v>44678</v>
      </c>
      <c r="C259" s="25" t="s">
        <v>738</v>
      </c>
      <c r="D259" s="57">
        <v>4</v>
      </c>
      <c r="E259" s="13">
        <v>3800</v>
      </c>
      <c r="F259" s="50">
        <f t="shared" si="7"/>
        <v>15200</v>
      </c>
    </row>
    <row r="260" spans="1:6" ht="15.75" x14ac:dyDescent="0.25">
      <c r="A260" s="15" t="s">
        <v>518</v>
      </c>
      <c r="B260" s="16">
        <v>44678</v>
      </c>
      <c r="C260" s="26" t="s">
        <v>751</v>
      </c>
      <c r="D260" s="57">
        <v>16</v>
      </c>
      <c r="E260" s="13">
        <v>3000</v>
      </c>
      <c r="F260" s="50">
        <f t="shared" si="7"/>
        <v>48000</v>
      </c>
    </row>
    <row r="261" spans="1:6" ht="15.75" x14ac:dyDescent="0.25">
      <c r="A261" s="15" t="s">
        <v>519</v>
      </c>
      <c r="B261" s="16">
        <v>44678</v>
      </c>
      <c r="C261" s="25" t="s">
        <v>845</v>
      </c>
      <c r="D261" s="38">
        <v>2</v>
      </c>
      <c r="E261" s="13">
        <v>200</v>
      </c>
      <c r="F261" s="50">
        <f t="shared" si="7"/>
        <v>400</v>
      </c>
    </row>
    <row r="262" spans="1:6" ht="15.75" x14ac:dyDescent="0.25">
      <c r="A262" s="15" t="s">
        <v>520</v>
      </c>
      <c r="B262" s="16">
        <v>44193</v>
      </c>
      <c r="C262" s="9" t="s">
        <v>740</v>
      </c>
      <c r="D262" s="30">
        <v>3</v>
      </c>
      <c r="E262" s="13">
        <v>75</v>
      </c>
      <c r="F262" s="50">
        <f>D262*E262</f>
        <v>225</v>
      </c>
    </row>
    <row r="263" spans="1:6" ht="15.75" x14ac:dyDescent="0.25">
      <c r="A263" s="15" t="s">
        <v>521</v>
      </c>
      <c r="B263" s="16">
        <v>44193</v>
      </c>
      <c r="C263" s="9" t="s">
        <v>739</v>
      </c>
      <c r="D263" s="30">
        <v>300</v>
      </c>
      <c r="E263" s="13">
        <v>29</v>
      </c>
      <c r="F263" s="50">
        <f>D263*E263</f>
        <v>8700</v>
      </c>
    </row>
    <row r="264" spans="1:6" ht="15.75" x14ac:dyDescent="0.25">
      <c r="A264" s="15" t="s">
        <v>522</v>
      </c>
      <c r="B264" s="16">
        <v>44193</v>
      </c>
      <c r="C264" s="25" t="s">
        <v>826</v>
      </c>
      <c r="D264" s="38">
        <v>16</v>
      </c>
      <c r="E264" s="13">
        <v>143</v>
      </c>
      <c r="F264" s="50">
        <f>D264*E264</f>
        <v>2288</v>
      </c>
    </row>
    <row r="265" spans="1:6" ht="15.75" x14ac:dyDescent="0.25">
      <c r="A265" s="15" t="s">
        <v>523</v>
      </c>
      <c r="B265" s="16">
        <v>44193</v>
      </c>
      <c r="C265" s="9" t="s">
        <v>741</v>
      </c>
      <c r="D265" s="56">
        <v>112</v>
      </c>
      <c r="E265" s="13">
        <v>8.5</v>
      </c>
      <c r="F265" s="50">
        <f t="shared" ref="F265:F272" si="8">D265*E265</f>
        <v>952</v>
      </c>
    </row>
    <row r="266" spans="1:6" ht="15.75" x14ac:dyDescent="0.25">
      <c r="A266" s="15" t="s">
        <v>524</v>
      </c>
      <c r="B266" s="16">
        <v>44193</v>
      </c>
      <c r="C266" s="9" t="s">
        <v>742</v>
      </c>
      <c r="D266" s="56">
        <v>24</v>
      </c>
      <c r="E266" s="13">
        <v>12</v>
      </c>
      <c r="F266" s="50">
        <f t="shared" si="8"/>
        <v>288</v>
      </c>
    </row>
    <row r="267" spans="1:6" ht="15.75" x14ac:dyDescent="0.25">
      <c r="A267" s="15" t="s">
        <v>525</v>
      </c>
      <c r="B267" s="16">
        <v>44193</v>
      </c>
      <c r="C267" s="9" t="s">
        <v>743</v>
      </c>
      <c r="D267" s="30">
        <v>34</v>
      </c>
      <c r="E267" s="13">
        <v>8</v>
      </c>
      <c r="F267" s="50">
        <f t="shared" si="8"/>
        <v>272</v>
      </c>
    </row>
    <row r="268" spans="1:6" ht="15.75" x14ac:dyDescent="0.25">
      <c r="A268" s="15" t="s">
        <v>526</v>
      </c>
      <c r="B268" s="16">
        <v>44193</v>
      </c>
      <c r="C268" s="9" t="s">
        <v>744</v>
      </c>
      <c r="D268" s="30">
        <v>1</v>
      </c>
      <c r="E268" s="13">
        <v>150</v>
      </c>
      <c r="F268" s="50">
        <f t="shared" si="8"/>
        <v>150</v>
      </c>
    </row>
    <row r="269" spans="1:6" ht="15.75" x14ac:dyDescent="0.25">
      <c r="A269" s="15" t="s">
        <v>527</v>
      </c>
      <c r="B269" s="16">
        <v>44193</v>
      </c>
      <c r="C269" s="9" t="s">
        <v>745</v>
      </c>
      <c r="D269" s="30">
        <v>1</v>
      </c>
      <c r="E269" s="13">
        <v>211.86</v>
      </c>
      <c r="F269" s="50">
        <f t="shared" si="8"/>
        <v>211.86</v>
      </c>
    </row>
    <row r="270" spans="1:6" ht="15.75" x14ac:dyDescent="0.25">
      <c r="A270" s="15" t="s">
        <v>528</v>
      </c>
      <c r="B270" s="23" t="s">
        <v>105</v>
      </c>
      <c r="C270" s="9" t="s">
        <v>747</v>
      </c>
      <c r="D270" s="30">
        <f>90+44</f>
        <v>134</v>
      </c>
      <c r="E270" s="13">
        <v>25.42</v>
      </c>
      <c r="F270" s="50">
        <f t="shared" si="8"/>
        <v>3406.28</v>
      </c>
    </row>
    <row r="271" spans="1:6" ht="15.75" x14ac:dyDescent="0.25">
      <c r="A271" s="15" t="s">
        <v>529</v>
      </c>
      <c r="B271" s="16">
        <v>44193</v>
      </c>
      <c r="C271" s="9" t="s">
        <v>748</v>
      </c>
      <c r="D271" s="30">
        <v>31</v>
      </c>
      <c r="E271" s="13">
        <v>50</v>
      </c>
      <c r="F271" s="50">
        <f t="shared" si="8"/>
        <v>1550</v>
      </c>
    </row>
    <row r="272" spans="1:6" ht="15.75" x14ac:dyDescent="0.25">
      <c r="A272" s="15" t="s">
        <v>873</v>
      </c>
      <c r="B272" s="16">
        <v>44193</v>
      </c>
      <c r="C272" s="25" t="s">
        <v>785</v>
      </c>
      <c r="D272" s="38">
        <v>4</v>
      </c>
      <c r="E272" s="13">
        <v>45</v>
      </c>
      <c r="F272" s="50">
        <f t="shared" si="8"/>
        <v>180</v>
      </c>
    </row>
    <row r="273" spans="1:6" ht="15.75" x14ac:dyDescent="0.25">
      <c r="A273" s="15" t="s">
        <v>874</v>
      </c>
      <c r="B273" s="23" t="s">
        <v>105</v>
      </c>
      <c r="C273" s="9" t="s">
        <v>746</v>
      </c>
      <c r="D273" s="30">
        <v>7</v>
      </c>
      <c r="E273" s="51">
        <v>48</v>
      </c>
      <c r="F273" s="50">
        <f>D273*E273</f>
        <v>336</v>
      </c>
    </row>
    <row r="274" spans="1:6" ht="15.75" hidden="1" x14ac:dyDescent="0.25">
      <c r="A274" s="15" t="s">
        <v>875</v>
      </c>
      <c r="B274" s="16"/>
      <c r="C274" s="25" t="s">
        <v>815</v>
      </c>
      <c r="D274" s="38">
        <v>6</v>
      </c>
      <c r="E274" s="13"/>
      <c r="F274" s="50"/>
    </row>
    <row r="275" spans="1:6" ht="15.75" x14ac:dyDescent="0.25">
      <c r="A275" s="15" t="s">
        <v>876</v>
      </c>
      <c r="B275" s="16">
        <v>44193</v>
      </c>
      <c r="C275" s="26" t="s">
        <v>750</v>
      </c>
      <c r="D275" s="38">
        <v>20</v>
      </c>
      <c r="E275" s="13">
        <v>1449.14</v>
      </c>
      <c r="F275" s="50">
        <f t="shared" ref="F275:F287" si="9">D275*E275</f>
        <v>28982.800000000003</v>
      </c>
    </row>
    <row r="276" spans="1:6" ht="15.75" x14ac:dyDescent="0.25">
      <c r="A276" s="15" t="s">
        <v>877</v>
      </c>
      <c r="B276" s="16">
        <v>44193</v>
      </c>
      <c r="C276" s="26" t="s">
        <v>771</v>
      </c>
      <c r="D276" s="38">
        <v>3</v>
      </c>
      <c r="E276" s="13">
        <v>289</v>
      </c>
      <c r="F276" s="50">
        <f t="shared" si="9"/>
        <v>867</v>
      </c>
    </row>
    <row r="277" spans="1:6" ht="15.75" x14ac:dyDescent="0.25">
      <c r="A277" s="15" t="s">
        <v>878</v>
      </c>
      <c r="B277" s="16">
        <v>44193</v>
      </c>
      <c r="C277" s="26" t="s">
        <v>754</v>
      </c>
      <c r="D277" s="38">
        <v>7</v>
      </c>
      <c r="E277" s="13">
        <v>38</v>
      </c>
      <c r="F277" s="50">
        <f t="shared" si="9"/>
        <v>266</v>
      </c>
    </row>
    <row r="278" spans="1:6" ht="15.75" x14ac:dyDescent="0.25">
      <c r="A278" s="15" t="s">
        <v>879</v>
      </c>
      <c r="B278" s="60" t="s">
        <v>105</v>
      </c>
      <c r="C278" s="26" t="s">
        <v>753</v>
      </c>
      <c r="D278" s="38">
        <v>12</v>
      </c>
      <c r="E278" s="13">
        <v>38</v>
      </c>
      <c r="F278" s="50">
        <f t="shared" si="9"/>
        <v>456</v>
      </c>
    </row>
    <row r="279" spans="1:6" ht="15.75" x14ac:dyDescent="0.25">
      <c r="A279" s="15" t="s">
        <v>880</v>
      </c>
      <c r="B279" s="53">
        <v>44193</v>
      </c>
      <c r="C279" s="26" t="s">
        <v>757</v>
      </c>
      <c r="D279" s="38">
        <v>1</v>
      </c>
      <c r="E279" s="13">
        <v>38</v>
      </c>
      <c r="F279" s="50">
        <f t="shared" si="9"/>
        <v>38</v>
      </c>
    </row>
    <row r="280" spans="1:6" ht="15.75" x14ac:dyDescent="0.25">
      <c r="A280" s="15" t="s">
        <v>881</v>
      </c>
      <c r="B280" s="53">
        <v>44193</v>
      </c>
      <c r="C280" s="26" t="s">
        <v>760</v>
      </c>
      <c r="D280" s="38">
        <v>1</v>
      </c>
      <c r="E280" s="13">
        <v>41</v>
      </c>
      <c r="F280" s="50">
        <f t="shared" si="9"/>
        <v>41</v>
      </c>
    </row>
    <row r="281" spans="1:6" ht="15.75" x14ac:dyDescent="0.25">
      <c r="A281" s="15" t="s">
        <v>882</v>
      </c>
      <c r="B281" s="53">
        <v>44193</v>
      </c>
      <c r="C281" s="26" t="s">
        <v>758</v>
      </c>
      <c r="D281" s="38">
        <v>1</v>
      </c>
      <c r="E281" s="13">
        <v>38</v>
      </c>
      <c r="F281" s="50">
        <f t="shared" si="9"/>
        <v>38</v>
      </c>
    </row>
    <row r="282" spans="1:6" ht="15.75" x14ac:dyDescent="0.25">
      <c r="A282" s="15" t="s">
        <v>883</v>
      </c>
      <c r="B282" s="53">
        <v>44193</v>
      </c>
      <c r="C282" s="26" t="s">
        <v>759</v>
      </c>
      <c r="D282" s="38">
        <v>1</v>
      </c>
      <c r="E282" s="13">
        <v>38</v>
      </c>
      <c r="F282" s="50">
        <f t="shared" si="9"/>
        <v>38</v>
      </c>
    </row>
    <row r="283" spans="1:6" ht="15.75" x14ac:dyDescent="0.25">
      <c r="A283" s="15" t="s">
        <v>884</v>
      </c>
      <c r="B283" s="60" t="s">
        <v>105</v>
      </c>
      <c r="C283" s="26" t="s">
        <v>755</v>
      </c>
      <c r="D283" s="38">
        <v>1</v>
      </c>
      <c r="E283" s="13">
        <v>38</v>
      </c>
      <c r="F283" s="50">
        <f t="shared" si="9"/>
        <v>38</v>
      </c>
    </row>
    <row r="284" spans="1:6" ht="15.75" x14ac:dyDescent="0.25">
      <c r="A284" s="15" t="s">
        <v>885</v>
      </c>
      <c r="B284" s="53">
        <v>44193</v>
      </c>
      <c r="C284" s="26" t="s">
        <v>756</v>
      </c>
      <c r="D284" s="38">
        <v>1</v>
      </c>
      <c r="E284" s="13">
        <v>38</v>
      </c>
      <c r="F284" s="50">
        <f t="shared" si="9"/>
        <v>38</v>
      </c>
    </row>
    <row r="285" spans="1:6" ht="15.75" x14ac:dyDescent="0.25">
      <c r="A285" s="15" t="s">
        <v>886</v>
      </c>
      <c r="B285" s="53">
        <v>44193</v>
      </c>
      <c r="C285" s="26" t="s">
        <v>762</v>
      </c>
      <c r="D285" s="38">
        <v>7</v>
      </c>
      <c r="E285" s="13">
        <v>537</v>
      </c>
      <c r="F285" s="50">
        <f t="shared" si="9"/>
        <v>3759</v>
      </c>
    </row>
    <row r="286" spans="1:6" ht="15.75" x14ac:dyDescent="0.25">
      <c r="A286" s="15" t="s">
        <v>887</v>
      </c>
      <c r="B286" s="53">
        <v>44193</v>
      </c>
      <c r="C286" s="26" t="s">
        <v>761</v>
      </c>
      <c r="D286" s="38">
        <v>3</v>
      </c>
      <c r="E286" s="13">
        <v>537</v>
      </c>
      <c r="F286" s="50">
        <f t="shared" si="9"/>
        <v>1611</v>
      </c>
    </row>
    <row r="287" spans="1:6" ht="15.75" x14ac:dyDescent="0.25">
      <c r="A287" s="15" t="s">
        <v>888</v>
      </c>
      <c r="B287" s="53">
        <v>44193</v>
      </c>
      <c r="C287" s="9" t="s">
        <v>763</v>
      </c>
      <c r="D287" s="30">
        <v>13</v>
      </c>
      <c r="E287" s="13">
        <v>13.87</v>
      </c>
      <c r="F287" s="50">
        <f t="shared" si="9"/>
        <v>180.31</v>
      </c>
    </row>
    <row r="288" spans="1:6" ht="15.75" hidden="1" x14ac:dyDescent="0.25">
      <c r="A288" s="15" t="s">
        <v>889</v>
      </c>
      <c r="B288" s="53"/>
      <c r="C288" s="25" t="s">
        <v>814</v>
      </c>
      <c r="D288" s="38">
        <v>5</v>
      </c>
      <c r="E288" s="13"/>
      <c r="F288" s="50"/>
    </row>
    <row r="289" spans="1:6" ht="15.75" hidden="1" x14ac:dyDescent="0.25">
      <c r="A289" s="15" t="s">
        <v>890</v>
      </c>
      <c r="B289" s="53"/>
      <c r="C289" s="25" t="s">
        <v>805</v>
      </c>
      <c r="D289" s="38">
        <v>9</v>
      </c>
      <c r="E289" s="13"/>
      <c r="F289" s="50"/>
    </row>
    <row r="290" spans="1:6" ht="15.75" hidden="1" x14ac:dyDescent="0.25">
      <c r="A290" s="15" t="s">
        <v>891</v>
      </c>
      <c r="B290" s="53"/>
      <c r="C290" s="25" t="s">
        <v>784</v>
      </c>
      <c r="D290" s="38">
        <v>29</v>
      </c>
      <c r="E290" s="13"/>
      <c r="F290" s="50"/>
    </row>
    <row r="291" spans="1:6" ht="15.75" x14ac:dyDescent="0.25">
      <c r="A291" s="15" t="s">
        <v>892</v>
      </c>
      <c r="B291" s="53">
        <v>44729</v>
      </c>
      <c r="C291" s="25" t="s">
        <v>860</v>
      </c>
      <c r="D291" s="38">
        <v>12</v>
      </c>
      <c r="E291" s="13">
        <v>19650</v>
      </c>
      <c r="F291" s="50">
        <f>+D291*E291</f>
        <v>235800</v>
      </c>
    </row>
    <row r="292" spans="1:6" ht="15.75" x14ac:dyDescent="0.25">
      <c r="A292" s="15" t="s">
        <v>893</v>
      </c>
      <c r="B292" s="53">
        <v>44652</v>
      </c>
      <c r="C292" s="25" t="s">
        <v>859</v>
      </c>
      <c r="D292" s="38">
        <f>11+6+12+11</f>
        <v>40</v>
      </c>
      <c r="E292" s="13">
        <v>159</v>
      </c>
      <c r="F292" s="50">
        <f>+D292*E292</f>
        <v>6360</v>
      </c>
    </row>
    <row r="293" spans="1:6" ht="15.75" x14ac:dyDescent="0.25">
      <c r="A293" s="15" t="s">
        <v>894</v>
      </c>
      <c r="B293" s="53">
        <v>44652</v>
      </c>
      <c r="C293" s="25" t="s">
        <v>858</v>
      </c>
      <c r="D293" s="38">
        <v>11</v>
      </c>
      <c r="E293" s="13"/>
      <c r="F293" s="50">
        <f>+D293*E293</f>
        <v>0</v>
      </c>
    </row>
    <row r="294" spans="1:6" ht="15.75" x14ac:dyDescent="0.25">
      <c r="A294" s="15" t="s">
        <v>895</v>
      </c>
      <c r="B294" s="53">
        <v>44652</v>
      </c>
      <c r="C294" s="66" t="s">
        <v>920</v>
      </c>
      <c r="D294" s="54">
        <f>9+11+7</f>
        <v>27</v>
      </c>
      <c r="E294" s="13">
        <v>145</v>
      </c>
      <c r="F294" s="50">
        <f>+D294*E294</f>
        <v>3915</v>
      </c>
    </row>
    <row r="295" spans="1:6" ht="15.75" hidden="1" x14ac:dyDescent="0.25">
      <c r="A295" s="15" t="s">
        <v>896</v>
      </c>
      <c r="B295" s="53"/>
      <c r="C295" s="25" t="s">
        <v>795</v>
      </c>
      <c r="D295" s="38">
        <v>29</v>
      </c>
      <c r="E295" s="13">
        <v>29.35</v>
      </c>
      <c r="F295" s="50">
        <f t="shared" ref="F295:F311" si="10">+D295*E295</f>
        <v>851.15000000000009</v>
      </c>
    </row>
    <row r="296" spans="1:6" ht="15.75" hidden="1" x14ac:dyDescent="0.25">
      <c r="A296" s="15" t="s">
        <v>897</v>
      </c>
      <c r="B296" s="53"/>
      <c r="C296" s="25" t="s">
        <v>843</v>
      </c>
      <c r="D296" s="38">
        <v>8</v>
      </c>
      <c r="E296" s="13"/>
      <c r="F296" s="50">
        <f t="shared" si="10"/>
        <v>0</v>
      </c>
    </row>
    <row r="297" spans="1:6" ht="15.75" hidden="1" x14ac:dyDescent="0.25">
      <c r="A297" s="15" t="s">
        <v>898</v>
      </c>
      <c r="B297" s="53"/>
      <c r="C297" s="25" t="s">
        <v>793</v>
      </c>
      <c r="D297" s="38">
        <f>3+1</f>
        <v>4</v>
      </c>
      <c r="E297" s="13"/>
      <c r="F297" s="50">
        <f t="shared" si="10"/>
        <v>0</v>
      </c>
    </row>
    <row r="298" spans="1:6" ht="15.75" hidden="1" x14ac:dyDescent="0.25">
      <c r="A298" s="15" t="s">
        <v>899</v>
      </c>
      <c r="B298" s="53"/>
      <c r="C298" s="25" t="s">
        <v>842</v>
      </c>
      <c r="D298" s="38">
        <v>2</v>
      </c>
      <c r="E298" s="13"/>
      <c r="F298" s="50">
        <f t="shared" si="10"/>
        <v>0</v>
      </c>
    </row>
    <row r="299" spans="1:6" ht="15.75" x14ac:dyDescent="0.25">
      <c r="A299" s="15" t="s">
        <v>900</v>
      </c>
      <c r="B299" s="53">
        <v>44193</v>
      </c>
      <c r="C299" s="25" t="s">
        <v>841</v>
      </c>
      <c r="D299" s="38">
        <v>1</v>
      </c>
      <c r="E299" s="13">
        <v>18.86</v>
      </c>
      <c r="F299" s="50">
        <f t="shared" si="10"/>
        <v>18.86</v>
      </c>
    </row>
    <row r="300" spans="1:6" ht="15.75" hidden="1" x14ac:dyDescent="0.25">
      <c r="A300" s="15" t="s">
        <v>901</v>
      </c>
      <c r="B300" s="53">
        <v>44193</v>
      </c>
      <c r="C300" s="25" t="s">
        <v>848</v>
      </c>
      <c r="D300" s="38">
        <v>1</v>
      </c>
      <c r="E300" s="13"/>
      <c r="F300" s="50">
        <f t="shared" si="10"/>
        <v>0</v>
      </c>
    </row>
    <row r="301" spans="1:6" ht="15.75" hidden="1" x14ac:dyDescent="0.25">
      <c r="A301" s="15" t="s">
        <v>902</v>
      </c>
      <c r="B301" s="53">
        <v>44193</v>
      </c>
      <c r="C301" s="25" t="s">
        <v>839</v>
      </c>
      <c r="D301" s="38">
        <v>7</v>
      </c>
      <c r="E301" s="13"/>
      <c r="F301" s="50">
        <f t="shared" si="10"/>
        <v>0</v>
      </c>
    </row>
    <row r="302" spans="1:6" ht="15.75" x14ac:dyDescent="0.25">
      <c r="A302" s="15" t="s">
        <v>903</v>
      </c>
      <c r="B302" s="53">
        <v>44193</v>
      </c>
      <c r="C302" s="25" t="s">
        <v>867</v>
      </c>
      <c r="D302" s="38">
        <v>6</v>
      </c>
      <c r="E302" s="13">
        <v>176</v>
      </c>
      <c r="F302" s="50">
        <f t="shared" si="10"/>
        <v>1056</v>
      </c>
    </row>
    <row r="303" spans="1:6" ht="15.75" x14ac:dyDescent="0.25">
      <c r="A303" s="15" t="s">
        <v>904</v>
      </c>
      <c r="B303" s="53">
        <v>44193</v>
      </c>
      <c r="C303" s="25" t="s">
        <v>798</v>
      </c>
      <c r="D303" s="38">
        <v>3</v>
      </c>
      <c r="E303" s="13">
        <v>234</v>
      </c>
      <c r="F303" s="50">
        <f t="shared" si="10"/>
        <v>702</v>
      </c>
    </row>
    <row r="304" spans="1:6" ht="15.75" x14ac:dyDescent="0.25">
      <c r="A304" s="15" t="s">
        <v>905</v>
      </c>
      <c r="B304" s="53">
        <v>44193</v>
      </c>
      <c r="C304" s="25" t="s">
        <v>764</v>
      </c>
      <c r="D304" s="38">
        <v>0</v>
      </c>
      <c r="E304" s="13">
        <v>39</v>
      </c>
      <c r="F304" s="50">
        <f t="shared" si="10"/>
        <v>0</v>
      </c>
    </row>
    <row r="305" spans="1:6" ht="15.75" hidden="1" x14ac:dyDescent="0.25">
      <c r="A305" s="15" t="s">
        <v>906</v>
      </c>
      <c r="B305" s="53"/>
      <c r="C305" s="25" t="s">
        <v>799</v>
      </c>
      <c r="D305" s="38">
        <v>120</v>
      </c>
      <c r="E305" s="13"/>
      <c r="F305" s="50">
        <f t="shared" si="10"/>
        <v>0</v>
      </c>
    </row>
    <row r="306" spans="1:6" ht="15.75" hidden="1" x14ac:dyDescent="0.25">
      <c r="A306" s="15" t="s">
        <v>907</v>
      </c>
      <c r="B306" s="53"/>
      <c r="C306" s="25" t="s">
        <v>824</v>
      </c>
      <c r="D306" s="54">
        <v>15</v>
      </c>
      <c r="E306" s="13"/>
      <c r="F306" s="50">
        <f t="shared" si="10"/>
        <v>0</v>
      </c>
    </row>
    <row r="307" spans="1:6" ht="15.75" hidden="1" x14ac:dyDescent="0.25">
      <c r="A307" s="15" t="s">
        <v>908</v>
      </c>
      <c r="B307" s="53"/>
      <c r="C307" s="25" t="s">
        <v>837</v>
      </c>
      <c r="D307" s="54">
        <v>9</v>
      </c>
      <c r="E307" s="13"/>
      <c r="F307" s="50">
        <f t="shared" si="10"/>
        <v>0</v>
      </c>
    </row>
    <row r="308" spans="1:6" ht="15.75" hidden="1" x14ac:dyDescent="0.25">
      <c r="A308" s="15" t="s">
        <v>909</v>
      </c>
      <c r="B308" s="53"/>
      <c r="C308" s="25" t="s">
        <v>792</v>
      </c>
      <c r="D308" s="54">
        <v>19</v>
      </c>
      <c r="E308" s="13"/>
      <c r="F308" s="50">
        <f t="shared" si="10"/>
        <v>0</v>
      </c>
    </row>
    <row r="309" spans="1:6" ht="15.75" hidden="1" x14ac:dyDescent="0.25">
      <c r="A309" s="15" t="s">
        <v>910</v>
      </c>
      <c r="B309" s="53"/>
      <c r="C309" s="25" t="s">
        <v>329</v>
      </c>
      <c r="D309" s="54">
        <v>21</v>
      </c>
      <c r="E309" s="13"/>
      <c r="F309" s="50">
        <f t="shared" si="10"/>
        <v>0</v>
      </c>
    </row>
    <row r="310" spans="1:6" ht="15.75" hidden="1" x14ac:dyDescent="0.25">
      <c r="A310" s="15" t="s">
        <v>911</v>
      </c>
      <c r="B310" s="53"/>
      <c r="C310" s="25" t="s">
        <v>330</v>
      </c>
      <c r="D310" s="54">
        <f>2+18</f>
        <v>20</v>
      </c>
      <c r="E310" s="13"/>
      <c r="F310" s="50">
        <f t="shared" si="10"/>
        <v>0</v>
      </c>
    </row>
    <row r="311" spans="1:6" ht="15.75" x14ac:dyDescent="0.25">
      <c r="A311" s="15" t="s">
        <v>912</v>
      </c>
      <c r="B311" s="53">
        <v>44193</v>
      </c>
      <c r="C311" s="25" t="s">
        <v>836</v>
      </c>
      <c r="D311" s="54">
        <v>19</v>
      </c>
      <c r="E311" s="13">
        <v>30</v>
      </c>
      <c r="F311" s="50">
        <f t="shared" si="10"/>
        <v>570</v>
      </c>
    </row>
    <row r="312" spans="1:6" ht="15.75" x14ac:dyDescent="0.25">
      <c r="A312" s="15" t="s">
        <v>530</v>
      </c>
      <c r="B312" s="53">
        <v>44193</v>
      </c>
      <c r="C312" s="25" t="s">
        <v>810</v>
      </c>
      <c r="D312" s="54">
        <v>6</v>
      </c>
      <c r="E312" s="13">
        <v>299.72000000000003</v>
      </c>
      <c r="F312" s="50">
        <f>+D312*E312</f>
        <v>1798.3200000000002</v>
      </c>
    </row>
    <row r="313" spans="1:6" x14ac:dyDescent="0.25">
      <c r="F313" s="67">
        <f>SUM(F8:F312)</f>
        <v>1794957.4203600003</v>
      </c>
    </row>
    <row r="314" spans="1:6" ht="15.75" x14ac:dyDescent="0.25">
      <c r="A314" t="s">
        <v>7</v>
      </c>
      <c r="C314" s="12"/>
    </row>
    <row r="315" spans="1:6" ht="15.75" x14ac:dyDescent="0.25">
      <c r="C315" s="12"/>
    </row>
    <row r="316" spans="1:6" ht="15.75" x14ac:dyDescent="0.25">
      <c r="B316" t="s">
        <v>531</v>
      </c>
      <c r="C316" s="12"/>
    </row>
    <row r="317" spans="1:6" ht="15.75" x14ac:dyDescent="0.25">
      <c r="C317" s="12"/>
    </row>
    <row r="318" spans="1:6" ht="15.75" x14ac:dyDescent="0.25">
      <c r="A318" s="3" t="s">
        <v>5</v>
      </c>
      <c r="C318" s="12"/>
    </row>
    <row r="319" spans="1:6" ht="15.75" x14ac:dyDescent="0.25">
      <c r="C319" s="12"/>
    </row>
    <row r="320" spans="1:6" ht="15.75" x14ac:dyDescent="0.25">
      <c r="A320" s="7" t="s">
        <v>924</v>
      </c>
      <c r="C320" s="12"/>
    </row>
    <row r="321" spans="1:3" ht="15.75" x14ac:dyDescent="0.25">
      <c r="A321" t="s">
        <v>925</v>
      </c>
      <c r="C321" s="12"/>
    </row>
    <row r="322" spans="1:3" ht="15.75" x14ac:dyDescent="0.25">
      <c r="C322" s="12"/>
    </row>
  </sheetData>
  <sortState ref="A9:F313">
    <sortCondition ref="C9:C313"/>
  </sortState>
  <mergeCells count="3">
    <mergeCell ref="A3:F3"/>
    <mergeCell ref="A4:F4"/>
    <mergeCell ref="A5:F5"/>
  </mergeCells>
  <phoneticPr fontId="12" type="noConversion"/>
  <pageMargins left="0.7" right="0.7" top="0.75" bottom="0.75" header="0.3" footer="0.3"/>
  <pageSetup scale="56" orientation="portrait" verticalDpi="4294967295" r:id="rId1"/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8"/>
  <sheetViews>
    <sheetView topLeftCell="D1" zoomScale="150" zoomScaleNormal="150" workbookViewId="0">
      <pane ySplit="8" topLeftCell="A9" activePane="bottomLeft" state="frozen"/>
      <selection activeCell="B1" sqref="B1"/>
      <selection pane="bottomLeft" activeCell="M14" sqref="M14"/>
    </sheetView>
  </sheetViews>
  <sheetFormatPr baseColWidth="10" defaultColWidth="11.42578125" defaultRowHeight="15" x14ac:dyDescent="0.25"/>
  <cols>
    <col min="1" max="1" width="14.85546875" customWidth="1"/>
    <col min="2" max="2" width="23" customWidth="1"/>
    <col min="3" max="3" width="51.28515625" customWidth="1"/>
    <col min="4" max="4" width="14.140625" customWidth="1"/>
    <col min="5" max="5" width="17.140625" customWidth="1"/>
    <col min="6" max="6" width="22.42578125" customWidth="1"/>
    <col min="7" max="7" width="18.5703125" customWidth="1"/>
    <col min="8" max="8" width="11.140625" customWidth="1"/>
    <col min="9" max="9" width="16.85546875" style="63" customWidth="1"/>
    <col min="10" max="11" width="13.140625" customWidth="1"/>
    <col min="13" max="13" width="13.42578125" bestFit="1" customWidth="1"/>
  </cols>
  <sheetData>
    <row r="3" spans="1:14" ht="26.25" x14ac:dyDescent="0.4">
      <c r="A3" s="234" t="s">
        <v>0</v>
      </c>
      <c r="B3" s="234"/>
      <c r="C3" s="234"/>
      <c r="D3" s="234"/>
      <c r="E3" s="234"/>
      <c r="F3" s="234"/>
    </row>
    <row r="4" spans="1:14" x14ac:dyDescent="0.25">
      <c r="A4" s="235" t="s">
        <v>1</v>
      </c>
      <c r="B4" s="236"/>
      <c r="C4" s="236"/>
      <c r="D4" s="236"/>
      <c r="E4" s="236"/>
      <c r="F4" s="236"/>
    </row>
    <row r="5" spans="1:14" ht="18.75" x14ac:dyDescent="0.3">
      <c r="A5" s="237" t="s">
        <v>956</v>
      </c>
      <c r="B5" s="237"/>
      <c r="C5" s="237"/>
      <c r="D5" s="237"/>
      <c r="E5" s="237"/>
      <c r="F5" s="237"/>
    </row>
    <row r="7" spans="1:14" ht="23.25" x14ac:dyDescent="0.25">
      <c r="H7" s="62">
        <v>44743</v>
      </c>
    </row>
    <row r="8" spans="1:14" ht="45" x14ac:dyDescent="0.25">
      <c r="A8" s="47" t="s">
        <v>118</v>
      </c>
      <c r="B8" s="47" t="s">
        <v>9</v>
      </c>
      <c r="C8" s="46" t="s">
        <v>2</v>
      </c>
      <c r="D8" s="46" t="s">
        <v>3</v>
      </c>
      <c r="E8" s="46" t="s">
        <v>117</v>
      </c>
      <c r="F8" s="46" t="s">
        <v>4</v>
      </c>
      <c r="G8" s="47" t="s">
        <v>9</v>
      </c>
      <c r="H8" s="46" t="s">
        <v>915</v>
      </c>
      <c r="I8" s="64" t="s">
        <v>117</v>
      </c>
      <c r="J8" s="46" t="s">
        <v>4</v>
      </c>
      <c r="K8" s="61" t="s">
        <v>929</v>
      </c>
      <c r="L8" s="61" t="s">
        <v>914</v>
      </c>
      <c r="M8" s="61" t="s">
        <v>927</v>
      </c>
      <c r="N8" s="61" t="s">
        <v>944</v>
      </c>
    </row>
    <row r="9" spans="1:14" s="8" customFormat="1" ht="15.75" x14ac:dyDescent="0.25">
      <c r="A9" s="15" t="s">
        <v>11</v>
      </c>
      <c r="B9" s="16">
        <v>44652</v>
      </c>
      <c r="C9" s="25" t="s">
        <v>857</v>
      </c>
      <c r="D9" s="14">
        <f>18*30</f>
        <v>540</v>
      </c>
      <c r="E9" s="13">
        <v>850</v>
      </c>
      <c r="F9" s="50">
        <f>+E9*18</f>
        <v>15300</v>
      </c>
      <c r="G9" s="71"/>
      <c r="H9" s="71"/>
      <c r="I9" s="72"/>
      <c r="J9" s="71"/>
      <c r="K9" s="71">
        <f>4+2+2+2</f>
        <v>10</v>
      </c>
      <c r="L9" s="71">
        <f>+D9+H9-K9</f>
        <v>530</v>
      </c>
      <c r="N9" s="8" t="s">
        <v>945</v>
      </c>
    </row>
    <row r="10" spans="1:14" s="8" customFormat="1" ht="15.75" x14ac:dyDescent="0.25">
      <c r="A10" s="15" t="s">
        <v>120</v>
      </c>
      <c r="B10" s="16">
        <v>44193</v>
      </c>
      <c r="C10" s="25" t="s">
        <v>533</v>
      </c>
      <c r="D10" s="14">
        <v>43</v>
      </c>
      <c r="E10" s="13">
        <v>215</v>
      </c>
      <c r="F10" s="50">
        <f>D10*E10</f>
        <v>9245</v>
      </c>
      <c r="G10" s="71"/>
      <c r="H10" s="71"/>
      <c r="I10" s="72"/>
      <c r="J10" s="71"/>
      <c r="K10" s="71"/>
      <c r="L10" s="71">
        <f t="shared" ref="L10:L73" si="0">+D10+H10-K10</f>
        <v>43</v>
      </c>
      <c r="N10" s="8" t="s">
        <v>946</v>
      </c>
    </row>
    <row r="11" spans="1:14" s="8" customFormat="1" ht="15.75" x14ac:dyDescent="0.25">
      <c r="A11" s="15" t="s">
        <v>12</v>
      </c>
      <c r="B11" s="16">
        <v>44453</v>
      </c>
      <c r="C11" s="25" t="s">
        <v>534</v>
      </c>
      <c r="D11" s="14">
        <f>2+9</f>
        <v>11</v>
      </c>
      <c r="E11" s="13">
        <v>1350</v>
      </c>
      <c r="F11" s="50">
        <f>D11*E11</f>
        <v>14850</v>
      </c>
      <c r="G11" s="71"/>
      <c r="H11" s="71"/>
      <c r="I11" s="72"/>
      <c r="J11" s="71"/>
      <c r="K11" s="71"/>
      <c r="L11" s="71">
        <f t="shared" si="0"/>
        <v>11</v>
      </c>
      <c r="N11" s="8" t="s">
        <v>946</v>
      </c>
    </row>
    <row r="12" spans="1:14" s="8" customFormat="1" ht="15.75" x14ac:dyDescent="0.25">
      <c r="A12" s="15" t="s">
        <v>121</v>
      </c>
      <c r="B12" s="16">
        <v>44193</v>
      </c>
      <c r="C12" s="25" t="s">
        <v>535</v>
      </c>
      <c r="D12" s="30">
        <v>0</v>
      </c>
      <c r="E12" s="13">
        <v>127.12</v>
      </c>
      <c r="F12" s="50">
        <f t="shared" ref="F12:F24" si="1">D12*E12</f>
        <v>0</v>
      </c>
      <c r="G12" s="71"/>
      <c r="H12" s="71"/>
      <c r="I12" s="72"/>
      <c r="J12" s="71"/>
      <c r="K12" s="71"/>
      <c r="L12" s="71">
        <f t="shared" si="0"/>
        <v>0</v>
      </c>
      <c r="N12" s="8" t="s">
        <v>946</v>
      </c>
    </row>
    <row r="13" spans="1:14" s="8" customFormat="1" ht="15.75" x14ac:dyDescent="0.25">
      <c r="A13" s="15" t="s">
        <v>122</v>
      </c>
      <c r="B13" s="16">
        <v>44193</v>
      </c>
      <c r="C13" s="25" t="s">
        <v>838</v>
      </c>
      <c r="D13" s="38">
        <v>1</v>
      </c>
      <c r="E13" s="13">
        <v>30</v>
      </c>
      <c r="F13" s="50">
        <f t="shared" si="1"/>
        <v>30</v>
      </c>
      <c r="G13" s="71"/>
      <c r="H13" s="71"/>
      <c r="I13" s="72"/>
      <c r="J13" s="71"/>
      <c r="K13" s="71"/>
      <c r="L13" s="71">
        <f t="shared" si="0"/>
        <v>1</v>
      </c>
      <c r="N13" s="8" t="s">
        <v>946</v>
      </c>
    </row>
    <row r="14" spans="1:14" s="8" customFormat="1" ht="15.75" x14ac:dyDescent="0.25">
      <c r="A14" s="15" t="s">
        <v>123</v>
      </c>
      <c r="B14" s="16">
        <v>44193</v>
      </c>
      <c r="C14" s="25" t="s">
        <v>840</v>
      </c>
      <c r="D14" s="14">
        <v>10</v>
      </c>
      <c r="E14" s="13">
        <v>11</v>
      </c>
      <c r="F14" s="50">
        <f t="shared" si="1"/>
        <v>110</v>
      </c>
      <c r="G14" s="71"/>
      <c r="H14" s="71"/>
      <c r="I14" s="72"/>
      <c r="J14" s="71"/>
      <c r="K14" s="71"/>
      <c r="L14" s="71">
        <f t="shared" si="0"/>
        <v>10</v>
      </c>
      <c r="N14" s="8" t="s">
        <v>946</v>
      </c>
    </row>
    <row r="15" spans="1:14" s="8" customFormat="1" ht="15.75" x14ac:dyDescent="0.25">
      <c r="A15" s="15" t="s">
        <v>13</v>
      </c>
      <c r="B15" s="16">
        <v>44193</v>
      </c>
      <c r="C15" s="25" t="s">
        <v>536</v>
      </c>
      <c r="D15" s="14">
        <f>49+60+2</f>
        <v>111</v>
      </c>
      <c r="E15" s="13">
        <v>15.84</v>
      </c>
      <c r="F15" s="50">
        <f t="shared" si="1"/>
        <v>1758.24</v>
      </c>
      <c r="G15" s="71"/>
      <c r="H15" s="71"/>
      <c r="I15" s="72"/>
      <c r="J15" s="71"/>
      <c r="K15" s="71"/>
      <c r="L15" s="71">
        <f t="shared" si="0"/>
        <v>111</v>
      </c>
      <c r="N15" s="8" t="s">
        <v>946</v>
      </c>
    </row>
    <row r="16" spans="1:14" s="8" customFormat="1" ht="15.75" x14ac:dyDescent="0.25">
      <c r="A16" s="15" t="s">
        <v>14</v>
      </c>
      <c r="B16" s="16">
        <v>44193</v>
      </c>
      <c r="C16" s="25" t="s">
        <v>537</v>
      </c>
      <c r="D16" s="14">
        <v>52</v>
      </c>
      <c r="E16" s="13">
        <v>22.41</v>
      </c>
      <c r="F16" s="50">
        <f t="shared" si="1"/>
        <v>1165.32</v>
      </c>
      <c r="G16" s="71"/>
      <c r="H16" s="71"/>
      <c r="I16" s="72"/>
      <c r="J16" s="71"/>
      <c r="K16" s="71"/>
      <c r="L16" s="71">
        <f t="shared" si="0"/>
        <v>52</v>
      </c>
      <c r="N16" s="8" t="s">
        <v>946</v>
      </c>
    </row>
    <row r="17" spans="1:14" s="8" customFormat="1" ht="15.75" x14ac:dyDescent="0.25">
      <c r="A17" s="15" t="s">
        <v>15</v>
      </c>
      <c r="B17" s="16">
        <v>44193</v>
      </c>
      <c r="C17" s="25" t="s">
        <v>538</v>
      </c>
      <c r="D17" s="14">
        <v>42</v>
      </c>
      <c r="E17" s="13">
        <v>5.5</v>
      </c>
      <c r="F17" s="50">
        <f t="shared" si="1"/>
        <v>231</v>
      </c>
      <c r="G17" s="71"/>
      <c r="H17" s="71"/>
      <c r="I17" s="72"/>
      <c r="J17" s="71"/>
      <c r="K17" s="71"/>
      <c r="L17" s="71">
        <f t="shared" si="0"/>
        <v>42</v>
      </c>
      <c r="N17" s="8" t="s">
        <v>946</v>
      </c>
    </row>
    <row r="18" spans="1:14" s="8" customFormat="1" ht="15.75" x14ac:dyDescent="0.25">
      <c r="A18" s="15" t="s">
        <v>124</v>
      </c>
      <c r="B18" s="16">
        <v>44193</v>
      </c>
      <c r="C18" s="25" t="s">
        <v>539</v>
      </c>
      <c r="D18" s="14">
        <v>32</v>
      </c>
      <c r="E18" s="13">
        <v>78.099999999999994</v>
      </c>
      <c r="F18" s="50">
        <f t="shared" si="1"/>
        <v>2499.1999999999998</v>
      </c>
      <c r="G18" s="71"/>
      <c r="H18" s="71"/>
      <c r="I18" s="72"/>
      <c r="J18" s="71"/>
      <c r="K18" s="71"/>
      <c r="L18" s="71">
        <f t="shared" si="0"/>
        <v>32</v>
      </c>
      <c r="N18" s="8" t="s">
        <v>946</v>
      </c>
    </row>
    <row r="19" spans="1:14" s="8" customFormat="1" ht="15.75" x14ac:dyDescent="0.25">
      <c r="A19" s="15" t="s">
        <v>16</v>
      </c>
      <c r="B19" s="16" t="s">
        <v>107</v>
      </c>
      <c r="C19" s="25" t="s">
        <v>540</v>
      </c>
      <c r="D19" s="14">
        <v>131</v>
      </c>
      <c r="E19" s="13">
        <v>5.17</v>
      </c>
      <c r="F19" s="50">
        <f t="shared" si="1"/>
        <v>677.27</v>
      </c>
      <c r="G19" s="71"/>
      <c r="H19" s="71"/>
      <c r="I19" s="72"/>
      <c r="J19" s="71"/>
      <c r="K19" s="71"/>
      <c r="L19" s="71">
        <f t="shared" si="0"/>
        <v>131</v>
      </c>
      <c r="N19" s="8" t="s">
        <v>946</v>
      </c>
    </row>
    <row r="20" spans="1:14" s="8" customFormat="1" ht="15.75" x14ac:dyDescent="0.25">
      <c r="A20" s="15" t="s">
        <v>17</v>
      </c>
      <c r="B20" s="16" t="s">
        <v>107</v>
      </c>
      <c r="C20" s="25" t="s">
        <v>541</v>
      </c>
      <c r="D20" s="14">
        <v>10</v>
      </c>
      <c r="E20" s="51">
        <v>15</v>
      </c>
      <c r="F20" s="50">
        <f t="shared" si="1"/>
        <v>150</v>
      </c>
      <c r="G20" s="71"/>
      <c r="H20" s="71"/>
      <c r="I20" s="72"/>
      <c r="J20" s="71"/>
      <c r="K20" s="71"/>
      <c r="L20" s="71">
        <f t="shared" si="0"/>
        <v>10</v>
      </c>
      <c r="N20" s="8" t="s">
        <v>946</v>
      </c>
    </row>
    <row r="21" spans="1:14" s="8" customFormat="1" ht="15.75" x14ac:dyDescent="0.25">
      <c r="A21" s="15" t="s">
        <v>18</v>
      </c>
      <c r="B21" s="16">
        <v>44193</v>
      </c>
      <c r="C21" s="25" t="s">
        <v>542</v>
      </c>
      <c r="D21" s="30">
        <f>4+7+1</f>
        <v>12</v>
      </c>
      <c r="E21" s="13">
        <v>15</v>
      </c>
      <c r="F21" s="50">
        <f t="shared" si="1"/>
        <v>180</v>
      </c>
      <c r="G21" s="71"/>
      <c r="H21" s="71"/>
      <c r="I21" s="72"/>
      <c r="J21" s="71"/>
      <c r="K21" s="71"/>
      <c r="L21" s="71">
        <f t="shared" si="0"/>
        <v>12</v>
      </c>
      <c r="N21" s="8" t="s">
        <v>946</v>
      </c>
    </row>
    <row r="22" spans="1:14" s="8" customFormat="1" ht="15.75" x14ac:dyDescent="0.25">
      <c r="A22" s="15" t="s">
        <v>19</v>
      </c>
      <c r="B22" s="16">
        <v>44193</v>
      </c>
      <c r="C22" s="25" t="s">
        <v>543</v>
      </c>
      <c r="D22" s="30">
        <v>8</v>
      </c>
      <c r="E22" s="22">
        <v>15</v>
      </c>
      <c r="F22" s="50">
        <f t="shared" si="1"/>
        <v>120</v>
      </c>
      <c r="G22" s="71"/>
      <c r="H22" s="71"/>
      <c r="I22" s="72"/>
      <c r="J22" s="71"/>
      <c r="K22" s="71"/>
      <c r="L22" s="71">
        <f t="shared" si="0"/>
        <v>8</v>
      </c>
      <c r="N22" s="8" t="s">
        <v>946</v>
      </c>
    </row>
    <row r="23" spans="1:14" s="8" customFormat="1" ht="15.75" x14ac:dyDescent="0.25">
      <c r="A23" s="15" t="s">
        <v>20</v>
      </c>
      <c r="B23" s="16">
        <v>44193</v>
      </c>
      <c r="C23" s="25" t="s">
        <v>835</v>
      </c>
      <c r="D23" s="30">
        <v>1</v>
      </c>
      <c r="E23" s="22">
        <v>15</v>
      </c>
      <c r="F23" s="50">
        <f t="shared" si="1"/>
        <v>15</v>
      </c>
      <c r="G23" s="71"/>
      <c r="H23" s="71"/>
      <c r="I23" s="72"/>
      <c r="J23" s="71"/>
      <c r="K23" s="71"/>
      <c r="L23" s="71">
        <f t="shared" si="0"/>
        <v>1</v>
      </c>
      <c r="N23" s="8" t="s">
        <v>946</v>
      </c>
    </row>
    <row r="24" spans="1:14" s="8" customFormat="1" ht="15.75" x14ac:dyDescent="0.25">
      <c r="A24" s="15" t="s">
        <v>21</v>
      </c>
      <c r="B24" s="16" t="s">
        <v>107</v>
      </c>
      <c r="C24" s="25" t="s">
        <v>544</v>
      </c>
      <c r="D24" s="30">
        <v>32</v>
      </c>
      <c r="E24" s="51">
        <v>15</v>
      </c>
      <c r="F24" s="50">
        <f t="shared" si="1"/>
        <v>480</v>
      </c>
      <c r="G24" s="71"/>
      <c r="H24" s="71"/>
      <c r="I24" s="72"/>
      <c r="J24" s="71"/>
      <c r="K24" s="71"/>
      <c r="L24" s="71">
        <f t="shared" si="0"/>
        <v>32</v>
      </c>
      <c r="N24" s="8" t="s">
        <v>946</v>
      </c>
    </row>
    <row r="25" spans="1:14" s="8" customFormat="1" ht="15.75" x14ac:dyDescent="0.25">
      <c r="A25" s="15" t="s">
        <v>23</v>
      </c>
      <c r="B25" s="16">
        <v>44193</v>
      </c>
      <c r="C25" s="25" t="s">
        <v>811</v>
      </c>
      <c r="D25" s="30">
        <v>24</v>
      </c>
      <c r="E25" s="51"/>
      <c r="F25" s="50"/>
      <c r="G25" s="71"/>
      <c r="H25" s="71"/>
      <c r="I25" s="72"/>
      <c r="J25" s="71"/>
      <c r="K25" s="71">
        <v>1</v>
      </c>
      <c r="L25" s="71">
        <f t="shared" si="0"/>
        <v>23</v>
      </c>
      <c r="N25" s="8" t="s">
        <v>946</v>
      </c>
    </row>
    <row r="26" spans="1:14" s="8" customFormat="1" ht="15.75" x14ac:dyDescent="0.25">
      <c r="A26" s="15" t="s">
        <v>24</v>
      </c>
      <c r="B26" s="16">
        <v>44193</v>
      </c>
      <c r="C26" s="25" t="s">
        <v>809</v>
      </c>
      <c r="D26" s="30">
        <v>12</v>
      </c>
      <c r="E26" s="51"/>
      <c r="F26" s="50"/>
      <c r="G26" s="71"/>
      <c r="H26" s="71"/>
      <c r="I26" s="72"/>
      <c r="J26" s="71"/>
      <c r="K26" s="71"/>
      <c r="L26" s="71">
        <f t="shared" si="0"/>
        <v>12</v>
      </c>
      <c r="N26" s="8" t="s">
        <v>946</v>
      </c>
    </row>
    <row r="27" spans="1:14" s="8" customFormat="1" ht="15.75" x14ac:dyDescent="0.25">
      <c r="A27" s="15" t="s">
        <v>110</v>
      </c>
      <c r="B27" s="16">
        <v>44193</v>
      </c>
      <c r="C27" s="9" t="s">
        <v>545</v>
      </c>
      <c r="D27" s="31">
        <v>10</v>
      </c>
      <c r="E27" s="13">
        <v>225</v>
      </c>
      <c r="F27" s="50">
        <f>D27*E27</f>
        <v>2250</v>
      </c>
      <c r="G27" s="71"/>
      <c r="H27" s="71"/>
      <c r="I27" s="72"/>
      <c r="J27" s="71"/>
      <c r="K27" s="71"/>
      <c r="L27" s="71">
        <f t="shared" si="0"/>
        <v>10</v>
      </c>
      <c r="N27" s="8" t="s">
        <v>945</v>
      </c>
    </row>
    <row r="28" spans="1:14" s="8" customFormat="1" ht="15.75" x14ac:dyDescent="0.25">
      <c r="A28" s="15" t="s">
        <v>125</v>
      </c>
      <c r="B28" s="16">
        <v>44193</v>
      </c>
      <c r="C28" s="25" t="s">
        <v>546</v>
      </c>
      <c r="D28" s="30">
        <v>0</v>
      </c>
      <c r="E28" s="13">
        <v>68</v>
      </c>
      <c r="F28" s="50">
        <f>D28*E28</f>
        <v>0</v>
      </c>
      <c r="G28" s="71"/>
      <c r="H28" s="71"/>
      <c r="I28" s="72"/>
      <c r="J28" s="71"/>
      <c r="K28" s="71"/>
      <c r="L28" s="71">
        <f t="shared" si="0"/>
        <v>0</v>
      </c>
      <c r="N28" s="8" t="s">
        <v>946</v>
      </c>
    </row>
    <row r="29" spans="1:14" s="8" customFormat="1" ht="15.75" x14ac:dyDescent="0.25">
      <c r="A29" s="15" t="s">
        <v>25</v>
      </c>
      <c r="B29" s="16">
        <v>44193</v>
      </c>
      <c r="C29" s="25" t="s">
        <v>547</v>
      </c>
      <c r="D29" s="30">
        <v>4</v>
      </c>
      <c r="E29" s="13">
        <v>470</v>
      </c>
      <c r="F29" s="50">
        <f>D29*E29</f>
        <v>1880</v>
      </c>
      <c r="G29" s="71"/>
      <c r="H29" s="71"/>
      <c r="I29" s="72"/>
      <c r="J29" s="71"/>
      <c r="K29" s="71"/>
      <c r="L29" s="71">
        <f t="shared" si="0"/>
        <v>4</v>
      </c>
      <c r="N29" s="8" t="s">
        <v>945</v>
      </c>
    </row>
    <row r="30" spans="1:14" s="8" customFormat="1" ht="15.75" x14ac:dyDescent="0.25">
      <c r="A30" s="15" t="s">
        <v>126</v>
      </c>
      <c r="B30" s="16" t="s">
        <v>107</v>
      </c>
      <c r="C30" s="26" t="s">
        <v>807</v>
      </c>
      <c r="D30" s="30">
        <v>70</v>
      </c>
      <c r="E30" s="13">
        <v>16.46</v>
      </c>
      <c r="F30" s="50">
        <f>+D30*E30</f>
        <v>1152.2</v>
      </c>
      <c r="G30" s="71"/>
      <c r="H30" s="71"/>
      <c r="I30" s="72"/>
      <c r="J30" s="71"/>
      <c r="K30" s="71"/>
      <c r="L30" s="71">
        <f t="shared" si="0"/>
        <v>70</v>
      </c>
      <c r="N30" s="8" t="s">
        <v>946</v>
      </c>
    </row>
    <row r="31" spans="1:14" s="8" customFormat="1" ht="15.75" x14ac:dyDescent="0.25">
      <c r="A31" s="15" t="s">
        <v>26</v>
      </c>
      <c r="B31" s="16" t="s">
        <v>107</v>
      </c>
      <c r="C31" s="26" t="s">
        <v>549</v>
      </c>
      <c r="D31" s="30">
        <v>0</v>
      </c>
      <c r="E31" s="51">
        <v>6.4</v>
      </c>
      <c r="F31" s="50">
        <f>D31*E31</f>
        <v>0</v>
      </c>
      <c r="G31" s="71"/>
      <c r="H31" s="71"/>
      <c r="I31" s="72"/>
      <c r="J31" s="71"/>
      <c r="K31" s="71"/>
      <c r="L31" s="71">
        <f t="shared" si="0"/>
        <v>0</v>
      </c>
      <c r="N31" s="8" t="s">
        <v>946</v>
      </c>
    </row>
    <row r="32" spans="1:14" s="8" customFormat="1" ht="15.75" x14ac:dyDescent="0.25">
      <c r="A32" s="15" t="s">
        <v>27</v>
      </c>
      <c r="B32" s="16">
        <v>44193</v>
      </c>
      <c r="C32" s="26" t="s">
        <v>550</v>
      </c>
      <c r="D32" s="30">
        <v>0</v>
      </c>
      <c r="E32" s="13">
        <v>105.93</v>
      </c>
      <c r="F32" s="50">
        <f>D32*E32</f>
        <v>0</v>
      </c>
      <c r="G32" s="71"/>
      <c r="H32" s="71"/>
      <c r="I32" s="72"/>
      <c r="J32" s="71"/>
      <c r="K32" s="71"/>
      <c r="L32" s="71">
        <f t="shared" si="0"/>
        <v>0</v>
      </c>
      <c r="N32" s="8" t="s">
        <v>946</v>
      </c>
    </row>
    <row r="33" spans="1:14" s="8" customFormat="1" ht="15.75" x14ac:dyDescent="0.25">
      <c r="A33" s="15" t="s">
        <v>28</v>
      </c>
      <c r="B33" s="16">
        <v>44193</v>
      </c>
      <c r="C33" s="25" t="s">
        <v>806</v>
      </c>
      <c r="D33" s="38">
        <v>2</v>
      </c>
      <c r="E33" s="13">
        <v>160</v>
      </c>
      <c r="F33" s="50">
        <f>D33*E33</f>
        <v>320</v>
      </c>
      <c r="G33" s="71"/>
      <c r="H33" s="71"/>
      <c r="I33" s="72"/>
      <c r="J33" s="71"/>
      <c r="K33" s="71">
        <v>1</v>
      </c>
      <c r="L33" s="71">
        <f t="shared" si="0"/>
        <v>1</v>
      </c>
      <c r="N33" s="8" t="s">
        <v>946</v>
      </c>
    </row>
    <row r="34" spans="1:14" s="8" customFormat="1" ht="15.75" x14ac:dyDescent="0.25">
      <c r="A34" s="15" t="s">
        <v>127</v>
      </c>
      <c r="B34" s="16">
        <v>44449</v>
      </c>
      <c r="C34" s="25" t="s">
        <v>551</v>
      </c>
      <c r="D34" s="30">
        <v>9</v>
      </c>
      <c r="E34" s="13">
        <v>600</v>
      </c>
      <c r="F34" s="50">
        <f t="shared" ref="F34:F62" si="2">D34*E34</f>
        <v>5400</v>
      </c>
      <c r="G34" s="71"/>
      <c r="H34" s="71"/>
      <c r="I34" s="72"/>
      <c r="J34" s="71"/>
      <c r="K34" s="71">
        <v>1</v>
      </c>
      <c r="L34" s="71">
        <f t="shared" si="0"/>
        <v>8</v>
      </c>
      <c r="N34" s="8" t="s">
        <v>945</v>
      </c>
    </row>
    <row r="35" spans="1:14" s="8" customFormat="1" ht="15.75" x14ac:dyDescent="0.25">
      <c r="A35" s="15" t="s">
        <v>29</v>
      </c>
      <c r="B35" s="16">
        <v>44193</v>
      </c>
      <c r="C35" s="9" t="s">
        <v>552</v>
      </c>
      <c r="D35" s="30">
        <f>20+23</f>
        <v>43</v>
      </c>
      <c r="E35" s="13">
        <v>200</v>
      </c>
      <c r="F35" s="50">
        <f t="shared" si="2"/>
        <v>8600</v>
      </c>
      <c r="G35" s="71"/>
      <c r="H35" s="71"/>
      <c r="I35" s="72"/>
      <c r="J35" s="71"/>
      <c r="K35" s="71"/>
      <c r="L35" s="71">
        <f t="shared" si="0"/>
        <v>43</v>
      </c>
      <c r="N35" s="8" t="s">
        <v>947</v>
      </c>
    </row>
    <row r="36" spans="1:14" s="8" customFormat="1" ht="15.75" x14ac:dyDescent="0.25">
      <c r="A36" s="15" t="s">
        <v>30</v>
      </c>
      <c r="B36" s="16">
        <v>44193</v>
      </c>
      <c r="C36" s="9" t="s">
        <v>553</v>
      </c>
      <c r="D36" s="30">
        <v>9</v>
      </c>
      <c r="E36" s="13">
        <v>200</v>
      </c>
      <c r="F36" s="50">
        <f t="shared" si="2"/>
        <v>1800</v>
      </c>
      <c r="G36" s="71"/>
      <c r="H36" s="71"/>
      <c r="I36" s="72"/>
      <c r="J36" s="71"/>
      <c r="K36" s="71"/>
      <c r="L36" s="71">
        <f t="shared" si="0"/>
        <v>9</v>
      </c>
      <c r="N36" s="8" t="s">
        <v>947</v>
      </c>
    </row>
    <row r="37" spans="1:14" s="8" customFormat="1" ht="15.75" x14ac:dyDescent="0.25">
      <c r="A37" s="15" t="s">
        <v>99</v>
      </c>
      <c r="B37" s="16">
        <v>44193</v>
      </c>
      <c r="C37" s="25" t="s">
        <v>548</v>
      </c>
      <c r="D37" s="30">
        <v>36</v>
      </c>
      <c r="E37" s="13">
        <v>75</v>
      </c>
      <c r="F37" s="50">
        <f t="shared" si="2"/>
        <v>2700</v>
      </c>
      <c r="G37" s="71"/>
      <c r="H37" s="71"/>
      <c r="I37" s="72"/>
      <c r="J37" s="71"/>
      <c r="K37" s="71"/>
      <c r="L37" s="71">
        <f t="shared" si="0"/>
        <v>36</v>
      </c>
      <c r="N37" s="8" t="s">
        <v>945</v>
      </c>
    </row>
    <row r="38" spans="1:14" s="8" customFormat="1" ht="15.75" x14ac:dyDescent="0.25">
      <c r="A38" s="15" t="s">
        <v>31</v>
      </c>
      <c r="B38" s="16">
        <v>44193</v>
      </c>
      <c r="C38" s="25" t="s">
        <v>554</v>
      </c>
      <c r="D38" s="30">
        <v>0</v>
      </c>
      <c r="E38" s="13">
        <v>4.24</v>
      </c>
      <c r="F38" s="50">
        <f t="shared" si="2"/>
        <v>0</v>
      </c>
      <c r="G38" s="71"/>
      <c r="H38" s="71"/>
      <c r="I38" s="72"/>
      <c r="J38" s="71"/>
      <c r="K38" s="71"/>
      <c r="L38" s="71">
        <f t="shared" si="0"/>
        <v>0</v>
      </c>
      <c r="N38" s="8" t="s">
        <v>946</v>
      </c>
    </row>
    <row r="39" spans="1:14" s="8" customFormat="1" ht="15.75" x14ac:dyDescent="0.25">
      <c r="A39" s="15" t="s">
        <v>32</v>
      </c>
      <c r="B39" s="16">
        <v>44193</v>
      </c>
      <c r="C39" s="25" t="s">
        <v>555</v>
      </c>
      <c r="D39" s="30">
        <v>0</v>
      </c>
      <c r="E39" s="13">
        <v>3.39</v>
      </c>
      <c r="F39" s="50">
        <f t="shared" si="2"/>
        <v>0</v>
      </c>
      <c r="G39" s="71"/>
      <c r="H39" s="71"/>
      <c r="I39" s="72"/>
      <c r="J39" s="71"/>
      <c r="K39" s="71"/>
      <c r="L39" s="71">
        <f t="shared" si="0"/>
        <v>0</v>
      </c>
      <c r="N39" s="8" t="s">
        <v>946</v>
      </c>
    </row>
    <row r="40" spans="1:14" s="8" customFormat="1" ht="15.75" x14ac:dyDescent="0.25">
      <c r="A40" s="15" t="s">
        <v>33</v>
      </c>
      <c r="B40" s="16">
        <v>44193</v>
      </c>
      <c r="C40" s="9" t="s">
        <v>556</v>
      </c>
      <c r="D40" s="30">
        <v>23</v>
      </c>
      <c r="E40" s="13">
        <v>1625</v>
      </c>
      <c r="F40" s="50">
        <f t="shared" si="2"/>
        <v>37375</v>
      </c>
      <c r="G40" s="71"/>
      <c r="H40" s="71"/>
      <c r="I40" s="72"/>
      <c r="J40" s="71"/>
      <c r="K40" s="71"/>
      <c r="L40" s="71">
        <f t="shared" si="0"/>
        <v>23</v>
      </c>
      <c r="N40" s="8" t="s">
        <v>946</v>
      </c>
    </row>
    <row r="41" spans="1:14" s="8" customFormat="1" ht="15.75" x14ac:dyDescent="0.25">
      <c r="A41" s="15" t="s">
        <v>34</v>
      </c>
      <c r="B41" s="16">
        <v>44193</v>
      </c>
      <c r="C41" s="9" t="s">
        <v>557</v>
      </c>
      <c r="D41" s="30">
        <v>0</v>
      </c>
      <c r="E41" s="13">
        <v>1625</v>
      </c>
      <c r="F41" s="50">
        <f t="shared" si="2"/>
        <v>0</v>
      </c>
      <c r="G41" s="71"/>
      <c r="H41" s="71"/>
      <c r="I41" s="72"/>
      <c r="J41" s="71"/>
      <c r="K41" s="71"/>
      <c r="L41" s="71">
        <f t="shared" si="0"/>
        <v>0</v>
      </c>
      <c r="N41" s="8" t="s">
        <v>946</v>
      </c>
    </row>
    <row r="42" spans="1:14" s="8" customFormat="1" ht="15.75" x14ac:dyDescent="0.25">
      <c r="A42" s="15" t="s">
        <v>111</v>
      </c>
      <c r="B42" s="16">
        <v>44193</v>
      </c>
      <c r="C42" s="9" t="s">
        <v>558</v>
      </c>
      <c r="D42" s="30">
        <v>10</v>
      </c>
      <c r="E42" s="13">
        <v>66.3</v>
      </c>
      <c r="F42" s="50">
        <f t="shared" si="2"/>
        <v>663</v>
      </c>
      <c r="G42" s="71"/>
      <c r="H42" s="71"/>
      <c r="I42" s="72"/>
      <c r="J42" s="71"/>
      <c r="K42" s="71">
        <v>1</v>
      </c>
      <c r="L42" s="71">
        <f t="shared" si="0"/>
        <v>9</v>
      </c>
      <c r="N42" s="8" t="s">
        <v>947</v>
      </c>
    </row>
    <row r="43" spans="1:14" s="8" customFormat="1" ht="15.75" x14ac:dyDescent="0.25">
      <c r="A43" s="15" t="s">
        <v>128</v>
      </c>
      <c r="B43" s="16">
        <v>44488</v>
      </c>
      <c r="C43" s="26" t="s">
        <v>560</v>
      </c>
      <c r="D43" s="55">
        <v>13</v>
      </c>
      <c r="E43" s="13">
        <v>40</v>
      </c>
      <c r="F43" s="50">
        <f t="shared" si="2"/>
        <v>520</v>
      </c>
      <c r="G43" s="71"/>
      <c r="H43" s="71"/>
      <c r="I43" s="72"/>
      <c r="J43" s="71"/>
      <c r="K43" s="71"/>
      <c r="L43" s="71">
        <f t="shared" si="0"/>
        <v>13</v>
      </c>
      <c r="N43" s="8" t="s">
        <v>946</v>
      </c>
    </row>
    <row r="44" spans="1:14" s="8" customFormat="1" ht="15.75" x14ac:dyDescent="0.25">
      <c r="A44" s="15" t="s">
        <v>129</v>
      </c>
      <c r="B44" s="16">
        <v>44193</v>
      </c>
      <c r="C44" s="9" t="s">
        <v>772</v>
      </c>
      <c r="D44" s="30">
        <v>23</v>
      </c>
      <c r="E44" s="13">
        <v>2.4</v>
      </c>
      <c r="F44" s="50">
        <f t="shared" si="2"/>
        <v>55.199999999999996</v>
      </c>
      <c r="G44" s="71"/>
      <c r="H44" s="71"/>
      <c r="I44" s="72"/>
      <c r="J44" s="71"/>
      <c r="K44" s="71">
        <f>12+2</f>
        <v>14</v>
      </c>
      <c r="L44" s="71">
        <f t="shared" si="0"/>
        <v>9</v>
      </c>
      <c r="N44" s="8" t="s">
        <v>947</v>
      </c>
    </row>
    <row r="45" spans="1:14" s="8" customFormat="1" ht="15.75" x14ac:dyDescent="0.25">
      <c r="A45" s="15" t="s">
        <v>130</v>
      </c>
      <c r="B45" s="16">
        <v>44193</v>
      </c>
      <c r="C45" s="26" t="s">
        <v>562</v>
      </c>
      <c r="D45" s="32">
        <v>0</v>
      </c>
      <c r="E45" s="13">
        <v>700</v>
      </c>
      <c r="F45" s="50">
        <f t="shared" si="2"/>
        <v>0</v>
      </c>
      <c r="G45" s="71"/>
      <c r="H45" s="71"/>
      <c r="I45" s="72"/>
      <c r="J45" s="71"/>
      <c r="K45" s="71"/>
      <c r="L45" s="71">
        <f t="shared" si="0"/>
        <v>0</v>
      </c>
      <c r="N45" s="8" t="s">
        <v>946</v>
      </c>
    </row>
    <row r="46" spans="1:14" s="8" customFormat="1" ht="15.75" x14ac:dyDescent="0.25">
      <c r="A46" s="15" t="s">
        <v>35</v>
      </c>
      <c r="B46" s="16">
        <v>44193</v>
      </c>
      <c r="C46" s="9" t="s">
        <v>563</v>
      </c>
      <c r="D46" s="30">
        <v>1</v>
      </c>
      <c r="E46" s="13">
        <v>35</v>
      </c>
      <c r="F46" s="50">
        <f t="shared" si="2"/>
        <v>35</v>
      </c>
      <c r="G46" s="71"/>
      <c r="H46" s="71"/>
      <c r="I46" s="72"/>
      <c r="J46" s="71"/>
      <c r="K46" s="71"/>
      <c r="L46" s="71">
        <f t="shared" si="0"/>
        <v>1</v>
      </c>
      <c r="N46" s="8" t="s">
        <v>947</v>
      </c>
    </row>
    <row r="47" spans="1:14" s="8" customFormat="1" ht="15.75" x14ac:dyDescent="0.25">
      <c r="A47" s="15" t="s">
        <v>36</v>
      </c>
      <c r="B47" s="16">
        <v>44193</v>
      </c>
      <c r="C47" s="9" t="s">
        <v>564</v>
      </c>
      <c r="D47" s="30">
        <v>0</v>
      </c>
      <c r="E47" s="13">
        <v>2719</v>
      </c>
      <c r="F47" s="50">
        <f t="shared" si="2"/>
        <v>0</v>
      </c>
      <c r="G47" s="71"/>
      <c r="H47" s="71"/>
      <c r="I47" s="72"/>
      <c r="J47" s="71"/>
      <c r="K47" s="71"/>
      <c r="L47" s="71">
        <f t="shared" si="0"/>
        <v>0</v>
      </c>
      <c r="N47" s="8" t="s">
        <v>945</v>
      </c>
    </row>
    <row r="48" spans="1:14" s="8" customFormat="1" ht="15.75" x14ac:dyDescent="0.25">
      <c r="A48" s="15" t="s">
        <v>37</v>
      </c>
      <c r="B48" s="16">
        <v>44193</v>
      </c>
      <c r="C48" s="26" t="s">
        <v>797</v>
      </c>
      <c r="D48" s="30">
        <v>2</v>
      </c>
      <c r="E48" s="13">
        <v>600</v>
      </c>
      <c r="F48" s="50">
        <f t="shared" si="2"/>
        <v>1200</v>
      </c>
      <c r="G48" s="71"/>
      <c r="H48" s="71"/>
      <c r="I48" s="72"/>
      <c r="J48" s="71"/>
      <c r="K48" s="71"/>
      <c r="L48" s="71">
        <f t="shared" si="0"/>
        <v>2</v>
      </c>
      <c r="N48" s="8" t="s">
        <v>946</v>
      </c>
    </row>
    <row r="49" spans="1:14" s="8" customFormat="1" ht="15.75" x14ac:dyDescent="0.25">
      <c r="A49" s="15" t="s">
        <v>38</v>
      </c>
      <c r="B49" s="16">
        <v>44678</v>
      </c>
      <c r="C49" s="26" t="s">
        <v>565</v>
      </c>
      <c r="D49" s="32">
        <v>5</v>
      </c>
      <c r="E49" s="13">
        <v>1400</v>
      </c>
      <c r="F49" s="50">
        <f t="shared" si="2"/>
        <v>7000</v>
      </c>
      <c r="G49" s="71"/>
      <c r="H49" s="71"/>
      <c r="I49" s="72"/>
      <c r="J49" s="71"/>
      <c r="K49" s="71"/>
      <c r="L49" s="71">
        <f t="shared" si="0"/>
        <v>5</v>
      </c>
      <c r="N49" s="8" t="s">
        <v>946</v>
      </c>
    </row>
    <row r="50" spans="1:14" s="8" customFormat="1" ht="15.75" x14ac:dyDescent="0.25">
      <c r="A50" s="15" t="s">
        <v>131</v>
      </c>
      <c r="B50" s="16">
        <v>44678</v>
      </c>
      <c r="C50" s="26" t="s">
        <v>567</v>
      </c>
      <c r="D50" s="32">
        <v>10</v>
      </c>
      <c r="E50" s="13">
        <v>500</v>
      </c>
      <c r="F50" s="50">
        <f t="shared" si="2"/>
        <v>5000</v>
      </c>
      <c r="G50" s="71"/>
      <c r="H50" s="71"/>
      <c r="I50" s="72"/>
      <c r="J50" s="71"/>
      <c r="K50" s="71"/>
      <c r="L50" s="71">
        <f t="shared" si="0"/>
        <v>10</v>
      </c>
      <c r="N50" s="8" t="s">
        <v>946</v>
      </c>
    </row>
    <row r="51" spans="1:14" s="8" customFormat="1" ht="15.75" x14ac:dyDescent="0.25">
      <c r="A51" s="15" t="s">
        <v>39</v>
      </c>
      <c r="B51" s="16">
        <v>44678</v>
      </c>
      <c r="C51" s="26" t="s">
        <v>568</v>
      </c>
      <c r="D51" s="32">
        <v>6</v>
      </c>
      <c r="E51" s="13">
        <v>5000</v>
      </c>
      <c r="F51" s="50">
        <f t="shared" si="2"/>
        <v>30000</v>
      </c>
      <c r="G51" s="71"/>
      <c r="H51" s="71"/>
      <c r="I51" s="72"/>
      <c r="J51" s="71"/>
      <c r="K51" s="71"/>
      <c r="L51" s="71">
        <f t="shared" si="0"/>
        <v>6</v>
      </c>
      <c r="N51" s="8" t="s">
        <v>946</v>
      </c>
    </row>
    <row r="52" spans="1:14" s="8" customFormat="1" ht="15.75" x14ac:dyDescent="0.25">
      <c r="A52" s="15" t="s">
        <v>40</v>
      </c>
      <c r="B52" s="16">
        <v>44193</v>
      </c>
      <c r="C52" s="26" t="s">
        <v>803</v>
      </c>
      <c r="D52" s="32">
        <v>6</v>
      </c>
      <c r="E52" s="13">
        <v>2600</v>
      </c>
      <c r="F52" s="50">
        <f t="shared" si="2"/>
        <v>15600</v>
      </c>
      <c r="G52" s="71"/>
      <c r="H52" s="71"/>
      <c r="I52" s="72"/>
      <c r="J52" s="71"/>
      <c r="K52" s="71"/>
      <c r="L52" s="71">
        <f t="shared" si="0"/>
        <v>6</v>
      </c>
      <c r="N52" s="8" t="s">
        <v>946</v>
      </c>
    </row>
    <row r="53" spans="1:14" s="8" customFormat="1" ht="15.75" x14ac:dyDescent="0.25">
      <c r="A53" s="15" t="s">
        <v>132</v>
      </c>
      <c r="B53" s="16">
        <v>44193</v>
      </c>
      <c r="C53" s="25" t="s">
        <v>773</v>
      </c>
      <c r="D53" s="14">
        <v>2</v>
      </c>
      <c r="E53" s="13">
        <v>325</v>
      </c>
      <c r="F53" s="50">
        <f t="shared" si="2"/>
        <v>650</v>
      </c>
      <c r="G53" s="71"/>
      <c r="H53" s="71"/>
      <c r="I53" s="72"/>
      <c r="J53" s="71"/>
      <c r="K53" s="71"/>
      <c r="L53" s="71">
        <f t="shared" si="0"/>
        <v>2</v>
      </c>
      <c r="N53" s="8" t="s">
        <v>945</v>
      </c>
    </row>
    <row r="54" spans="1:14" s="8" customFormat="1" ht="15.75" x14ac:dyDescent="0.25">
      <c r="A54" s="15" t="s">
        <v>41</v>
      </c>
      <c r="B54" s="16">
        <v>44193</v>
      </c>
      <c r="C54" s="25" t="s">
        <v>570</v>
      </c>
      <c r="D54" s="14">
        <f>(43*3)+1</f>
        <v>130</v>
      </c>
      <c r="E54" s="13">
        <v>25</v>
      </c>
      <c r="F54" s="50">
        <f t="shared" si="2"/>
        <v>3250</v>
      </c>
      <c r="G54" s="71"/>
      <c r="H54" s="71"/>
      <c r="I54" s="72"/>
      <c r="J54" s="71"/>
      <c r="K54" s="71"/>
      <c r="L54" s="71">
        <f t="shared" si="0"/>
        <v>130</v>
      </c>
      <c r="N54" s="8" t="s">
        <v>945</v>
      </c>
    </row>
    <row r="55" spans="1:14" s="8" customFormat="1" ht="15.75" x14ac:dyDescent="0.25">
      <c r="A55" s="15" t="s">
        <v>133</v>
      </c>
      <c r="B55" s="16">
        <v>44677</v>
      </c>
      <c r="C55" s="25" t="s">
        <v>571</v>
      </c>
      <c r="D55" s="14">
        <v>352</v>
      </c>
      <c r="E55" s="13">
        <v>14</v>
      </c>
      <c r="F55" s="50">
        <f t="shared" si="2"/>
        <v>4928</v>
      </c>
      <c r="G55" s="71"/>
      <c r="H55" s="71"/>
      <c r="I55" s="72"/>
      <c r="J55" s="71"/>
      <c r="K55" s="71">
        <f>2+2+1+1+2+2</f>
        <v>10</v>
      </c>
      <c r="L55" s="71">
        <f t="shared" si="0"/>
        <v>342</v>
      </c>
      <c r="N55" s="8" t="s">
        <v>945</v>
      </c>
    </row>
    <row r="56" spans="1:14" s="8" customFormat="1" ht="15.75" x14ac:dyDescent="0.25">
      <c r="A56" s="15" t="s">
        <v>134</v>
      </c>
      <c r="B56" s="23" t="s">
        <v>106</v>
      </c>
      <c r="C56" s="26" t="s">
        <v>572</v>
      </c>
      <c r="D56" s="32"/>
      <c r="E56" s="51">
        <v>84.75</v>
      </c>
      <c r="F56" s="50">
        <f t="shared" si="2"/>
        <v>0</v>
      </c>
      <c r="G56" s="71"/>
      <c r="H56" s="71"/>
      <c r="I56" s="72"/>
      <c r="J56" s="71"/>
      <c r="K56" s="71"/>
      <c r="L56" s="71">
        <f t="shared" si="0"/>
        <v>0</v>
      </c>
      <c r="N56" s="8" t="s">
        <v>946</v>
      </c>
    </row>
    <row r="57" spans="1:14" s="8" customFormat="1" ht="15.75" x14ac:dyDescent="0.25">
      <c r="A57" s="15" t="s">
        <v>42</v>
      </c>
      <c r="B57" s="16">
        <v>44193</v>
      </c>
      <c r="C57" s="26" t="s">
        <v>573</v>
      </c>
      <c r="D57" s="32"/>
      <c r="E57" s="13">
        <v>169.49</v>
      </c>
      <c r="F57" s="50">
        <f t="shared" si="2"/>
        <v>0</v>
      </c>
      <c r="G57" s="71"/>
      <c r="H57" s="71"/>
      <c r="I57" s="72"/>
      <c r="J57" s="71"/>
      <c r="K57" s="71"/>
      <c r="L57" s="71">
        <f t="shared" si="0"/>
        <v>0</v>
      </c>
      <c r="N57" s="8" t="s">
        <v>946</v>
      </c>
    </row>
    <row r="58" spans="1:14" s="8" customFormat="1" ht="15.75" x14ac:dyDescent="0.25">
      <c r="A58" s="15" t="s">
        <v>109</v>
      </c>
      <c r="B58" s="16">
        <v>44193</v>
      </c>
      <c r="C58" s="25" t="s">
        <v>574</v>
      </c>
      <c r="D58" s="14"/>
      <c r="E58" s="13">
        <v>76.27</v>
      </c>
      <c r="F58" s="50">
        <f t="shared" si="2"/>
        <v>0</v>
      </c>
      <c r="G58" s="71"/>
      <c r="H58" s="71"/>
      <c r="I58" s="72"/>
      <c r="J58" s="71"/>
      <c r="K58" s="71"/>
      <c r="L58" s="71">
        <f t="shared" si="0"/>
        <v>0</v>
      </c>
      <c r="N58" s="8" t="s">
        <v>946</v>
      </c>
    </row>
    <row r="59" spans="1:14" s="8" customFormat="1" ht="15.75" x14ac:dyDescent="0.25">
      <c r="A59" s="15" t="s">
        <v>135</v>
      </c>
      <c r="B59" s="16">
        <v>44193</v>
      </c>
      <c r="C59" s="25" t="s">
        <v>575</v>
      </c>
      <c r="D59" s="14"/>
      <c r="E59" s="13">
        <v>93.22</v>
      </c>
      <c r="F59" s="50">
        <f t="shared" si="2"/>
        <v>0</v>
      </c>
      <c r="G59" s="71"/>
      <c r="H59" s="71"/>
      <c r="I59" s="72"/>
      <c r="J59" s="71"/>
      <c r="K59" s="71"/>
      <c r="L59" s="71">
        <f t="shared" si="0"/>
        <v>0</v>
      </c>
      <c r="N59" s="8" t="s">
        <v>946</v>
      </c>
    </row>
    <row r="60" spans="1:14" s="8" customFormat="1" ht="15.75" x14ac:dyDescent="0.25">
      <c r="A60" s="15" t="s">
        <v>43</v>
      </c>
      <c r="B60" s="16">
        <v>44193</v>
      </c>
      <c r="C60" s="26" t="s">
        <v>576</v>
      </c>
      <c r="D60" s="32"/>
      <c r="E60" s="13">
        <v>122.8</v>
      </c>
      <c r="F60" s="50">
        <f t="shared" si="2"/>
        <v>0</v>
      </c>
      <c r="G60" s="71"/>
      <c r="H60" s="71"/>
      <c r="I60" s="72"/>
      <c r="J60" s="71"/>
      <c r="K60" s="71"/>
      <c r="L60" s="71">
        <f t="shared" si="0"/>
        <v>0</v>
      </c>
      <c r="N60" s="8" t="s">
        <v>946</v>
      </c>
    </row>
    <row r="61" spans="1:14" s="8" customFormat="1" ht="15.75" x14ac:dyDescent="0.25">
      <c r="A61" s="15" t="s">
        <v>45</v>
      </c>
      <c r="B61" s="16">
        <v>44453</v>
      </c>
      <c r="C61" s="9" t="s">
        <v>577</v>
      </c>
      <c r="D61" s="48">
        <v>0</v>
      </c>
      <c r="E61" s="13">
        <v>3000</v>
      </c>
      <c r="F61" s="50">
        <f t="shared" si="2"/>
        <v>0</v>
      </c>
      <c r="G61" s="71"/>
      <c r="H61" s="71"/>
      <c r="I61" s="72"/>
      <c r="J61" s="71"/>
      <c r="K61" s="71"/>
      <c r="L61" s="71">
        <f t="shared" si="0"/>
        <v>0</v>
      </c>
      <c r="N61" s="8" t="s">
        <v>946</v>
      </c>
    </row>
    <row r="62" spans="1:14" s="8" customFormat="1" ht="15.75" x14ac:dyDescent="0.25">
      <c r="A62" s="15" t="s">
        <v>46</v>
      </c>
      <c r="B62" s="16">
        <v>44193</v>
      </c>
      <c r="C62" s="26" t="s">
        <v>578</v>
      </c>
      <c r="D62" s="32">
        <v>0</v>
      </c>
      <c r="E62" s="13">
        <v>63.56</v>
      </c>
      <c r="F62" s="50">
        <f t="shared" si="2"/>
        <v>0</v>
      </c>
      <c r="G62" s="71"/>
      <c r="H62" s="71"/>
      <c r="I62" s="72"/>
      <c r="J62" s="71"/>
      <c r="K62" s="71"/>
      <c r="L62" s="71">
        <f t="shared" si="0"/>
        <v>0</v>
      </c>
      <c r="N62" s="8" t="s">
        <v>946</v>
      </c>
    </row>
    <row r="63" spans="1:14" s="8" customFormat="1" ht="15.75" x14ac:dyDescent="0.25">
      <c r="A63" s="15" t="s">
        <v>47</v>
      </c>
      <c r="B63" s="16">
        <v>44193</v>
      </c>
      <c r="C63" s="26" t="s">
        <v>819</v>
      </c>
      <c r="D63" s="32">
        <v>2</v>
      </c>
      <c r="E63" s="13"/>
      <c r="F63" s="50"/>
      <c r="G63" s="71"/>
      <c r="H63" s="71"/>
      <c r="I63" s="72"/>
      <c r="J63" s="71"/>
      <c r="K63" s="71"/>
      <c r="L63" s="71">
        <f t="shared" si="0"/>
        <v>2</v>
      </c>
      <c r="N63" s="8" t="s">
        <v>946</v>
      </c>
    </row>
    <row r="64" spans="1:14" s="8" customFormat="1" ht="15.75" x14ac:dyDescent="0.25">
      <c r="A64" s="15" t="s">
        <v>48</v>
      </c>
      <c r="B64" s="16">
        <v>44193</v>
      </c>
      <c r="C64" s="26" t="s">
        <v>817</v>
      </c>
      <c r="D64" s="32">
        <v>7</v>
      </c>
      <c r="E64" s="13"/>
      <c r="F64" s="50"/>
      <c r="G64" s="71"/>
      <c r="H64" s="71"/>
      <c r="I64" s="72"/>
      <c r="J64" s="71"/>
      <c r="K64" s="71"/>
      <c r="L64" s="71">
        <f t="shared" si="0"/>
        <v>7</v>
      </c>
      <c r="N64" s="8" t="s">
        <v>946</v>
      </c>
    </row>
    <row r="65" spans="1:14" s="8" customFormat="1" ht="15.75" x14ac:dyDescent="0.25">
      <c r="A65" s="15" t="s">
        <v>49</v>
      </c>
      <c r="B65" s="16">
        <v>44193</v>
      </c>
      <c r="C65" s="26" t="s">
        <v>818</v>
      </c>
      <c r="D65" s="32">
        <v>8</v>
      </c>
      <c r="E65" s="13"/>
      <c r="F65" s="50"/>
      <c r="G65" s="71"/>
      <c r="H65" s="71"/>
      <c r="I65" s="72"/>
      <c r="J65" s="71"/>
      <c r="K65" s="71"/>
      <c r="L65" s="71">
        <f t="shared" si="0"/>
        <v>8</v>
      </c>
      <c r="N65" s="8" t="s">
        <v>946</v>
      </c>
    </row>
    <row r="66" spans="1:14" s="8" customFormat="1" ht="15.75" x14ac:dyDescent="0.25">
      <c r="A66" s="15" t="s">
        <v>50</v>
      </c>
      <c r="B66" s="23" t="s">
        <v>116</v>
      </c>
      <c r="C66" s="25" t="s">
        <v>720</v>
      </c>
      <c r="D66" s="32">
        <v>1</v>
      </c>
      <c r="E66" s="51">
        <v>3000</v>
      </c>
      <c r="F66" s="50">
        <f>D66*E66</f>
        <v>3000</v>
      </c>
      <c r="G66" s="71"/>
      <c r="H66" s="71"/>
      <c r="I66" s="72"/>
      <c r="J66" s="71"/>
      <c r="K66" s="71"/>
      <c r="L66" s="71">
        <f t="shared" si="0"/>
        <v>1</v>
      </c>
      <c r="N66" s="8" t="s">
        <v>947</v>
      </c>
    </row>
    <row r="67" spans="1:14" s="8" customFormat="1" ht="15.75" x14ac:dyDescent="0.25">
      <c r="A67" s="15" t="s">
        <v>51</v>
      </c>
      <c r="B67" s="16">
        <v>44193</v>
      </c>
      <c r="C67" s="26" t="s">
        <v>579</v>
      </c>
      <c r="D67" s="32">
        <v>0</v>
      </c>
      <c r="E67" s="13">
        <v>35</v>
      </c>
      <c r="F67" s="50">
        <f t="shared" ref="F67:F88" si="3">D67*E67</f>
        <v>0</v>
      </c>
      <c r="G67" s="71"/>
      <c r="H67" s="71"/>
      <c r="I67" s="72"/>
      <c r="J67" s="71"/>
      <c r="K67" s="71"/>
      <c r="L67" s="71">
        <f t="shared" si="0"/>
        <v>0</v>
      </c>
      <c r="N67" s="8" t="s">
        <v>946</v>
      </c>
    </row>
    <row r="68" spans="1:14" s="8" customFormat="1" ht="15.75" x14ac:dyDescent="0.25">
      <c r="A68" s="15" t="s">
        <v>52</v>
      </c>
      <c r="B68" s="16">
        <v>44193</v>
      </c>
      <c r="C68" s="25" t="s">
        <v>794</v>
      </c>
      <c r="D68" s="38">
        <v>1</v>
      </c>
      <c r="E68" s="13">
        <v>97.96</v>
      </c>
      <c r="F68" s="50">
        <f t="shared" si="3"/>
        <v>97.96</v>
      </c>
      <c r="G68" s="71"/>
      <c r="H68" s="71"/>
      <c r="I68" s="72"/>
      <c r="J68" s="71"/>
      <c r="K68" s="71"/>
      <c r="L68" s="71">
        <f t="shared" si="0"/>
        <v>1</v>
      </c>
      <c r="N68" s="8" t="s">
        <v>946</v>
      </c>
    </row>
    <row r="69" spans="1:14" s="8" customFormat="1" ht="15.75" x14ac:dyDescent="0.25">
      <c r="A69" s="15" t="s">
        <v>53</v>
      </c>
      <c r="B69" s="16">
        <v>44193</v>
      </c>
      <c r="C69" s="9" t="s">
        <v>580</v>
      </c>
      <c r="D69" s="58">
        <v>22</v>
      </c>
      <c r="E69" s="13">
        <v>18</v>
      </c>
      <c r="F69" s="50">
        <f t="shared" si="3"/>
        <v>396</v>
      </c>
      <c r="G69" s="71"/>
      <c r="H69" s="71"/>
      <c r="I69" s="72"/>
      <c r="J69" s="71"/>
      <c r="K69" s="71"/>
      <c r="L69" s="71">
        <f t="shared" si="0"/>
        <v>22</v>
      </c>
      <c r="N69" s="8" t="s">
        <v>947</v>
      </c>
    </row>
    <row r="70" spans="1:14" s="8" customFormat="1" ht="15.75" x14ac:dyDescent="0.25">
      <c r="A70" s="15" t="s">
        <v>44</v>
      </c>
      <c r="B70" s="16">
        <v>44193</v>
      </c>
      <c r="C70" s="9" t="s">
        <v>581</v>
      </c>
      <c r="D70" s="48">
        <v>0</v>
      </c>
      <c r="E70" s="13">
        <v>114</v>
      </c>
      <c r="F70" s="50">
        <f t="shared" si="3"/>
        <v>0</v>
      </c>
      <c r="G70" s="71"/>
      <c r="H70" s="71"/>
      <c r="I70" s="72"/>
      <c r="J70" s="71"/>
      <c r="K70" s="71"/>
      <c r="L70" s="71">
        <f t="shared" si="0"/>
        <v>0</v>
      </c>
      <c r="N70" s="8" t="s">
        <v>947</v>
      </c>
    </row>
    <row r="71" spans="1:14" s="8" customFormat="1" ht="15.75" x14ac:dyDescent="0.25">
      <c r="A71" s="15" t="s">
        <v>113</v>
      </c>
      <c r="B71" s="16">
        <v>44193</v>
      </c>
      <c r="C71" s="9" t="s">
        <v>582</v>
      </c>
      <c r="D71" s="48">
        <v>50</v>
      </c>
      <c r="E71" s="13">
        <v>150</v>
      </c>
      <c r="F71" s="50">
        <f t="shared" si="3"/>
        <v>7500</v>
      </c>
      <c r="G71" s="71"/>
      <c r="H71" s="71"/>
      <c r="I71" s="72"/>
      <c r="J71" s="71"/>
      <c r="K71" s="71"/>
      <c r="L71" s="71">
        <f t="shared" si="0"/>
        <v>50</v>
      </c>
      <c r="N71" s="8" t="s">
        <v>947</v>
      </c>
    </row>
    <row r="72" spans="1:14" s="8" customFormat="1" ht="15.75" x14ac:dyDescent="0.25">
      <c r="A72" s="15" t="s">
        <v>136</v>
      </c>
      <c r="B72" s="16">
        <v>44193</v>
      </c>
      <c r="C72" s="26" t="s">
        <v>583</v>
      </c>
      <c r="D72" s="14">
        <v>0</v>
      </c>
      <c r="E72" s="13">
        <v>105.93</v>
      </c>
      <c r="F72" s="50">
        <f t="shared" si="3"/>
        <v>0</v>
      </c>
      <c r="G72" s="71"/>
      <c r="H72" s="71"/>
      <c r="I72" s="72"/>
      <c r="J72" s="71"/>
      <c r="K72" s="71"/>
      <c r="L72" s="71">
        <f t="shared" si="0"/>
        <v>0</v>
      </c>
      <c r="N72" s="8" t="s">
        <v>946</v>
      </c>
    </row>
    <row r="73" spans="1:14" s="8" customFormat="1" ht="15.75" x14ac:dyDescent="0.25">
      <c r="A73" s="15" t="s">
        <v>137</v>
      </c>
      <c r="B73" s="16">
        <v>44193</v>
      </c>
      <c r="C73" s="26" t="s">
        <v>584</v>
      </c>
      <c r="D73" s="14">
        <v>1</v>
      </c>
      <c r="E73" s="13">
        <v>762.71</v>
      </c>
      <c r="F73" s="50">
        <f t="shared" si="3"/>
        <v>762.71</v>
      </c>
      <c r="G73" s="71"/>
      <c r="H73" s="71"/>
      <c r="I73" s="72"/>
      <c r="J73" s="71"/>
      <c r="K73" s="71"/>
      <c r="L73" s="71">
        <f t="shared" si="0"/>
        <v>1</v>
      </c>
      <c r="N73" s="8" t="s">
        <v>946</v>
      </c>
    </row>
    <row r="74" spans="1:14" s="8" customFormat="1" ht="15.75" x14ac:dyDescent="0.25">
      <c r="A74" s="15" t="s">
        <v>138</v>
      </c>
      <c r="B74" s="16">
        <v>44193</v>
      </c>
      <c r="C74" s="26" t="s">
        <v>585</v>
      </c>
      <c r="D74" s="14">
        <v>0</v>
      </c>
      <c r="E74" s="13">
        <v>338.98</v>
      </c>
      <c r="F74" s="50">
        <f t="shared" si="3"/>
        <v>0</v>
      </c>
      <c r="G74" s="71"/>
      <c r="H74" s="71"/>
      <c r="I74" s="72"/>
      <c r="J74" s="71"/>
      <c r="K74" s="71"/>
      <c r="L74" s="71">
        <f t="shared" ref="L74:L137" si="4">+D74+H74-K74</f>
        <v>0</v>
      </c>
      <c r="N74" s="8" t="s">
        <v>946</v>
      </c>
    </row>
    <row r="75" spans="1:14" s="8" customFormat="1" ht="15.75" x14ac:dyDescent="0.25">
      <c r="A75" s="15" t="s">
        <v>54</v>
      </c>
      <c r="B75" s="16">
        <v>44193</v>
      </c>
      <c r="C75" s="9" t="s">
        <v>586</v>
      </c>
      <c r="D75" s="30">
        <v>8</v>
      </c>
      <c r="E75" s="13">
        <v>17.07</v>
      </c>
      <c r="F75" s="50">
        <f t="shared" si="3"/>
        <v>136.56</v>
      </c>
      <c r="G75" s="71"/>
      <c r="H75" s="71"/>
      <c r="I75" s="72"/>
      <c r="J75" s="71"/>
      <c r="K75" s="71"/>
      <c r="L75" s="71">
        <f t="shared" si="4"/>
        <v>8</v>
      </c>
      <c r="N75" s="8" t="s">
        <v>947</v>
      </c>
    </row>
    <row r="76" spans="1:14" s="8" customFormat="1" ht="15.75" x14ac:dyDescent="0.25">
      <c r="A76" s="15" t="s">
        <v>55</v>
      </c>
      <c r="B76" s="16">
        <v>44193</v>
      </c>
      <c r="C76" s="26" t="s">
        <v>587</v>
      </c>
      <c r="D76" s="30">
        <v>129</v>
      </c>
      <c r="E76" s="13">
        <v>134</v>
      </c>
      <c r="F76" s="50">
        <f t="shared" si="3"/>
        <v>17286</v>
      </c>
      <c r="G76" s="71"/>
      <c r="H76" s="71"/>
      <c r="I76" s="72"/>
      <c r="J76" s="71"/>
      <c r="K76" s="71">
        <f>1+2</f>
        <v>3</v>
      </c>
      <c r="L76" s="71">
        <f t="shared" si="4"/>
        <v>126</v>
      </c>
      <c r="N76" s="8" t="s">
        <v>945</v>
      </c>
    </row>
    <row r="77" spans="1:14" s="8" customFormat="1" ht="15.75" x14ac:dyDescent="0.25">
      <c r="A77" s="15" t="s">
        <v>56</v>
      </c>
      <c r="B77" s="23" t="s">
        <v>106</v>
      </c>
      <c r="C77" s="26" t="s">
        <v>774</v>
      </c>
      <c r="D77" s="30">
        <v>67</v>
      </c>
      <c r="E77" s="51">
        <v>50</v>
      </c>
      <c r="F77" s="50">
        <f t="shared" si="3"/>
        <v>3350</v>
      </c>
      <c r="G77" s="71"/>
      <c r="H77" s="71"/>
      <c r="I77" s="72"/>
      <c r="J77" s="71"/>
      <c r="K77" s="71">
        <f>2+4</f>
        <v>6</v>
      </c>
      <c r="L77" s="71">
        <f t="shared" si="4"/>
        <v>61</v>
      </c>
      <c r="N77" s="8" t="s">
        <v>945</v>
      </c>
    </row>
    <row r="78" spans="1:14" s="8" customFormat="1" ht="15.75" x14ac:dyDescent="0.25">
      <c r="A78" s="15" t="s">
        <v>100</v>
      </c>
      <c r="B78" s="16">
        <v>44488</v>
      </c>
      <c r="C78" s="26" t="s">
        <v>589</v>
      </c>
      <c r="D78" s="30">
        <v>3</v>
      </c>
      <c r="E78" s="13">
        <v>2200</v>
      </c>
      <c r="F78" s="50">
        <f t="shared" si="3"/>
        <v>6600</v>
      </c>
      <c r="G78" s="71"/>
      <c r="H78" s="71"/>
      <c r="I78" s="72"/>
      <c r="J78" s="71"/>
      <c r="K78" s="71"/>
      <c r="L78" s="71">
        <f t="shared" si="4"/>
        <v>3</v>
      </c>
      <c r="N78" s="8" t="s">
        <v>945</v>
      </c>
    </row>
    <row r="79" spans="1:14" s="8" customFormat="1" ht="15.75" x14ac:dyDescent="0.25">
      <c r="A79" s="15" t="s">
        <v>57</v>
      </c>
      <c r="B79" s="16">
        <v>44193</v>
      </c>
      <c r="C79" s="9" t="s">
        <v>590</v>
      </c>
      <c r="D79" s="30">
        <v>0</v>
      </c>
      <c r="E79" s="13">
        <v>402.54</v>
      </c>
      <c r="F79" s="50">
        <f t="shared" si="3"/>
        <v>0</v>
      </c>
      <c r="G79" s="71"/>
      <c r="H79" s="71"/>
      <c r="I79" s="72"/>
      <c r="J79" s="71"/>
      <c r="K79" s="71"/>
      <c r="L79" s="71">
        <f t="shared" si="4"/>
        <v>0</v>
      </c>
      <c r="N79" s="8" t="s">
        <v>946</v>
      </c>
    </row>
    <row r="80" spans="1:14" s="8" customFormat="1" ht="15.75" x14ac:dyDescent="0.25">
      <c r="A80" s="15" t="s">
        <v>139</v>
      </c>
      <c r="B80" s="16">
        <v>44193</v>
      </c>
      <c r="C80" s="9" t="s">
        <v>591</v>
      </c>
      <c r="D80" s="30">
        <v>11</v>
      </c>
      <c r="E80" s="13">
        <v>37.74</v>
      </c>
      <c r="F80" s="50">
        <f t="shared" si="3"/>
        <v>415.14000000000004</v>
      </c>
      <c r="G80" s="71"/>
      <c r="H80" s="71"/>
      <c r="I80" s="72"/>
      <c r="J80" s="71"/>
      <c r="K80" s="71"/>
      <c r="L80" s="71">
        <f t="shared" si="4"/>
        <v>11</v>
      </c>
      <c r="N80" s="8" t="s">
        <v>946</v>
      </c>
    </row>
    <row r="81" spans="1:14" s="8" customFormat="1" ht="15.75" x14ac:dyDescent="0.25">
      <c r="A81" s="15" t="s">
        <v>140</v>
      </c>
      <c r="B81" s="16">
        <v>44193</v>
      </c>
      <c r="C81" s="9" t="s">
        <v>592</v>
      </c>
      <c r="D81" s="30">
        <v>0</v>
      </c>
      <c r="E81" s="13">
        <v>55</v>
      </c>
      <c r="F81" s="50">
        <f t="shared" si="3"/>
        <v>0</v>
      </c>
      <c r="G81" s="71"/>
      <c r="H81" s="71"/>
      <c r="I81" s="72"/>
      <c r="J81" s="71"/>
      <c r="K81" s="71"/>
      <c r="L81" s="71">
        <f t="shared" si="4"/>
        <v>0</v>
      </c>
      <c r="N81" s="8" t="s">
        <v>947</v>
      </c>
    </row>
    <row r="82" spans="1:14" s="8" customFormat="1" ht="15.75" x14ac:dyDescent="0.25">
      <c r="A82" s="15" t="s">
        <v>141</v>
      </c>
      <c r="B82" s="16">
        <v>44193</v>
      </c>
      <c r="C82" s="9" t="s">
        <v>593</v>
      </c>
      <c r="D82" s="30">
        <v>6</v>
      </c>
      <c r="E82" s="13">
        <v>4740</v>
      </c>
      <c r="F82" s="50">
        <f t="shared" si="3"/>
        <v>28440</v>
      </c>
      <c r="G82" s="71"/>
      <c r="H82" s="71"/>
      <c r="I82" s="72"/>
      <c r="J82" s="71"/>
      <c r="K82" s="71"/>
      <c r="L82" s="71">
        <f t="shared" si="4"/>
        <v>6</v>
      </c>
      <c r="N82" s="8" t="s">
        <v>947</v>
      </c>
    </row>
    <row r="83" spans="1:14" s="8" customFormat="1" ht="15.75" x14ac:dyDescent="0.25">
      <c r="A83" s="15" t="s">
        <v>58</v>
      </c>
      <c r="B83" s="16">
        <v>44193</v>
      </c>
      <c r="C83" s="9" t="s">
        <v>594</v>
      </c>
      <c r="D83" s="30">
        <v>1</v>
      </c>
      <c r="E83" s="13">
        <v>2535</v>
      </c>
      <c r="F83" s="50">
        <f t="shared" si="3"/>
        <v>2535</v>
      </c>
      <c r="G83" s="71"/>
      <c r="H83" s="71"/>
      <c r="I83" s="72"/>
      <c r="J83" s="71"/>
      <c r="K83" s="71"/>
      <c r="L83" s="71">
        <f t="shared" si="4"/>
        <v>1</v>
      </c>
      <c r="N83" s="8" t="s">
        <v>947</v>
      </c>
    </row>
    <row r="84" spans="1:14" s="8" customFormat="1" ht="15.75" x14ac:dyDescent="0.25">
      <c r="A84" s="15" t="s">
        <v>59</v>
      </c>
      <c r="B84" s="16">
        <v>44193</v>
      </c>
      <c r="C84" s="9" t="s">
        <v>595</v>
      </c>
      <c r="D84" s="30">
        <v>0</v>
      </c>
      <c r="E84" s="13">
        <v>211.86</v>
      </c>
      <c r="F84" s="50">
        <f t="shared" si="3"/>
        <v>0</v>
      </c>
      <c r="G84" s="71"/>
      <c r="H84" s="71"/>
      <c r="I84" s="72"/>
      <c r="J84" s="71"/>
      <c r="K84" s="71"/>
      <c r="L84" s="71">
        <f t="shared" si="4"/>
        <v>0</v>
      </c>
      <c r="N84" s="8" t="s">
        <v>947</v>
      </c>
    </row>
    <row r="85" spans="1:14" s="8" customFormat="1" ht="15.75" x14ac:dyDescent="0.25">
      <c r="A85" s="15" t="s">
        <v>60</v>
      </c>
      <c r="B85" s="16">
        <v>44193</v>
      </c>
      <c r="C85" s="9" t="s">
        <v>596</v>
      </c>
      <c r="D85" s="30">
        <v>0</v>
      </c>
      <c r="E85" s="13">
        <v>70</v>
      </c>
      <c r="F85" s="50">
        <f t="shared" si="3"/>
        <v>0</v>
      </c>
      <c r="G85" s="71"/>
      <c r="H85" s="71"/>
      <c r="I85" s="72"/>
      <c r="J85" s="71"/>
      <c r="K85" s="71"/>
      <c r="L85" s="71">
        <f t="shared" si="4"/>
        <v>0</v>
      </c>
      <c r="N85" s="8" t="s">
        <v>947</v>
      </c>
    </row>
    <row r="86" spans="1:14" s="8" customFormat="1" ht="15.75" x14ac:dyDescent="0.25">
      <c r="A86" s="15" t="s">
        <v>61</v>
      </c>
      <c r="B86" s="16">
        <v>44193</v>
      </c>
      <c r="C86" s="26" t="s">
        <v>597</v>
      </c>
      <c r="D86" s="30">
        <v>2</v>
      </c>
      <c r="E86" s="13">
        <v>148.31</v>
      </c>
      <c r="F86" s="50">
        <f t="shared" si="3"/>
        <v>296.62</v>
      </c>
      <c r="G86" s="71"/>
      <c r="H86" s="71"/>
      <c r="I86" s="72"/>
      <c r="J86" s="71"/>
      <c r="K86" s="71"/>
      <c r="L86" s="71">
        <f t="shared" si="4"/>
        <v>2</v>
      </c>
      <c r="N86" s="8" t="s">
        <v>947</v>
      </c>
    </row>
    <row r="87" spans="1:14" s="8" customFormat="1" ht="15.75" x14ac:dyDescent="0.25">
      <c r="A87" s="15" t="s">
        <v>62</v>
      </c>
      <c r="B87" s="16">
        <v>44547</v>
      </c>
      <c r="C87" s="9" t="s">
        <v>598</v>
      </c>
      <c r="D87" s="30">
        <v>24</v>
      </c>
      <c r="E87" s="13">
        <v>200</v>
      </c>
      <c r="F87" s="50">
        <f t="shared" si="3"/>
        <v>4800</v>
      </c>
      <c r="G87" s="71"/>
      <c r="H87" s="71"/>
      <c r="I87" s="72"/>
      <c r="J87" s="71"/>
      <c r="K87" s="71"/>
      <c r="L87" s="71">
        <f t="shared" si="4"/>
        <v>24</v>
      </c>
      <c r="N87" s="8" t="s">
        <v>947</v>
      </c>
    </row>
    <row r="88" spans="1:14" s="8" customFormat="1" ht="15.75" x14ac:dyDescent="0.25">
      <c r="A88" s="15" t="s">
        <v>63</v>
      </c>
      <c r="B88" s="16">
        <v>44193</v>
      </c>
      <c r="C88" s="9" t="s">
        <v>599</v>
      </c>
      <c r="D88" s="30">
        <v>0</v>
      </c>
      <c r="E88" s="13">
        <v>65</v>
      </c>
      <c r="F88" s="50">
        <f t="shared" si="3"/>
        <v>0</v>
      </c>
      <c r="G88" s="71"/>
      <c r="H88" s="71"/>
      <c r="I88" s="72"/>
      <c r="J88" s="71"/>
      <c r="K88" s="71"/>
      <c r="L88" s="71">
        <f t="shared" si="4"/>
        <v>0</v>
      </c>
      <c r="N88" s="8" t="s">
        <v>947</v>
      </c>
    </row>
    <row r="89" spans="1:14" s="8" customFormat="1" ht="15.75" x14ac:dyDescent="0.25">
      <c r="A89" s="15" t="s">
        <v>64</v>
      </c>
      <c r="B89" s="16">
        <v>44193</v>
      </c>
      <c r="C89" s="25" t="s">
        <v>850</v>
      </c>
      <c r="D89" s="38">
        <v>1</v>
      </c>
      <c r="E89" s="13"/>
      <c r="F89" s="50"/>
      <c r="G89" s="71"/>
      <c r="H89" s="71"/>
      <c r="I89" s="72"/>
      <c r="J89" s="71"/>
      <c r="K89" s="71"/>
      <c r="L89" s="71">
        <f t="shared" si="4"/>
        <v>1</v>
      </c>
      <c r="N89" s="8" t="s">
        <v>945</v>
      </c>
    </row>
    <row r="90" spans="1:14" s="8" customFormat="1" ht="15.75" x14ac:dyDescent="0.25">
      <c r="A90" s="15" t="s">
        <v>65</v>
      </c>
      <c r="B90" s="16">
        <v>44193</v>
      </c>
      <c r="C90" s="9" t="s">
        <v>851</v>
      </c>
      <c r="D90" s="30">
        <v>6</v>
      </c>
      <c r="E90" s="13">
        <v>115</v>
      </c>
      <c r="F90" s="50">
        <f>D90*E90</f>
        <v>690</v>
      </c>
      <c r="G90" s="71"/>
      <c r="H90" s="71"/>
      <c r="I90" s="72"/>
      <c r="J90" s="71"/>
      <c r="K90" s="71"/>
      <c r="L90" s="71">
        <f t="shared" si="4"/>
        <v>6</v>
      </c>
      <c r="N90" s="8" t="s">
        <v>947</v>
      </c>
    </row>
    <row r="91" spans="1:14" s="8" customFormat="1" ht="15.75" x14ac:dyDescent="0.25">
      <c r="A91" s="15" t="s">
        <v>66</v>
      </c>
      <c r="B91" s="16">
        <v>44547</v>
      </c>
      <c r="C91" s="9" t="s">
        <v>775</v>
      </c>
      <c r="D91" s="30">
        <v>10</v>
      </c>
      <c r="E91" s="13">
        <v>155</v>
      </c>
      <c r="F91" s="50">
        <f>D91*E91</f>
        <v>1550</v>
      </c>
      <c r="G91" s="71"/>
      <c r="H91" s="71"/>
      <c r="I91" s="72"/>
      <c r="J91" s="71"/>
      <c r="K91" s="71"/>
      <c r="L91" s="71">
        <f t="shared" si="4"/>
        <v>10</v>
      </c>
      <c r="N91" s="8" t="s">
        <v>947</v>
      </c>
    </row>
    <row r="92" spans="1:14" s="8" customFormat="1" ht="15.75" x14ac:dyDescent="0.25">
      <c r="A92" s="15" t="s">
        <v>68</v>
      </c>
      <c r="B92" s="16">
        <v>44453</v>
      </c>
      <c r="C92" s="25" t="s">
        <v>603</v>
      </c>
      <c r="D92" s="14">
        <v>4</v>
      </c>
      <c r="E92" s="13">
        <v>7500</v>
      </c>
      <c r="F92" s="50">
        <f>D92*E92</f>
        <v>30000</v>
      </c>
      <c r="G92" s="71"/>
      <c r="H92" s="71"/>
      <c r="I92" s="72"/>
      <c r="J92" s="71"/>
      <c r="K92" s="71"/>
      <c r="L92" s="71">
        <f t="shared" si="4"/>
        <v>4</v>
      </c>
      <c r="N92" s="8" t="s">
        <v>945</v>
      </c>
    </row>
    <row r="93" spans="1:14" s="8" customFormat="1" ht="15.75" x14ac:dyDescent="0.25">
      <c r="A93" s="15" t="s">
        <v>67</v>
      </c>
      <c r="B93" s="16">
        <v>44659</v>
      </c>
      <c r="C93" s="25" t="s">
        <v>776</v>
      </c>
      <c r="D93" s="14">
        <v>108</v>
      </c>
      <c r="E93" s="13">
        <v>156.66667000000001</v>
      </c>
      <c r="F93" s="50">
        <f>D93*E93</f>
        <v>16920.000360000002</v>
      </c>
      <c r="G93" s="71"/>
      <c r="H93" s="71"/>
      <c r="I93" s="72"/>
      <c r="J93" s="71"/>
      <c r="K93" s="71">
        <f>1+1+1+2+1+1+1+1+1+1+1+1</f>
        <v>13</v>
      </c>
      <c r="L93" s="71">
        <f t="shared" si="4"/>
        <v>95</v>
      </c>
      <c r="N93" s="8" t="s">
        <v>945</v>
      </c>
    </row>
    <row r="94" spans="1:14" s="8" customFormat="1" ht="15.75" x14ac:dyDescent="0.25">
      <c r="A94" s="15" t="s">
        <v>69</v>
      </c>
      <c r="B94" s="16">
        <v>44193</v>
      </c>
      <c r="C94" s="25" t="s">
        <v>844</v>
      </c>
      <c r="D94" s="14">
        <v>20</v>
      </c>
      <c r="E94" s="13">
        <v>30.5</v>
      </c>
      <c r="F94" s="50">
        <f>D94*E94</f>
        <v>610</v>
      </c>
      <c r="G94" s="71"/>
      <c r="H94" s="71"/>
      <c r="I94" s="72"/>
      <c r="J94" s="71"/>
      <c r="K94" s="71"/>
      <c r="L94" s="71">
        <f t="shared" si="4"/>
        <v>20</v>
      </c>
      <c r="N94" s="8" t="s">
        <v>946</v>
      </c>
    </row>
    <row r="95" spans="1:14" s="8" customFormat="1" ht="15.75" x14ac:dyDescent="0.25">
      <c r="A95" s="15" t="s">
        <v>103</v>
      </c>
      <c r="B95" s="16">
        <v>44193</v>
      </c>
      <c r="C95" s="25" t="s">
        <v>789</v>
      </c>
      <c r="D95" s="14">
        <f>21+8+14</f>
        <v>43</v>
      </c>
      <c r="E95" s="13">
        <v>11.24</v>
      </c>
      <c r="F95" s="50">
        <f t="shared" ref="F95:F133" si="5">D95*E95</f>
        <v>483.32</v>
      </c>
      <c r="G95" s="71"/>
      <c r="H95" s="71"/>
      <c r="I95" s="72"/>
      <c r="J95" s="71"/>
      <c r="K95" s="71"/>
      <c r="L95" s="71">
        <f t="shared" si="4"/>
        <v>43</v>
      </c>
      <c r="N95" s="8" t="s">
        <v>946</v>
      </c>
    </row>
    <row r="96" spans="1:14" s="8" customFormat="1" ht="15.75" x14ac:dyDescent="0.25">
      <c r="A96" s="15" t="s">
        <v>104</v>
      </c>
      <c r="B96" s="16">
        <v>44193</v>
      </c>
      <c r="C96" s="25" t="s">
        <v>788</v>
      </c>
      <c r="D96" s="14">
        <f>16+6+7+2</f>
        <v>31</v>
      </c>
      <c r="E96" s="13">
        <v>11.24</v>
      </c>
      <c r="F96" s="50">
        <f t="shared" si="5"/>
        <v>348.44</v>
      </c>
      <c r="G96" s="71"/>
      <c r="H96" s="71"/>
      <c r="I96" s="72"/>
      <c r="J96" s="71"/>
      <c r="K96" s="71"/>
      <c r="L96" s="71">
        <f t="shared" si="4"/>
        <v>31</v>
      </c>
      <c r="N96" s="8" t="s">
        <v>946</v>
      </c>
    </row>
    <row r="97" spans="1:14" s="8" customFormat="1" ht="15.75" x14ac:dyDescent="0.25">
      <c r="A97" s="15" t="s">
        <v>142</v>
      </c>
      <c r="B97" s="16">
        <v>44193</v>
      </c>
      <c r="C97" s="25" t="s">
        <v>604</v>
      </c>
      <c r="D97" s="14">
        <v>28</v>
      </c>
      <c r="E97" s="13">
        <v>45</v>
      </c>
      <c r="F97" s="50">
        <f t="shared" si="5"/>
        <v>1260</v>
      </c>
      <c r="G97" s="71"/>
      <c r="H97" s="71"/>
      <c r="I97" s="72"/>
      <c r="J97" s="71"/>
      <c r="K97" s="71"/>
      <c r="L97" s="71">
        <f t="shared" si="4"/>
        <v>28</v>
      </c>
      <c r="N97" s="8" t="s">
        <v>946</v>
      </c>
    </row>
    <row r="98" spans="1:14" s="8" customFormat="1" ht="15.75" x14ac:dyDescent="0.25">
      <c r="A98" s="15" t="s">
        <v>70</v>
      </c>
      <c r="B98" s="16">
        <v>44193</v>
      </c>
      <c r="C98" s="25" t="s">
        <v>605</v>
      </c>
      <c r="D98" s="14">
        <v>4</v>
      </c>
      <c r="E98" s="13">
        <v>40</v>
      </c>
      <c r="F98" s="50">
        <f t="shared" si="5"/>
        <v>160</v>
      </c>
      <c r="G98" s="71"/>
      <c r="H98" s="71"/>
      <c r="I98" s="72"/>
      <c r="J98" s="71"/>
      <c r="K98" s="71"/>
      <c r="L98" s="71">
        <f t="shared" si="4"/>
        <v>4</v>
      </c>
      <c r="N98" s="8" t="s">
        <v>946</v>
      </c>
    </row>
    <row r="99" spans="1:14" s="8" customFormat="1" ht="15.75" x14ac:dyDescent="0.25">
      <c r="A99" s="15" t="s">
        <v>71</v>
      </c>
      <c r="B99" s="16">
        <v>44193</v>
      </c>
      <c r="C99" s="25" t="s">
        <v>606</v>
      </c>
      <c r="D99" s="14">
        <v>39</v>
      </c>
      <c r="E99" s="13">
        <v>45</v>
      </c>
      <c r="F99" s="50">
        <f t="shared" si="5"/>
        <v>1755</v>
      </c>
      <c r="G99" s="71"/>
      <c r="H99" s="71"/>
      <c r="I99" s="72"/>
      <c r="J99" s="71"/>
      <c r="K99" s="71"/>
      <c r="L99" s="71">
        <f t="shared" si="4"/>
        <v>39</v>
      </c>
      <c r="N99" s="8" t="s">
        <v>946</v>
      </c>
    </row>
    <row r="100" spans="1:14" s="8" customFormat="1" ht="15.75" x14ac:dyDescent="0.25">
      <c r="A100" s="15" t="s">
        <v>72</v>
      </c>
      <c r="B100" s="16">
        <v>44193</v>
      </c>
      <c r="C100" s="25" t="s">
        <v>846</v>
      </c>
      <c r="D100" s="14">
        <v>1</v>
      </c>
      <c r="E100" s="13">
        <v>47</v>
      </c>
      <c r="F100" s="50">
        <f t="shared" si="5"/>
        <v>47</v>
      </c>
      <c r="G100" s="71"/>
      <c r="H100" s="71"/>
      <c r="I100" s="72"/>
      <c r="J100" s="71"/>
      <c r="K100" s="71"/>
      <c r="L100" s="71">
        <f t="shared" si="4"/>
        <v>1</v>
      </c>
      <c r="N100" s="8" t="s">
        <v>946</v>
      </c>
    </row>
    <row r="101" spans="1:14" s="8" customFormat="1" ht="15.75" x14ac:dyDescent="0.25">
      <c r="A101" s="15" t="s">
        <v>73</v>
      </c>
      <c r="B101" s="16">
        <v>44193</v>
      </c>
      <c r="C101" s="25" t="s">
        <v>607</v>
      </c>
      <c r="D101" s="14">
        <v>1</v>
      </c>
      <c r="E101" s="13">
        <v>40</v>
      </c>
      <c r="F101" s="50">
        <f t="shared" si="5"/>
        <v>40</v>
      </c>
      <c r="G101" s="71"/>
      <c r="H101" s="71"/>
      <c r="I101" s="72"/>
      <c r="J101" s="71"/>
      <c r="K101" s="71"/>
      <c r="L101" s="71">
        <f t="shared" si="4"/>
        <v>1</v>
      </c>
      <c r="N101" s="8" t="s">
        <v>946</v>
      </c>
    </row>
    <row r="102" spans="1:14" s="8" customFormat="1" ht="15.75" x14ac:dyDescent="0.25">
      <c r="A102" s="15" t="s">
        <v>74</v>
      </c>
      <c r="B102" s="16">
        <v>44193</v>
      </c>
      <c r="C102" s="25" t="s">
        <v>608</v>
      </c>
      <c r="D102" s="32">
        <v>2</v>
      </c>
      <c r="E102" s="13">
        <v>12.21</v>
      </c>
      <c r="F102" s="50">
        <f t="shared" si="5"/>
        <v>24.42</v>
      </c>
      <c r="G102" s="71"/>
      <c r="H102" s="71"/>
      <c r="I102" s="72"/>
      <c r="J102" s="71"/>
      <c r="K102" s="71"/>
      <c r="L102" s="71">
        <f t="shared" si="4"/>
        <v>2</v>
      </c>
      <c r="N102" s="8" t="s">
        <v>946</v>
      </c>
    </row>
    <row r="103" spans="1:14" s="8" customFormat="1" ht="15.75" x14ac:dyDescent="0.25">
      <c r="A103" s="15" t="s">
        <v>101</v>
      </c>
      <c r="B103" s="16">
        <v>44193</v>
      </c>
      <c r="C103" s="25" t="s">
        <v>609</v>
      </c>
      <c r="D103" s="32">
        <v>0</v>
      </c>
      <c r="E103" s="13">
        <v>4</v>
      </c>
      <c r="F103" s="50">
        <f t="shared" si="5"/>
        <v>0</v>
      </c>
      <c r="G103" s="71"/>
      <c r="H103" s="71"/>
      <c r="I103" s="72"/>
      <c r="J103" s="71"/>
      <c r="K103" s="71"/>
      <c r="L103" s="71">
        <f t="shared" si="4"/>
        <v>0</v>
      </c>
      <c r="N103" s="8" t="s">
        <v>946</v>
      </c>
    </row>
    <row r="104" spans="1:14" s="8" customFormat="1" ht="15.75" x14ac:dyDescent="0.25">
      <c r="A104" s="15" t="s">
        <v>75</v>
      </c>
      <c r="B104" s="16">
        <v>44193</v>
      </c>
      <c r="C104" s="25" t="s">
        <v>610</v>
      </c>
      <c r="D104" s="32">
        <f>13+7+29</f>
        <v>49</v>
      </c>
      <c r="E104" s="13">
        <v>5.05</v>
      </c>
      <c r="F104" s="50">
        <f t="shared" si="5"/>
        <v>247.45</v>
      </c>
      <c r="G104" s="71"/>
      <c r="H104" s="71"/>
      <c r="I104" s="72"/>
      <c r="J104" s="71"/>
      <c r="K104" s="71"/>
      <c r="L104" s="71">
        <f t="shared" si="4"/>
        <v>49</v>
      </c>
      <c r="N104" s="8" t="s">
        <v>946</v>
      </c>
    </row>
    <row r="105" spans="1:14" s="8" customFormat="1" ht="15.75" x14ac:dyDescent="0.25">
      <c r="A105" s="15" t="s">
        <v>102</v>
      </c>
      <c r="B105" s="16">
        <v>44193</v>
      </c>
      <c r="C105" s="25" t="s">
        <v>611</v>
      </c>
      <c r="D105" s="32">
        <v>0</v>
      </c>
      <c r="E105" s="13">
        <v>42.95</v>
      </c>
      <c r="F105" s="50">
        <f t="shared" si="5"/>
        <v>0</v>
      </c>
      <c r="G105" s="71"/>
      <c r="H105" s="71"/>
      <c r="I105" s="72"/>
      <c r="J105" s="71"/>
      <c r="K105" s="71"/>
      <c r="L105" s="71">
        <f t="shared" si="4"/>
        <v>0</v>
      </c>
      <c r="N105" s="8" t="s">
        <v>946</v>
      </c>
    </row>
    <row r="106" spans="1:14" s="8" customFormat="1" ht="15.75" x14ac:dyDescent="0.25">
      <c r="A106" s="15" t="s">
        <v>143</v>
      </c>
      <c r="B106" s="16">
        <v>44193</v>
      </c>
      <c r="C106" s="25" t="s">
        <v>612</v>
      </c>
      <c r="D106" s="30">
        <v>11</v>
      </c>
      <c r="E106" s="13">
        <v>19.95</v>
      </c>
      <c r="F106" s="50">
        <f t="shared" si="5"/>
        <v>219.45</v>
      </c>
      <c r="G106" s="71"/>
      <c r="H106" s="71"/>
      <c r="I106" s="72"/>
      <c r="J106" s="71"/>
      <c r="K106" s="71"/>
      <c r="L106" s="71">
        <f t="shared" si="4"/>
        <v>11</v>
      </c>
      <c r="N106" s="8" t="s">
        <v>946</v>
      </c>
    </row>
    <row r="107" spans="1:14" s="8" customFormat="1" ht="15.75" x14ac:dyDescent="0.25">
      <c r="A107" s="15" t="s">
        <v>334</v>
      </c>
      <c r="B107" s="16">
        <v>44193</v>
      </c>
      <c r="C107" s="25" t="s">
        <v>613</v>
      </c>
      <c r="D107" s="30">
        <f>6+7</f>
        <v>13</v>
      </c>
      <c r="E107" s="13">
        <v>5.78</v>
      </c>
      <c r="F107" s="50">
        <f t="shared" si="5"/>
        <v>75.14</v>
      </c>
      <c r="G107" s="71"/>
      <c r="H107" s="71"/>
      <c r="I107" s="72"/>
      <c r="J107" s="71"/>
      <c r="K107" s="71"/>
      <c r="L107" s="71">
        <f t="shared" si="4"/>
        <v>13</v>
      </c>
      <c r="N107" s="8" t="s">
        <v>946</v>
      </c>
    </row>
    <row r="108" spans="1:14" s="8" customFormat="1" ht="15.75" x14ac:dyDescent="0.25">
      <c r="A108" s="15" t="s">
        <v>335</v>
      </c>
      <c r="B108" s="16">
        <v>44193</v>
      </c>
      <c r="C108" s="25" t="s">
        <v>849</v>
      </c>
      <c r="D108" s="30">
        <v>1</v>
      </c>
      <c r="E108" s="13"/>
      <c r="F108" s="50">
        <f t="shared" si="5"/>
        <v>0</v>
      </c>
      <c r="G108" s="71"/>
      <c r="H108" s="71"/>
      <c r="I108" s="72"/>
      <c r="J108" s="71"/>
      <c r="K108" s="71"/>
      <c r="L108" s="71">
        <f t="shared" si="4"/>
        <v>1</v>
      </c>
      <c r="N108" s="8" t="s">
        <v>946</v>
      </c>
    </row>
    <row r="109" spans="1:14" s="8" customFormat="1" ht="15.75" x14ac:dyDescent="0.25">
      <c r="A109" s="15" t="s">
        <v>336</v>
      </c>
      <c r="B109" s="16">
        <v>44193</v>
      </c>
      <c r="C109" s="26" t="s">
        <v>821</v>
      </c>
      <c r="D109" s="30">
        <v>9</v>
      </c>
      <c r="E109" s="13">
        <v>77.540000000000006</v>
      </c>
      <c r="F109" s="50">
        <f t="shared" si="5"/>
        <v>697.86</v>
      </c>
      <c r="G109" s="71"/>
      <c r="H109" s="71"/>
      <c r="I109" s="72"/>
      <c r="J109" s="71"/>
      <c r="K109" s="71"/>
      <c r="L109" s="71">
        <f t="shared" si="4"/>
        <v>9</v>
      </c>
      <c r="N109" s="8" t="s">
        <v>946</v>
      </c>
    </row>
    <row r="110" spans="1:14" s="8" customFormat="1" ht="15.75" x14ac:dyDescent="0.25">
      <c r="A110" s="15" t="s">
        <v>337</v>
      </c>
      <c r="B110" s="16">
        <v>44193</v>
      </c>
      <c r="C110" s="26" t="s">
        <v>820</v>
      </c>
      <c r="D110" s="30">
        <v>21</v>
      </c>
      <c r="E110" s="13">
        <v>719.2</v>
      </c>
      <c r="F110" s="50">
        <f t="shared" si="5"/>
        <v>15103.2</v>
      </c>
      <c r="G110" s="71"/>
      <c r="H110" s="71"/>
      <c r="I110" s="72"/>
      <c r="J110" s="71"/>
      <c r="K110" s="71"/>
      <c r="L110" s="71">
        <f t="shared" si="4"/>
        <v>21</v>
      </c>
      <c r="N110" s="8" t="s">
        <v>946</v>
      </c>
    </row>
    <row r="111" spans="1:14" s="8" customFormat="1" ht="15.75" x14ac:dyDescent="0.25">
      <c r="A111" s="15" t="s">
        <v>338</v>
      </c>
      <c r="B111" s="16">
        <v>44193</v>
      </c>
      <c r="C111" s="26" t="s">
        <v>823</v>
      </c>
      <c r="D111" s="30">
        <v>3</v>
      </c>
      <c r="E111" s="13">
        <v>51</v>
      </c>
      <c r="F111" s="50">
        <f t="shared" si="5"/>
        <v>153</v>
      </c>
      <c r="G111" s="71"/>
      <c r="H111" s="71"/>
      <c r="I111" s="72"/>
      <c r="J111" s="71"/>
      <c r="K111" s="71"/>
      <c r="L111" s="71">
        <f t="shared" si="4"/>
        <v>3</v>
      </c>
      <c r="N111" s="8" t="s">
        <v>946</v>
      </c>
    </row>
    <row r="112" spans="1:14" s="8" customFormat="1" ht="15.75" x14ac:dyDescent="0.25">
      <c r="A112" s="15" t="s">
        <v>339</v>
      </c>
      <c r="B112" s="16">
        <v>44193</v>
      </c>
      <c r="C112" s="26" t="s">
        <v>822</v>
      </c>
      <c r="D112" s="30">
        <v>12</v>
      </c>
      <c r="E112" s="13">
        <v>66.11</v>
      </c>
      <c r="F112" s="50">
        <f t="shared" si="5"/>
        <v>793.31999999999994</v>
      </c>
      <c r="G112" s="71"/>
      <c r="H112" s="71"/>
      <c r="I112" s="72"/>
      <c r="J112" s="71"/>
      <c r="K112" s="71"/>
      <c r="L112" s="71">
        <f t="shared" si="4"/>
        <v>12</v>
      </c>
      <c r="N112" s="8" t="s">
        <v>946</v>
      </c>
    </row>
    <row r="113" spans="1:14" s="8" customFormat="1" ht="15.75" x14ac:dyDescent="0.25">
      <c r="A113" s="15" t="s">
        <v>340</v>
      </c>
      <c r="B113" s="16">
        <v>44193</v>
      </c>
      <c r="C113" s="26" t="s">
        <v>802</v>
      </c>
      <c r="D113" s="30">
        <v>2</v>
      </c>
      <c r="E113" s="13">
        <v>70</v>
      </c>
      <c r="F113" s="50">
        <f t="shared" si="5"/>
        <v>140</v>
      </c>
      <c r="G113" s="71"/>
      <c r="H113" s="71"/>
      <c r="I113" s="72"/>
      <c r="J113" s="71"/>
      <c r="K113" s="71"/>
      <c r="L113" s="71">
        <f t="shared" si="4"/>
        <v>2</v>
      </c>
      <c r="N113" s="8" t="s">
        <v>946</v>
      </c>
    </row>
    <row r="114" spans="1:14" s="8" customFormat="1" ht="15.75" x14ac:dyDescent="0.25">
      <c r="A114" s="15" t="s">
        <v>341</v>
      </c>
      <c r="B114" s="16">
        <v>44193</v>
      </c>
      <c r="C114" s="26" t="s">
        <v>804</v>
      </c>
      <c r="D114" s="30">
        <v>6</v>
      </c>
      <c r="E114" s="13">
        <v>450</v>
      </c>
      <c r="F114" s="50">
        <f t="shared" si="5"/>
        <v>2700</v>
      </c>
      <c r="G114" s="71"/>
      <c r="H114" s="71"/>
      <c r="I114" s="72"/>
      <c r="J114" s="71"/>
      <c r="K114" s="71"/>
      <c r="L114" s="71">
        <f t="shared" si="4"/>
        <v>6</v>
      </c>
      <c r="N114" s="8" t="s">
        <v>946</v>
      </c>
    </row>
    <row r="115" spans="1:14" s="8" customFormat="1" ht="15.75" x14ac:dyDescent="0.25">
      <c r="A115" s="15" t="s">
        <v>342</v>
      </c>
      <c r="B115" s="16">
        <v>44193</v>
      </c>
      <c r="C115" s="26" t="s">
        <v>801</v>
      </c>
      <c r="D115" s="30">
        <v>2</v>
      </c>
      <c r="E115" s="13">
        <v>719.2</v>
      </c>
      <c r="F115" s="50">
        <f t="shared" si="5"/>
        <v>1438.4</v>
      </c>
      <c r="G115" s="71"/>
      <c r="H115" s="71"/>
      <c r="I115" s="72"/>
      <c r="J115" s="71"/>
      <c r="K115" s="71">
        <v>2</v>
      </c>
      <c r="L115" s="71">
        <f t="shared" si="4"/>
        <v>0</v>
      </c>
      <c r="N115" s="8" t="s">
        <v>946</v>
      </c>
    </row>
    <row r="116" spans="1:14" s="8" customFormat="1" ht="15.75" x14ac:dyDescent="0.25">
      <c r="A116" s="15" t="s">
        <v>343</v>
      </c>
      <c r="B116" s="16">
        <v>44193</v>
      </c>
      <c r="C116" s="25" t="s">
        <v>616</v>
      </c>
      <c r="D116" s="32">
        <v>0</v>
      </c>
      <c r="E116" s="13">
        <v>2950</v>
      </c>
      <c r="F116" s="50">
        <f t="shared" si="5"/>
        <v>0</v>
      </c>
      <c r="G116" s="71"/>
      <c r="H116" s="71"/>
      <c r="I116" s="72"/>
      <c r="J116" s="71"/>
      <c r="K116" s="71"/>
      <c r="L116" s="71">
        <f t="shared" si="4"/>
        <v>0</v>
      </c>
      <c r="N116" s="8" t="s">
        <v>946</v>
      </c>
    </row>
    <row r="117" spans="1:14" s="8" customFormat="1" ht="15.75" x14ac:dyDescent="0.25">
      <c r="A117" s="15" t="s">
        <v>344</v>
      </c>
      <c r="B117" s="16">
        <v>44193</v>
      </c>
      <c r="C117" s="25" t="s">
        <v>617</v>
      </c>
      <c r="D117" s="32">
        <v>5</v>
      </c>
      <c r="E117" s="13">
        <v>29</v>
      </c>
      <c r="F117" s="50">
        <f t="shared" si="5"/>
        <v>145</v>
      </c>
      <c r="G117" s="71"/>
      <c r="H117" s="71"/>
      <c r="I117" s="72"/>
      <c r="J117" s="71"/>
      <c r="K117" s="71"/>
      <c r="L117" s="71">
        <f t="shared" si="4"/>
        <v>5</v>
      </c>
      <c r="N117" s="8" t="s">
        <v>946</v>
      </c>
    </row>
    <row r="118" spans="1:14" s="8" customFormat="1" ht="15.75" x14ac:dyDescent="0.25">
      <c r="A118" s="15" t="s">
        <v>345</v>
      </c>
      <c r="B118" s="23" t="s">
        <v>106</v>
      </c>
      <c r="C118" s="9" t="s">
        <v>618</v>
      </c>
      <c r="D118" s="30">
        <v>12</v>
      </c>
      <c r="E118" s="51">
        <v>35</v>
      </c>
      <c r="F118" s="50">
        <f t="shared" si="5"/>
        <v>420</v>
      </c>
      <c r="G118" s="71"/>
      <c r="H118" s="71"/>
      <c r="I118" s="72"/>
      <c r="J118" s="71"/>
      <c r="K118" s="71"/>
      <c r="L118" s="71">
        <f t="shared" si="4"/>
        <v>12</v>
      </c>
      <c r="N118" s="8" t="s">
        <v>947</v>
      </c>
    </row>
    <row r="119" spans="1:14" s="8" customFormat="1" ht="15.75" x14ac:dyDescent="0.25">
      <c r="A119" s="15" t="s">
        <v>346</v>
      </c>
      <c r="B119" s="16">
        <v>44193</v>
      </c>
      <c r="C119" s="26" t="s">
        <v>619</v>
      </c>
      <c r="D119" s="32">
        <v>0</v>
      </c>
      <c r="E119" s="13">
        <v>155</v>
      </c>
      <c r="F119" s="50">
        <f t="shared" si="5"/>
        <v>0</v>
      </c>
      <c r="G119" s="71"/>
      <c r="H119" s="71"/>
      <c r="I119" s="72"/>
      <c r="J119" s="71"/>
      <c r="K119" s="71"/>
      <c r="L119" s="71">
        <f t="shared" si="4"/>
        <v>0</v>
      </c>
      <c r="N119" s="8" t="s">
        <v>945</v>
      </c>
    </row>
    <row r="120" spans="1:14" s="8" customFormat="1" ht="15.75" x14ac:dyDescent="0.25">
      <c r="A120" s="15" t="s">
        <v>347</v>
      </c>
      <c r="B120" s="16">
        <v>44777</v>
      </c>
      <c r="C120" s="26" t="s">
        <v>620</v>
      </c>
      <c r="D120" s="32">
        <v>90</v>
      </c>
      <c r="E120" s="13">
        <v>71.95</v>
      </c>
      <c r="F120" s="50">
        <f t="shared" si="5"/>
        <v>6475.5</v>
      </c>
      <c r="G120" s="71"/>
      <c r="H120" s="71"/>
      <c r="I120" s="72"/>
      <c r="J120" s="71"/>
      <c r="K120" s="71">
        <f>1+1+1+1+1+1+1+1+1+1+1+1+1+1+1+1</f>
        <v>16</v>
      </c>
      <c r="L120" s="71">
        <f t="shared" si="4"/>
        <v>74</v>
      </c>
      <c r="N120" s="8" t="s">
        <v>945</v>
      </c>
    </row>
    <row r="121" spans="1:14" s="8" customFormat="1" ht="15.75" x14ac:dyDescent="0.25">
      <c r="A121" s="15" t="s">
        <v>348</v>
      </c>
      <c r="B121" s="16">
        <v>44193</v>
      </c>
      <c r="C121" s="26" t="s">
        <v>626</v>
      </c>
      <c r="D121" s="32">
        <v>0</v>
      </c>
      <c r="E121" s="13">
        <v>190.68</v>
      </c>
      <c r="F121" s="50">
        <f t="shared" si="5"/>
        <v>0</v>
      </c>
      <c r="G121" s="71"/>
      <c r="H121" s="71"/>
      <c r="I121" s="72"/>
      <c r="J121" s="71"/>
      <c r="K121" s="71"/>
      <c r="L121" s="71">
        <f t="shared" si="4"/>
        <v>0</v>
      </c>
      <c r="N121" s="8" t="s">
        <v>946</v>
      </c>
    </row>
    <row r="122" spans="1:14" s="8" customFormat="1" ht="15.75" x14ac:dyDescent="0.25">
      <c r="A122" s="15" t="s">
        <v>349</v>
      </c>
      <c r="B122" s="16">
        <v>44678</v>
      </c>
      <c r="C122" s="26" t="s">
        <v>621</v>
      </c>
      <c r="D122" s="32">
        <v>1</v>
      </c>
      <c r="E122" s="13">
        <v>3800</v>
      </c>
      <c r="F122" s="50">
        <f t="shared" si="5"/>
        <v>3800</v>
      </c>
      <c r="G122" s="71"/>
      <c r="H122" s="71"/>
      <c r="I122" s="72"/>
      <c r="J122" s="71"/>
      <c r="K122" s="71"/>
      <c r="L122" s="71">
        <f t="shared" si="4"/>
        <v>1</v>
      </c>
      <c r="N122" s="8" t="s">
        <v>945</v>
      </c>
    </row>
    <row r="123" spans="1:14" s="8" customFormat="1" ht="15.75" x14ac:dyDescent="0.25">
      <c r="A123" s="15" t="s">
        <v>350</v>
      </c>
      <c r="B123" s="16">
        <v>44193</v>
      </c>
      <c r="C123" s="26" t="s">
        <v>622</v>
      </c>
      <c r="D123" s="32">
        <v>0</v>
      </c>
      <c r="E123" s="13">
        <v>1400</v>
      </c>
      <c r="F123" s="50">
        <f t="shared" si="5"/>
        <v>0</v>
      </c>
      <c r="G123" s="71"/>
      <c r="H123" s="71"/>
      <c r="I123" s="72"/>
      <c r="J123" s="71"/>
      <c r="K123" s="71"/>
      <c r="L123" s="71">
        <f t="shared" si="4"/>
        <v>0</v>
      </c>
      <c r="N123" s="8" t="s">
        <v>945</v>
      </c>
    </row>
    <row r="124" spans="1:14" s="8" customFormat="1" ht="15.75" x14ac:dyDescent="0.25">
      <c r="A124" s="15" t="s">
        <v>351</v>
      </c>
      <c r="B124" s="16">
        <v>44456</v>
      </c>
      <c r="C124" s="26" t="s">
        <v>623</v>
      </c>
      <c r="D124" s="32">
        <v>13</v>
      </c>
      <c r="E124" s="13">
        <v>1099</v>
      </c>
      <c r="F124" s="50">
        <f t="shared" si="5"/>
        <v>14287</v>
      </c>
      <c r="G124" s="71"/>
      <c r="H124" s="71"/>
      <c r="I124" s="72"/>
      <c r="J124" s="71"/>
      <c r="K124" s="71">
        <v>1</v>
      </c>
      <c r="L124" s="71">
        <f t="shared" si="4"/>
        <v>12</v>
      </c>
      <c r="N124" s="8" t="s">
        <v>945</v>
      </c>
    </row>
    <row r="125" spans="1:14" s="8" customFormat="1" ht="15.75" x14ac:dyDescent="0.25">
      <c r="A125" s="15" t="s">
        <v>352</v>
      </c>
      <c r="B125" s="16">
        <v>44456</v>
      </c>
      <c r="C125" s="26" t="s">
        <v>767</v>
      </c>
      <c r="D125" s="32">
        <v>18</v>
      </c>
      <c r="E125" s="13">
        <v>4000</v>
      </c>
      <c r="F125" s="50">
        <f t="shared" si="5"/>
        <v>72000</v>
      </c>
      <c r="G125" s="71"/>
      <c r="H125" s="71"/>
      <c r="I125" s="72"/>
      <c r="J125" s="71"/>
      <c r="K125" s="71">
        <f>4+4+3</f>
        <v>11</v>
      </c>
      <c r="L125" s="71">
        <f t="shared" si="4"/>
        <v>7</v>
      </c>
      <c r="N125" s="8" t="s">
        <v>945</v>
      </c>
    </row>
    <row r="126" spans="1:14" s="8" customFormat="1" ht="15.75" x14ac:dyDescent="0.25">
      <c r="A126" s="15" t="s">
        <v>353</v>
      </c>
      <c r="B126" s="16">
        <v>44193</v>
      </c>
      <c r="C126" s="26" t="s">
        <v>625</v>
      </c>
      <c r="D126" s="32">
        <v>5</v>
      </c>
      <c r="E126" s="13">
        <v>1400</v>
      </c>
      <c r="F126" s="50">
        <f t="shared" si="5"/>
        <v>7000</v>
      </c>
      <c r="G126" s="71"/>
      <c r="H126" s="71"/>
      <c r="I126" s="72"/>
      <c r="J126" s="71"/>
      <c r="K126" s="71"/>
      <c r="L126" s="71">
        <f t="shared" si="4"/>
        <v>5</v>
      </c>
      <c r="N126" s="8" t="s">
        <v>945</v>
      </c>
    </row>
    <row r="127" spans="1:14" s="8" customFormat="1" ht="15.75" x14ac:dyDescent="0.25">
      <c r="A127" s="15" t="s">
        <v>354</v>
      </c>
      <c r="B127" s="23" t="s">
        <v>106</v>
      </c>
      <c r="C127" s="28" t="s">
        <v>627</v>
      </c>
      <c r="D127" s="49">
        <v>100</v>
      </c>
      <c r="E127" s="52">
        <v>28</v>
      </c>
      <c r="F127" s="50">
        <f t="shared" si="5"/>
        <v>2800</v>
      </c>
      <c r="G127" s="71"/>
      <c r="H127" s="71"/>
      <c r="I127" s="72"/>
      <c r="J127" s="71"/>
      <c r="K127" s="71"/>
      <c r="L127" s="71">
        <f t="shared" si="4"/>
        <v>100</v>
      </c>
      <c r="N127" s="8" t="s">
        <v>947</v>
      </c>
    </row>
    <row r="128" spans="1:14" s="8" customFormat="1" ht="15.75" x14ac:dyDescent="0.25">
      <c r="A128" s="15" t="s">
        <v>355</v>
      </c>
      <c r="B128" s="23" t="s">
        <v>114</v>
      </c>
      <c r="C128" s="26" t="s">
        <v>80</v>
      </c>
      <c r="D128" s="32">
        <v>0</v>
      </c>
      <c r="E128" s="51">
        <v>85</v>
      </c>
      <c r="F128" s="50">
        <f t="shared" si="5"/>
        <v>0</v>
      </c>
      <c r="G128" s="71"/>
      <c r="H128" s="71"/>
      <c r="I128" s="72"/>
      <c r="J128" s="71"/>
      <c r="K128" s="71"/>
      <c r="L128" s="71">
        <f t="shared" si="4"/>
        <v>0</v>
      </c>
      <c r="N128" s="8" t="s">
        <v>946</v>
      </c>
    </row>
    <row r="129" spans="1:14" s="8" customFormat="1" ht="15.75" x14ac:dyDescent="0.25">
      <c r="A129" s="15" t="s">
        <v>356</v>
      </c>
      <c r="B129" s="16">
        <v>44193</v>
      </c>
      <c r="C129" s="9" t="s">
        <v>628</v>
      </c>
      <c r="D129" s="58">
        <v>1</v>
      </c>
      <c r="E129" s="13">
        <v>550</v>
      </c>
      <c r="F129" s="50">
        <f t="shared" si="5"/>
        <v>550</v>
      </c>
      <c r="G129" s="71"/>
      <c r="H129" s="71"/>
      <c r="I129" s="72"/>
      <c r="J129" s="71"/>
      <c r="K129" s="71"/>
      <c r="L129" s="71">
        <f t="shared" si="4"/>
        <v>1</v>
      </c>
      <c r="N129" s="8" t="s">
        <v>946</v>
      </c>
    </row>
    <row r="130" spans="1:14" s="8" customFormat="1" ht="15.75" x14ac:dyDescent="0.25">
      <c r="A130" s="15" t="s">
        <v>357</v>
      </c>
      <c r="B130" s="16">
        <v>44193</v>
      </c>
      <c r="C130" s="9" t="s">
        <v>629</v>
      </c>
      <c r="D130" s="48">
        <v>0</v>
      </c>
      <c r="E130" s="13">
        <v>60</v>
      </c>
      <c r="F130" s="50">
        <f t="shared" si="5"/>
        <v>0</v>
      </c>
      <c r="G130" s="71"/>
      <c r="H130" s="71"/>
      <c r="I130" s="72"/>
      <c r="J130" s="71"/>
      <c r="K130" s="71"/>
      <c r="L130" s="71">
        <f t="shared" si="4"/>
        <v>0</v>
      </c>
      <c r="N130" s="8" t="s">
        <v>945</v>
      </c>
    </row>
    <row r="131" spans="1:14" s="8" customFormat="1" ht="15.75" x14ac:dyDescent="0.25">
      <c r="A131" s="15" t="s">
        <v>358</v>
      </c>
      <c r="B131" s="16">
        <v>44656</v>
      </c>
      <c r="C131" s="25" t="s">
        <v>631</v>
      </c>
      <c r="D131" s="32">
        <v>40</v>
      </c>
      <c r="E131" s="13">
        <v>115.53</v>
      </c>
      <c r="F131" s="50">
        <f t="shared" si="5"/>
        <v>4621.2</v>
      </c>
      <c r="G131" s="71"/>
      <c r="H131" s="71"/>
      <c r="I131" s="72"/>
      <c r="J131" s="71"/>
      <c r="K131" s="71">
        <f>2+1+2+1+1</f>
        <v>7</v>
      </c>
      <c r="L131" s="71">
        <f t="shared" si="4"/>
        <v>33</v>
      </c>
      <c r="N131" s="8" t="s">
        <v>945</v>
      </c>
    </row>
    <row r="132" spans="1:14" s="8" customFormat="1" ht="15.75" x14ac:dyDescent="0.25">
      <c r="A132" s="15" t="s">
        <v>359</v>
      </c>
      <c r="B132" s="16">
        <v>44656</v>
      </c>
      <c r="C132" s="26" t="s">
        <v>632</v>
      </c>
      <c r="D132" s="32">
        <v>12</v>
      </c>
      <c r="E132" s="13">
        <v>128.62</v>
      </c>
      <c r="F132" s="50">
        <f t="shared" si="5"/>
        <v>1543.44</v>
      </c>
      <c r="G132" s="71"/>
      <c r="H132" s="71"/>
      <c r="I132" s="72"/>
      <c r="J132" s="71"/>
      <c r="K132" s="71"/>
      <c r="L132" s="71">
        <f t="shared" si="4"/>
        <v>12</v>
      </c>
      <c r="N132" s="8" t="s">
        <v>945</v>
      </c>
    </row>
    <row r="133" spans="1:14" s="8" customFormat="1" ht="15.75" x14ac:dyDescent="0.25">
      <c r="A133" s="15" t="s">
        <v>360</v>
      </c>
      <c r="B133" s="16">
        <v>44659</v>
      </c>
      <c r="C133" s="26" t="s">
        <v>633</v>
      </c>
      <c r="D133" s="14">
        <v>41</v>
      </c>
      <c r="E133" s="13">
        <v>325</v>
      </c>
      <c r="F133" s="50">
        <f t="shared" si="5"/>
        <v>13325</v>
      </c>
      <c r="G133" s="71"/>
      <c r="H133" s="71"/>
      <c r="I133" s="72"/>
      <c r="J133" s="71"/>
      <c r="K133" s="71"/>
      <c r="L133" s="71">
        <f t="shared" si="4"/>
        <v>41</v>
      </c>
      <c r="N133" s="8" t="s">
        <v>945</v>
      </c>
    </row>
    <row r="134" spans="1:14" s="8" customFormat="1" ht="15.75" x14ac:dyDescent="0.25">
      <c r="A134" s="15" t="s">
        <v>361</v>
      </c>
      <c r="B134" s="16"/>
      <c r="C134" s="25" t="s">
        <v>861</v>
      </c>
      <c r="D134" s="38">
        <f>8+48</f>
        <v>56</v>
      </c>
      <c r="E134" s="13"/>
      <c r="F134" s="50">
        <f t="shared" ref="F134:F139" si="6">+D134*E134</f>
        <v>0</v>
      </c>
      <c r="G134" s="71"/>
      <c r="H134" s="71"/>
      <c r="I134" s="72"/>
      <c r="J134" s="71"/>
      <c r="K134" s="71"/>
      <c r="L134" s="71">
        <f t="shared" si="4"/>
        <v>56</v>
      </c>
      <c r="N134" s="8" t="s">
        <v>947</v>
      </c>
    </row>
    <row r="135" spans="1:14" s="8" customFormat="1" ht="15.75" x14ac:dyDescent="0.25">
      <c r="A135" s="15" t="s">
        <v>362</v>
      </c>
      <c r="B135" s="16"/>
      <c r="C135" s="25" t="s">
        <v>862</v>
      </c>
      <c r="D135" s="38">
        <v>74</v>
      </c>
      <c r="E135" s="13"/>
      <c r="F135" s="50">
        <f t="shared" si="6"/>
        <v>0</v>
      </c>
      <c r="G135" s="71"/>
      <c r="H135" s="71"/>
      <c r="I135" s="72"/>
      <c r="J135" s="71"/>
      <c r="K135" s="71"/>
      <c r="L135" s="71">
        <f t="shared" si="4"/>
        <v>74</v>
      </c>
      <c r="N135" s="8" t="s">
        <v>947</v>
      </c>
    </row>
    <row r="136" spans="1:14" s="8" customFormat="1" ht="15.75" x14ac:dyDescent="0.25">
      <c r="A136" s="15" t="s">
        <v>363</v>
      </c>
      <c r="B136" s="16"/>
      <c r="C136" s="25" t="s">
        <v>863</v>
      </c>
      <c r="D136" s="38">
        <f>79+33+106</f>
        <v>218</v>
      </c>
      <c r="E136" s="13"/>
      <c r="F136" s="50">
        <f t="shared" si="6"/>
        <v>0</v>
      </c>
      <c r="G136" s="71"/>
      <c r="H136" s="71"/>
      <c r="I136" s="72"/>
      <c r="J136" s="71"/>
      <c r="K136" s="71"/>
      <c r="L136" s="71">
        <f t="shared" si="4"/>
        <v>218</v>
      </c>
      <c r="N136" s="8" t="s">
        <v>947</v>
      </c>
    </row>
    <row r="137" spans="1:14" s="8" customFormat="1" ht="15.75" x14ac:dyDescent="0.25">
      <c r="A137" s="15" t="s">
        <v>364</v>
      </c>
      <c r="B137" s="16"/>
      <c r="C137" s="25" t="s">
        <v>864</v>
      </c>
      <c r="D137" s="38">
        <v>46</v>
      </c>
      <c r="E137" s="13"/>
      <c r="F137" s="50">
        <f t="shared" si="6"/>
        <v>0</v>
      </c>
      <c r="G137" s="71"/>
      <c r="H137" s="71"/>
      <c r="I137" s="72"/>
      <c r="J137" s="71"/>
      <c r="K137" s="71"/>
      <c r="L137" s="71">
        <f t="shared" si="4"/>
        <v>46</v>
      </c>
      <c r="N137" s="8" t="s">
        <v>947</v>
      </c>
    </row>
    <row r="138" spans="1:14" s="8" customFormat="1" ht="15.75" x14ac:dyDescent="0.25">
      <c r="A138" s="15" t="s">
        <v>365</v>
      </c>
      <c r="B138" s="16"/>
      <c r="C138" s="25" t="s">
        <v>865</v>
      </c>
      <c r="D138" s="38">
        <v>41</v>
      </c>
      <c r="E138" s="13"/>
      <c r="F138" s="50">
        <f t="shared" si="6"/>
        <v>0</v>
      </c>
      <c r="G138" s="71"/>
      <c r="H138" s="71"/>
      <c r="I138" s="72"/>
      <c r="J138" s="71"/>
      <c r="K138" s="71"/>
      <c r="L138" s="71">
        <f t="shared" ref="L138:L201" si="7">+D138+H138-K138</f>
        <v>41</v>
      </c>
      <c r="N138" s="8" t="s">
        <v>947</v>
      </c>
    </row>
    <row r="139" spans="1:14" s="8" customFormat="1" ht="15.75" x14ac:dyDescent="0.25">
      <c r="A139" s="15" t="s">
        <v>366</v>
      </c>
      <c r="B139" s="16"/>
      <c r="C139" s="25" t="s">
        <v>866</v>
      </c>
      <c r="D139" s="38">
        <f>34+1</f>
        <v>35</v>
      </c>
      <c r="E139" s="13"/>
      <c r="F139" s="50">
        <f t="shared" si="6"/>
        <v>0</v>
      </c>
      <c r="G139" s="71"/>
      <c r="H139" s="71"/>
      <c r="I139" s="72"/>
      <c r="J139" s="71"/>
      <c r="K139" s="71"/>
      <c r="L139" s="71">
        <f t="shared" si="7"/>
        <v>35</v>
      </c>
      <c r="N139" s="8" t="s">
        <v>947</v>
      </c>
    </row>
    <row r="140" spans="1:14" s="8" customFormat="1" ht="15.75" x14ac:dyDescent="0.25">
      <c r="A140" s="15" t="s">
        <v>367</v>
      </c>
      <c r="B140" s="23" t="s">
        <v>116</v>
      </c>
      <c r="C140" s="25" t="s">
        <v>719</v>
      </c>
      <c r="D140" s="32"/>
      <c r="E140" s="51">
        <v>529</v>
      </c>
      <c r="F140" s="50">
        <f>D140*E140</f>
        <v>0</v>
      </c>
      <c r="G140" s="73">
        <v>44748</v>
      </c>
      <c r="H140" s="72">
        <f>3*6</f>
        <v>18</v>
      </c>
      <c r="I140" s="72">
        <v>161.66666666666666</v>
      </c>
      <c r="J140" s="74">
        <f>+H140*I140</f>
        <v>2910</v>
      </c>
      <c r="K140" s="71">
        <f>12+3+2+1</f>
        <v>18</v>
      </c>
      <c r="L140" s="71">
        <f t="shared" si="7"/>
        <v>0</v>
      </c>
      <c r="N140" s="8" t="s">
        <v>945</v>
      </c>
    </row>
    <row r="141" spans="1:14" s="8" customFormat="1" ht="15.75" x14ac:dyDescent="0.25">
      <c r="A141" s="15" t="s">
        <v>368</v>
      </c>
      <c r="B141" s="16">
        <v>44193</v>
      </c>
      <c r="C141" s="25" t="s">
        <v>813</v>
      </c>
      <c r="D141" s="32">
        <v>8</v>
      </c>
      <c r="E141" s="13">
        <v>1375</v>
      </c>
      <c r="F141" s="50">
        <f>D141*E141</f>
        <v>11000</v>
      </c>
      <c r="G141" s="71"/>
      <c r="H141" s="71"/>
      <c r="I141" s="72"/>
      <c r="J141" s="71"/>
      <c r="K141" s="71"/>
      <c r="L141" s="71">
        <f t="shared" si="7"/>
        <v>8</v>
      </c>
      <c r="N141" s="8" t="s">
        <v>946</v>
      </c>
    </row>
    <row r="142" spans="1:14" s="8" customFormat="1" ht="15.75" x14ac:dyDescent="0.25">
      <c r="A142" s="15" t="s">
        <v>369</v>
      </c>
      <c r="B142" s="23" t="s">
        <v>114</v>
      </c>
      <c r="C142" s="25" t="s">
        <v>642</v>
      </c>
      <c r="D142" s="32">
        <v>8</v>
      </c>
      <c r="E142" s="13">
        <v>1375</v>
      </c>
      <c r="F142" s="50">
        <f>D142*E142</f>
        <v>11000</v>
      </c>
      <c r="G142" s="71"/>
      <c r="H142" s="71"/>
      <c r="I142" s="72"/>
      <c r="J142" s="71"/>
      <c r="K142" s="71"/>
      <c r="L142" s="71">
        <f t="shared" si="7"/>
        <v>8</v>
      </c>
      <c r="N142" s="8" t="s">
        <v>946</v>
      </c>
    </row>
    <row r="143" spans="1:14" s="8" customFormat="1" ht="15.75" x14ac:dyDescent="0.25">
      <c r="A143" s="15" t="s">
        <v>370</v>
      </c>
      <c r="B143" s="16"/>
      <c r="C143" s="25" t="s">
        <v>833</v>
      </c>
      <c r="D143" s="32">
        <v>7</v>
      </c>
      <c r="E143" s="13"/>
      <c r="F143" s="50"/>
      <c r="G143" s="71"/>
      <c r="H143" s="71"/>
      <c r="I143" s="72"/>
      <c r="J143" s="71"/>
      <c r="K143" s="71"/>
      <c r="L143" s="71">
        <f t="shared" si="7"/>
        <v>7</v>
      </c>
      <c r="N143" s="8" t="s">
        <v>946</v>
      </c>
    </row>
    <row r="144" spans="1:14" s="8" customFormat="1" ht="15.75" x14ac:dyDescent="0.25">
      <c r="A144" s="15" t="s">
        <v>371</v>
      </c>
      <c r="B144" s="16">
        <v>44193</v>
      </c>
      <c r="C144" s="25" t="s">
        <v>643</v>
      </c>
      <c r="D144" s="32">
        <v>4</v>
      </c>
      <c r="E144" s="13">
        <v>1375</v>
      </c>
      <c r="F144" s="50">
        <f>D144*E144</f>
        <v>5500</v>
      </c>
      <c r="G144" s="71"/>
      <c r="H144" s="71"/>
      <c r="I144" s="72"/>
      <c r="J144" s="71"/>
      <c r="K144" s="71"/>
      <c r="L144" s="71">
        <f t="shared" si="7"/>
        <v>4</v>
      </c>
      <c r="N144" s="8" t="s">
        <v>946</v>
      </c>
    </row>
    <row r="145" spans="1:14" s="8" customFormat="1" ht="15.75" x14ac:dyDescent="0.25">
      <c r="A145" s="15" t="s">
        <v>372</v>
      </c>
      <c r="B145" s="23"/>
      <c r="C145" s="25" t="s">
        <v>816</v>
      </c>
      <c r="D145" s="32">
        <v>2</v>
      </c>
      <c r="E145" s="13"/>
      <c r="F145" s="50"/>
      <c r="G145" s="71"/>
      <c r="H145" s="71"/>
      <c r="I145" s="72"/>
      <c r="J145" s="71"/>
      <c r="K145" s="71"/>
      <c r="L145" s="71">
        <f t="shared" si="7"/>
        <v>2</v>
      </c>
      <c r="N145" s="8" t="s">
        <v>946</v>
      </c>
    </row>
    <row r="146" spans="1:14" s="8" customFormat="1" ht="15.75" x14ac:dyDescent="0.25">
      <c r="A146" s="15" t="s">
        <v>373</v>
      </c>
      <c r="B146" s="16"/>
      <c r="C146" s="25" t="s">
        <v>829</v>
      </c>
      <c r="D146" s="32">
        <v>2</v>
      </c>
      <c r="E146" s="13"/>
      <c r="F146" s="50"/>
      <c r="G146" s="71"/>
      <c r="H146" s="71"/>
      <c r="I146" s="72"/>
      <c r="J146" s="71"/>
      <c r="K146" s="71"/>
      <c r="L146" s="71">
        <f t="shared" si="7"/>
        <v>2</v>
      </c>
      <c r="N146" s="8" t="s">
        <v>946</v>
      </c>
    </row>
    <row r="147" spans="1:14" s="8" customFormat="1" ht="15.75" x14ac:dyDescent="0.25">
      <c r="A147" s="15" t="s">
        <v>374</v>
      </c>
      <c r="B147" s="23" t="s">
        <v>106</v>
      </c>
      <c r="C147" s="25" t="s">
        <v>635</v>
      </c>
      <c r="D147" s="32">
        <v>8</v>
      </c>
      <c r="E147" s="13">
        <v>1375</v>
      </c>
      <c r="F147" s="50">
        <f>D147*E147</f>
        <v>11000</v>
      </c>
      <c r="G147" s="71"/>
      <c r="H147" s="71"/>
      <c r="I147" s="72"/>
      <c r="J147" s="71"/>
      <c r="K147" s="71">
        <v>1</v>
      </c>
      <c r="L147" s="71">
        <f t="shared" si="7"/>
        <v>7</v>
      </c>
      <c r="N147" s="8" t="s">
        <v>946</v>
      </c>
    </row>
    <row r="148" spans="1:14" s="8" customFormat="1" ht="15.75" x14ac:dyDescent="0.25">
      <c r="A148" s="15" t="s">
        <v>375</v>
      </c>
      <c r="B148" s="23" t="s">
        <v>106</v>
      </c>
      <c r="C148" s="25" t="s">
        <v>636</v>
      </c>
      <c r="D148" s="55">
        <v>60</v>
      </c>
      <c r="E148" s="13">
        <v>1375</v>
      </c>
      <c r="F148" s="50">
        <f>D148*E148</f>
        <v>82500</v>
      </c>
      <c r="G148" s="71"/>
      <c r="H148" s="71"/>
      <c r="I148" s="72"/>
      <c r="J148" s="71"/>
      <c r="K148" s="71"/>
      <c r="L148" s="71">
        <f t="shared" si="7"/>
        <v>60</v>
      </c>
      <c r="N148" s="8" t="s">
        <v>946</v>
      </c>
    </row>
    <row r="149" spans="1:14" s="8" customFormat="1" ht="15.75" x14ac:dyDescent="0.25">
      <c r="A149" s="15" t="s">
        <v>376</v>
      </c>
      <c r="B149" s="16"/>
      <c r="C149" s="25" t="s">
        <v>831</v>
      </c>
      <c r="D149" s="32">
        <f>25+28</f>
        <v>53</v>
      </c>
      <c r="E149" s="13"/>
      <c r="F149" s="50"/>
      <c r="G149" s="71"/>
      <c r="H149" s="71"/>
      <c r="I149" s="72"/>
      <c r="J149" s="71"/>
      <c r="K149" s="71"/>
      <c r="L149" s="71">
        <f t="shared" si="7"/>
        <v>53</v>
      </c>
      <c r="N149" s="8" t="s">
        <v>946</v>
      </c>
    </row>
    <row r="150" spans="1:14" s="8" customFormat="1" ht="15.75" x14ac:dyDescent="0.25">
      <c r="A150" s="15" t="s">
        <v>377</v>
      </c>
      <c r="B150" s="16"/>
      <c r="C150" s="25" t="s">
        <v>832</v>
      </c>
      <c r="D150" s="32">
        <v>5</v>
      </c>
      <c r="E150" s="13"/>
      <c r="F150" s="50"/>
      <c r="G150" s="71"/>
      <c r="H150" s="71"/>
      <c r="I150" s="72"/>
      <c r="J150" s="71"/>
      <c r="K150" s="71"/>
      <c r="L150" s="71">
        <f t="shared" si="7"/>
        <v>5</v>
      </c>
      <c r="N150" s="8" t="s">
        <v>946</v>
      </c>
    </row>
    <row r="151" spans="1:14" s="8" customFormat="1" ht="15.75" x14ac:dyDescent="0.25">
      <c r="A151" s="15" t="s">
        <v>378</v>
      </c>
      <c r="B151" s="23" t="s">
        <v>106</v>
      </c>
      <c r="C151" s="25" t="s">
        <v>812</v>
      </c>
      <c r="D151" s="32">
        <v>3</v>
      </c>
      <c r="E151" s="13">
        <v>1180</v>
      </c>
      <c r="F151" s="50">
        <f>D151*E151</f>
        <v>3540</v>
      </c>
      <c r="G151" s="71"/>
      <c r="H151" s="71"/>
      <c r="I151" s="72"/>
      <c r="J151" s="71"/>
      <c r="K151" s="71"/>
      <c r="L151" s="71">
        <f t="shared" si="7"/>
        <v>3</v>
      </c>
      <c r="N151" s="8" t="s">
        <v>946</v>
      </c>
    </row>
    <row r="152" spans="1:14" s="8" customFormat="1" ht="15.75" x14ac:dyDescent="0.25">
      <c r="A152" s="15" t="s">
        <v>379</v>
      </c>
      <c r="B152" s="16">
        <v>44193</v>
      </c>
      <c r="C152" s="25" t="s">
        <v>637</v>
      </c>
      <c r="D152" s="55">
        <v>9</v>
      </c>
      <c r="E152" s="13">
        <v>1180</v>
      </c>
      <c r="F152" s="50">
        <f>D152*E152</f>
        <v>10620</v>
      </c>
      <c r="G152" s="71"/>
      <c r="H152" s="71"/>
      <c r="I152" s="72"/>
      <c r="J152" s="71"/>
      <c r="K152" s="71"/>
      <c r="L152" s="71">
        <f t="shared" si="7"/>
        <v>9</v>
      </c>
      <c r="N152" s="8" t="s">
        <v>946</v>
      </c>
    </row>
    <row r="153" spans="1:14" s="8" customFormat="1" ht="15.75" x14ac:dyDescent="0.25">
      <c r="A153" s="15" t="s">
        <v>380</v>
      </c>
      <c r="B153" s="16"/>
      <c r="C153" s="25" t="s">
        <v>834</v>
      </c>
      <c r="D153" s="32">
        <v>1</v>
      </c>
      <c r="E153" s="13"/>
      <c r="F153" s="50"/>
      <c r="G153" s="71"/>
      <c r="H153" s="71"/>
      <c r="I153" s="72"/>
      <c r="J153" s="71"/>
      <c r="K153" s="71"/>
      <c r="L153" s="71">
        <f t="shared" si="7"/>
        <v>1</v>
      </c>
      <c r="N153" s="8" t="s">
        <v>946</v>
      </c>
    </row>
    <row r="154" spans="1:14" s="8" customFormat="1" ht="15.75" x14ac:dyDescent="0.25">
      <c r="A154" s="15" t="s">
        <v>381</v>
      </c>
      <c r="B154" s="23" t="s">
        <v>106</v>
      </c>
      <c r="C154" s="25" t="s">
        <v>639</v>
      </c>
      <c r="D154" s="32">
        <v>8</v>
      </c>
      <c r="E154" s="51">
        <v>1375</v>
      </c>
      <c r="F154" s="50">
        <f t="shared" ref="F154:F166" si="8">D154*E154</f>
        <v>11000</v>
      </c>
      <c r="G154" s="71"/>
      <c r="H154" s="71"/>
      <c r="I154" s="72"/>
      <c r="J154" s="71"/>
      <c r="K154" s="71"/>
      <c r="L154" s="71">
        <f t="shared" si="7"/>
        <v>8</v>
      </c>
      <c r="N154" s="8" t="s">
        <v>946</v>
      </c>
    </row>
    <row r="155" spans="1:14" s="8" customFormat="1" ht="15.75" x14ac:dyDescent="0.25">
      <c r="A155" s="15" t="s">
        <v>382</v>
      </c>
      <c r="B155" s="16">
        <v>44193</v>
      </c>
      <c r="C155" s="25" t="s">
        <v>638</v>
      </c>
      <c r="D155" s="32">
        <v>4</v>
      </c>
      <c r="E155" s="13">
        <v>1294.3699999999999</v>
      </c>
      <c r="F155" s="50">
        <f t="shared" si="8"/>
        <v>5177.4799999999996</v>
      </c>
      <c r="G155" s="71"/>
      <c r="H155" s="71"/>
      <c r="I155" s="72"/>
      <c r="J155" s="71"/>
      <c r="K155" s="71"/>
      <c r="L155" s="71">
        <f t="shared" si="7"/>
        <v>4</v>
      </c>
      <c r="N155" s="8" t="s">
        <v>946</v>
      </c>
    </row>
    <row r="156" spans="1:14" s="8" customFormat="1" ht="15.75" x14ac:dyDescent="0.25">
      <c r="A156" s="15" t="s">
        <v>383</v>
      </c>
      <c r="B156" s="23" t="s">
        <v>114</v>
      </c>
      <c r="C156" s="25" t="s">
        <v>640</v>
      </c>
      <c r="D156" s="32">
        <v>4</v>
      </c>
      <c r="E156" s="52">
        <v>2600</v>
      </c>
      <c r="F156" s="50">
        <f t="shared" si="8"/>
        <v>10400</v>
      </c>
      <c r="G156" s="71"/>
      <c r="H156" s="71"/>
      <c r="I156" s="72"/>
      <c r="J156" s="71"/>
      <c r="K156" s="71"/>
      <c r="L156" s="71">
        <f t="shared" si="7"/>
        <v>4</v>
      </c>
      <c r="N156" s="8" t="s">
        <v>946</v>
      </c>
    </row>
    <row r="157" spans="1:14" s="8" customFormat="1" ht="15.75" x14ac:dyDescent="0.25">
      <c r="A157" s="15" t="s">
        <v>384</v>
      </c>
      <c r="B157" s="16">
        <v>44193</v>
      </c>
      <c r="C157" s="25" t="s">
        <v>830</v>
      </c>
      <c r="D157" s="32">
        <v>2</v>
      </c>
      <c r="E157" s="13">
        <v>2600</v>
      </c>
      <c r="F157" s="50">
        <f t="shared" si="8"/>
        <v>5200</v>
      </c>
      <c r="G157" s="71"/>
      <c r="H157" s="71"/>
      <c r="I157" s="72"/>
      <c r="J157" s="71"/>
      <c r="K157" s="71">
        <v>1</v>
      </c>
      <c r="L157" s="71">
        <f t="shared" si="7"/>
        <v>1</v>
      </c>
      <c r="N157" s="8" t="s">
        <v>946</v>
      </c>
    </row>
    <row r="158" spans="1:14" s="8" customFormat="1" ht="15.75" x14ac:dyDescent="0.25">
      <c r="A158" s="15" t="s">
        <v>385</v>
      </c>
      <c r="B158" s="16">
        <v>44193</v>
      </c>
      <c r="C158" s="9" t="s">
        <v>646</v>
      </c>
      <c r="D158" s="58">
        <v>46</v>
      </c>
      <c r="E158" s="13">
        <v>4.55</v>
      </c>
      <c r="F158" s="50">
        <f t="shared" si="8"/>
        <v>209.29999999999998</v>
      </c>
      <c r="G158" s="71"/>
      <c r="H158" s="71"/>
      <c r="I158" s="72"/>
      <c r="J158" s="71"/>
      <c r="K158" s="71">
        <v>12</v>
      </c>
      <c r="L158" s="71">
        <f t="shared" si="7"/>
        <v>34</v>
      </c>
      <c r="N158" s="8" t="s">
        <v>947</v>
      </c>
    </row>
    <row r="159" spans="1:14" s="8" customFormat="1" ht="15.75" x14ac:dyDescent="0.25">
      <c r="A159" s="15" t="s">
        <v>386</v>
      </c>
      <c r="B159" s="16">
        <v>44193</v>
      </c>
      <c r="C159" s="9" t="s">
        <v>647</v>
      </c>
      <c r="D159" s="58">
        <v>15</v>
      </c>
      <c r="E159" s="13">
        <v>4.55</v>
      </c>
      <c r="F159" s="50">
        <f t="shared" si="8"/>
        <v>68.25</v>
      </c>
      <c r="G159" s="71"/>
      <c r="H159" s="71"/>
      <c r="I159" s="72"/>
      <c r="J159" s="71"/>
      <c r="K159" s="71"/>
      <c r="L159" s="71">
        <f t="shared" si="7"/>
        <v>15</v>
      </c>
      <c r="N159" s="8" t="s">
        <v>947</v>
      </c>
    </row>
    <row r="160" spans="1:14" s="8" customFormat="1" ht="15.75" x14ac:dyDescent="0.25">
      <c r="A160" s="15" t="s">
        <v>387</v>
      </c>
      <c r="B160" s="16">
        <v>44193</v>
      </c>
      <c r="C160" s="26" t="s">
        <v>645</v>
      </c>
      <c r="D160" s="58">
        <v>820</v>
      </c>
      <c r="E160" s="13">
        <v>7.5</v>
      </c>
      <c r="F160" s="50">
        <f t="shared" si="8"/>
        <v>6150</v>
      </c>
      <c r="G160" s="71"/>
      <c r="H160" s="71"/>
      <c r="I160" s="72"/>
      <c r="J160" s="71"/>
      <c r="K160" s="71"/>
      <c r="L160" s="71">
        <f t="shared" si="7"/>
        <v>820</v>
      </c>
      <c r="N160" s="8" t="s">
        <v>947</v>
      </c>
    </row>
    <row r="161" spans="1:14" s="8" customFormat="1" ht="15.75" x14ac:dyDescent="0.25">
      <c r="A161" s="15" t="s">
        <v>388</v>
      </c>
      <c r="B161" s="16">
        <v>44659</v>
      </c>
      <c r="C161" s="26" t="s">
        <v>854</v>
      </c>
      <c r="D161" s="30">
        <f>30*100</f>
        <v>3000</v>
      </c>
      <c r="E161" s="13">
        <v>3.4</v>
      </c>
      <c r="F161" s="50">
        <f t="shared" si="8"/>
        <v>10200</v>
      </c>
      <c r="G161" s="71"/>
      <c r="H161" s="71"/>
      <c r="I161" s="72"/>
      <c r="J161" s="71"/>
      <c r="K161" s="71"/>
      <c r="L161" s="71">
        <f t="shared" si="7"/>
        <v>3000</v>
      </c>
      <c r="N161" s="8" t="s">
        <v>945</v>
      </c>
    </row>
    <row r="162" spans="1:14" s="8" customFormat="1" ht="15.75" x14ac:dyDescent="0.25">
      <c r="A162" s="15" t="s">
        <v>389</v>
      </c>
      <c r="B162" s="16">
        <v>44453</v>
      </c>
      <c r="C162" s="9" t="s">
        <v>648</v>
      </c>
      <c r="D162" s="30">
        <v>1100</v>
      </c>
      <c r="E162" s="13">
        <v>2.59</v>
      </c>
      <c r="F162" s="50">
        <f t="shared" si="8"/>
        <v>2849</v>
      </c>
      <c r="G162" s="73">
        <v>44778</v>
      </c>
      <c r="H162" s="75">
        <f>20*100</f>
        <v>2000</v>
      </c>
      <c r="I162" s="72">
        <f>3.4+0.612</f>
        <v>4.0119999999999996</v>
      </c>
      <c r="J162" s="74">
        <f>+H162*I162</f>
        <v>8023.9999999999991</v>
      </c>
      <c r="K162" s="71">
        <v>100</v>
      </c>
      <c r="L162" s="71">
        <f t="shared" si="7"/>
        <v>3000</v>
      </c>
      <c r="M162" s="8" t="s">
        <v>943</v>
      </c>
      <c r="N162" s="8" t="s">
        <v>945</v>
      </c>
    </row>
    <row r="163" spans="1:14" s="8" customFormat="1" ht="15.75" x14ac:dyDescent="0.25">
      <c r="A163" s="15" t="s">
        <v>390</v>
      </c>
      <c r="B163" s="16">
        <v>44659</v>
      </c>
      <c r="C163" s="25" t="s">
        <v>855</v>
      </c>
      <c r="D163" s="38">
        <f>25*100</f>
        <v>2500</v>
      </c>
      <c r="E163" s="13">
        <v>4.3499999999999996</v>
      </c>
      <c r="F163" s="50">
        <f t="shared" si="8"/>
        <v>10875</v>
      </c>
      <c r="G163" s="73">
        <v>44778</v>
      </c>
      <c r="H163" s="75">
        <f>10*100</f>
        <v>1000</v>
      </c>
      <c r="I163" s="72">
        <v>4.8899999999999997</v>
      </c>
      <c r="J163" s="74">
        <f>+H163*I163</f>
        <v>4890</v>
      </c>
      <c r="K163" s="71"/>
      <c r="L163" s="71">
        <f t="shared" si="7"/>
        <v>3500</v>
      </c>
      <c r="M163" s="8" t="s">
        <v>943</v>
      </c>
      <c r="N163" s="8" t="s">
        <v>945</v>
      </c>
    </row>
    <row r="164" spans="1:14" s="8" customFormat="1" ht="15.75" x14ac:dyDescent="0.25">
      <c r="A164" s="15" t="s">
        <v>391</v>
      </c>
      <c r="B164" s="16">
        <v>44659</v>
      </c>
      <c r="C164" s="25" t="s">
        <v>651</v>
      </c>
      <c r="D164" s="38">
        <f>60*100</f>
        <v>6000</v>
      </c>
      <c r="E164" s="13">
        <v>6.95</v>
      </c>
      <c r="F164" s="50">
        <f t="shared" si="8"/>
        <v>41700</v>
      </c>
      <c r="G164" s="71"/>
      <c r="H164" s="71"/>
      <c r="I164" s="72"/>
      <c r="J164" s="71"/>
      <c r="K164" s="71">
        <v>100</v>
      </c>
      <c r="L164" s="71">
        <f t="shared" si="7"/>
        <v>5900</v>
      </c>
      <c r="N164" s="8" t="s">
        <v>945</v>
      </c>
    </row>
    <row r="165" spans="1:14" s="8" customFormat="1" ht="15.75" x14ac:dyDescent="0.25">
      <c r="A165" s="15" t="s">
        <v>392</v>
      </c>
      <c r="B165" s="16">
        <v>44659</v>
      </c>
      <c r="C165" s="25" t="s">
        <v>652</v>
      </c>
      <c r="D165" s="38">
        <f>30*100</f>
        <v>3000</v>
      </c>
      <c r="E165" s="13">
        <v>6.5</v>
      </c>
      <c r="F165" s="50">
        <f t="shared" si="8"/>
        <v>19500</v>
      </c>
      <c r="G165" s="71"/>
      <c r="H165" s="71"/>
      <c r="I165" s="72"/>
      <c r="J165" s="71"/>
      <c r="K165" s="71"/>
      <c r="L165" s="71">
        <f t="shared" si="7"/>
        <v>3000</v>
      </c>
      <c r="N165" s="8" t="s">
        <v>945</v>
      </c>
    </row>
    <row r="166" spans="1:14" s="8" customFormat="1" ht="15.75" x14ac:dyDescent="0.25">
      <c r="A166" s="15" t="s">
        <v>393</v>
      </c>
      <c r="B166" s="16">
        <v>44193</v>
      </c>
      <c r="C166" s="26" t="s">
        <v>786</v>
      </c>
      <c r="D166" s="32">
        <f>4+8</f>
        <v>12</v>
      </c>
      <c r="E166" s="13">
        <v>150</v>
      </c>
      <c r="F166" s="50">
        <f t="shared" si="8"/>
        <v>1800</v>
      </c>
      <c r="G166" s="71"/>
      <c r="H166" s="71"/>
      <c r="I166" s="72"/>
      <c r="J166" s="71"/>
      <c r="K166" s="71"/>
      <c r="L166" s="71">
        <f t="shared" si="7"/>
        <v>12</v>
      </c>
      <c r="N166" s="8" t="s">
        <v>945</v>
      </c>
    </row>
    <row r="167" spans="1:14" s="8" customFormat="1" ht="15.75" x14ac:dyDescent="0.25">
      <c r="A167" s="15" t="s">
        <v>394</v>
      </c>
      <c r="B167" s="16"/>
      <c r="C167" s="25" t="s">
        <v>827</v>
      </c>
      <c r="D167" s="38">
        <v>2</v>
      </c>
      <c r="E167" s="13"/>
      <c r="F167" s="50"/>
      <c r="G167" s="71"/>
      <c r="H167" s="71"/>
      <c r="I167" s="72"/>
      <c r="J167" s="71"/>
      <c r="K167" s="71"/>
      <c r="L167" s="71">
        <f t="shared" si="7"/>
        <v>2</v>
      </c>
      <c r="N167" s="8" t="s">
        <v>946</v>
      </c>
    </row>
    <row r="168" spans="1:14" s="8" customFormat="1" ht="15.75" x14ac:dyDescent="0.25">
      <c r="A168" s="15" t="s">
        <v>395</v>
      </c>
      <c r="B168" s="16"/>
      <c r="C168" s="25" t="s">
        <v>828</v>
      </c>
      <c r="D168" s="38">
        <v>1</v>
      </c>
      <c r="E168" s="13"/>
      <c r="F168" s="50"/>
      <c r="G168" s="71"/>
      <c r="H168" s="71"/>
      <c r="I168" s="72"/>
      <c r="J168" s="71"/>
      <c r="K168" s="71"/>
      <c r="L168" s="71">
        <f t="shared" si="7"/>
        <v>1</v>
      </c>
      <c r="N168" s="8" t="s">
        <v>946</v>
      </c>
    </row>
    <row r="169" spans="1:14" s="8" customFormat="1" ht="15.75" x14ac:dyDescent="0.25">
      <c r="A169" s="15" t="s">
        <v>396</v>
      </c>
      <c r="B169" s="16">
        <v>44193</v>
      </c>
      <c r="C169" s="25" t="s">
        <v>653</v>
      </c>
      <c r="D169" s="38">
        <v>50</v>
      </c>
      <c r="E169" s="13">
        <v>575</v>
      </c>
      <c r="F169" s="50">
        <f t="shared" ref="F169:F199" si="9">D169*E169</f>
        <v>28750</v>
      </c>
      <c r="G169" s="71"/>
      <c r="H169" s="71"/>
      <c r="I169" s="72"/>
      <c r="J169" s="71"/>
      <c r="K169" s="71">
        <f>1+1</f>
        <v>2</v>
      </c>
      <c r="L169" s="71">
        <f t="shared" si="7"/>
        <v>48</v>
      </c>
      <c r="N169" s="8" t="s">
        <v>945</v>
      </c>
    </row>
    <row r="170" spans="1:14" s="8" customFormat="1" ht="15.75" x14ac:dyDescent="0.25">
      <c r="A170" s="15" t="s">
        <v>397</v>
      </c>
      <c r="B170" s="16">
        <v>44193</v>
      </c>
      <c r="C170" s="26" t="s">
        <v>655</v>
      </c>
      <c r="D170" s="32">
        <v>20</v>
      </c>
      <c r="E170" s="13">
        <v>25</v>
      </c>
      <c r="F170" s="50">
        <f t="shared" si="9"/>
        <v>500</v>
      </c>
      <c r="G170" s="71"/>
      <c r="H170" s="71"/>
      <c r="I170" s="72"/>
      <c r="J170" s="71"/>
      <c r="K170" s="71"/>
      <c r="L170" s="71">
        <f t="shared" si="7"/>
        <v>20</v>
      </c>
      <c r="N170" s="8" t="s">
        <v>947</v>
      </c>
    </row>
    <row r="171" spans="1:14" s="8" customFormat="1" ht="15.75" x14ac:dyDescent="0.25">
      <c r="A171" s="15" t="s">
        <v>398</v>
      </c>
      <c r="B171" s="16">
        <v>44193</v>
      </c>
      <c r="C171" s="9" t="s">
        <v>656</v>
      </c>
      <c r="D171" s="32">
        <v>15</v>
      </c>
      <c r="E171" s="13">
        <v>275</v>
      </c>
      <c r="F171" s="50">
        <f t="shared" si="9"/>
        <v>4125</v>
      </c>
      <c r="G171" s="71"/>
      <c r="H171" s="71"/>
      <c r="I171" s="72"/>
      <c r="J171" s="71"/>
      <c r="K171" s="71"/>
      <c r="L171" s="71">
        <f t="shared" si="7"/>
        <v>15</v>
      </c>
      <c r="N171" s="8" t="s">
        <v>947</v>
      </c>
    </row>
    <row r="172" spans="1:14" s="8" customFormat="1" ht="15.75" x14ac:dyDescent="0.25">
      <c r="A172" s="15" t="s">
        <v>399</v>
      </c>
      <c r="B172" s="16">
        <v>44193</v>
      </c>
      <c r="C172" s="9" t="s">
        <v>658</v>
      </c>
      <c r="D172" s="30">
        <v>2</v>
      </c>
      <c r="E172" s="13">
        <v>50</v>
      </c>
      <c r="F172" s="50">
        <f t="shared" si="9"/>
        <v>100</v>
      </c>
      <c r="G172" s="71"/>
      <c r="H172" s="71"/>
      <c r="I172" s="72"/>
      <c r="J172" s="71"/>
      <c r="K172" s="71"/>
      <c r="L172" s="71">
        <f t="shared" si="7"/>
        <v>2</v>
      </c>
      <c r="N172" s="8" t="s">
        <v>947</v>
      </c>
    </row>
    <row r="173" spans="1:14" s="8" customFormat="1" ht="15.75" x14ac:dyDescent="0.25">
      <c r="A173" s="15" t="s">
        <v>400</v>
      </c>
      <c r="B173" s="16">
        <v>44193</v>
      </c>
      <c r="C173" s="9" t="s">
        <v>657</v>
      </c>
      <c r="D173" s="30">
        <f>20+9</f>
        <v>29</v>
      </c>
      <c r="E173" s="13">
        <v>50</v>
      </c>
      <c r="F173" s="50">
        <f t="shared" si="9"/>
        <v>1450</v>
      </c>
      <c r="G173" s="71"/>
      <c r="H173" s="71"/>
      <c r="I173" s="72"/>
      <c r="J173" s="71"/>
      <c r="K173" s="71"/>
      <c r="L173" s="71">
        <f t="shared" si="7"/>
        <v>29</v>
      </c>
      <c r="N173" s="8" t="s">
        <v>947</v>
      </c>
    </row>
    <row r="174" spans="1:14" s="8" customFormat="1" ht="15.75" x14ac:dyDescent="0.25">
      <c r="A174" s="15" t="s">
        <v>401</v>
      </c>
      <c r="B174" s="16">
        <v>44193</v>
      </c>
      <c r="C174" s="26" t="s">
        <v>660</v>
      </c>
      <c r="D174" s="30">
        <v>35</v>
      </c>
      <c r="E174" s="13">
        <v>7</v>
      </c>
      <c r="F174" s="50">
        <f t="shared" si="9"/>
        <v>245</v>
      </c>
      <c r="G174" s="71"/>
      <c r="H174" s="71"/>
      <c r="I174" s="72"/>
      <c r="J174" s="71"/>
      <c r="K174" s="71"/>
      <c r="L174" s="71">
        <f t="shared" si="7"/>
        <v>35</v>
      </c>
      <c r="N174" s="8" t="s">
        <v>945</v>
      </c>
    </row>
    <row r="175" spans="1:14" s="8" customFormat="1" ht="15.75" x14ac:dyDescent="0.25">
      <c r="A175" s="15" t="s">
        <v>402</v>
      </c>
      <c r="B175" s="16">
        <v>44193</v>
      </c>
      <c r="C175" s="26" t="s">
        <v>659</v>
      </c>
      <c r="D175" s="30">
        <v>34</v>
      </c>
      <c r="E175" s="13">
        <v>125</v>
      </c>
      <c r="F175" s="50">
        <f t="shared" si="9"/>
        <v>4250</v>
      </c>
      <c r="G175" s="71"/>
      <c r="H175" s="71"/>
      <c r="I175" s="72"/>
      <c r="J175" s="71"/>
      <c r="K175" s="71">
        <v>1</v>
      </c>
      <c r="L175" s="71">
        <f t="shared" si="7"/>
        <v>33</v>
      </c>
      <c r="N175" s="8" t="s">
        <v>945</v>
      </c>
    </row>
    <row r="176" spans="1:14" s="8" customFormat="1" ht="15.75" x14ac:dyDescent="0.25">
      <c r="A176" s="15" t="s">
        <v>403</v>
      </c>
      <c r="B176" s="16">
        <v>44193</v>
      </c>
      <c r="C176" s="26" t="s">
        <v>661</v>
      </c>
      <c r="D176" s="30">
        <v>106</v>
      </c>
      <c r="E176" s="13">
        <v>7</v>
      </c>
      <c r="F176" s="50">
        <f t="shared" si="9"/>
        <v>742</v>
      </c>
      <c r="G176" s="71"/>
      <c r="H176" s="71"/>
      <c r="I176" s="72"/>
      <c r="J176" s="71"/>
      <c r="K176" s="71">
        <v>3</v>
      </c>
      <c r="L176" s="71">
        <f t="shared" si="7"/>
        <v>103</v>
      </c>
      <c r="N176" s="8" t="s">
        <v>945</v>
      </c>
    </row>
    <row r="177" spans="1:14" s="8" customFormat="1" ht="15.75" x14ac:dyDescent="0.25">
      <c r="A177" s="15" t="s">
        <v>404</v>
      </c>
      <c r="B177" s="16">
        <v>44456</v>
      </c>
      <c r="C177" s="26" t="s">
        <v>662</v>
      </c>
      <c r="D177" s="30">
        <v>27</v>
      </c>
      <c r="E177" s="13">
        <v>7</v>
      </c>
      <c r="F177" s="50">
        <f t="shared" si="9"/>
        <v>189</v>
      </c>
      <c r="G177" s="71"/>
      <c r="H177" s="71"/>
      <c r="I177" s="72"/>
      <c r="J177" s="71"/>
      <c r="K177" s="71"/>
      <c r="L177" s="71">
        <f t="shared" si="7"/>
        <v>27</v>
      </c>
      <c r="N177" s="8" t="s">
        <v>945</v>
      </c>
    </row>
    <row r="178" spans="1:14" s="8" customFormat="1" ht="15.75" x14ac:dyDescent="0.25">
      <c r="A178" s="15" t="s">
        <v>405</v>
      </c>
      <c r="B178" s="16">
        <v>44193</v>
      </c>
      <c r="C178" s="26" t="s">
        <v>800</v>
      </c>
      <c r="D178" s="32">
        <f>6+6</f>
        <v>12</v>
      </c>
      <c r="E178" s="13">
        <v>135</v>
      </c>
      <c r="F178" s="50">
        <f t="shared" si="9"/>
        <v>1620</v>
      </c>
      <c r="G178" s="71"/>
      <c r="H178" s="71"/>
      <c r="I178" s="72"/>
      <c r="J178" s="71"/>
      <c r="K178" s="71"/>
      <c r="L178" s="71">
        <f t="shared" si="7"/>
        <v>12</v>
      </c>
      <c r="N178" s="8" t="s">
        <v>946</v>
      </c>
    </row>
    <row r="179" spans="1:14" s="8" customFormat="1" ht="15.75" x14ac:dyDescent="0.25">
      <c r="A179" s="15" t="s">
        <v>406</v>
      </c>
      <c r="B179" s="16">
        <v>44193</v>
      </c>
      <c r="C179" s="26" t="s">
        <v>663</v>
      </c>
      <c r="D179" s="55">
        <v>42</v>
      </c>
      <c r="E179" s="13">
        <v>115</v>
      </c>
      <c r="F179" s="50">
        <f t="shared" si="9"/>
        <v>4830</v>
      </c>
      <c r="G179" s="71"/>
      <c r="H179" s="71"/>
      <c r="I179" s="72"/>
      <c r="J179" s="71"/>
      <c r="K179" s="71"/>
      <c r="L179" s="71">
        <f t="shared" si="7"/>
        <v>42</v>
      </c>
      <c r="N179" s="8" t="s">
        <v>946</v>
      </c>
    </row>
    <row r="180" spans="1:14" s="8" customFormat="1" ht="15.75" x14ac:dyDescent="0.25">
      <c r="A180" s="15" t="s">
        <v>407</v>
      </c>
      <c r="B180" s="16">
        <v>44656</v>
      </c>
      <c r="C180" s="26" t="s">
        <v>768</v>
      </c>
      <c r="D180" s="32">
        <v>104</v>
      </c>
      <c r="E180" s="13">
        <v>636.6</v>
      </c>
      <c r="F180" s="50">
        <f t="shared" si="9"/>
        <v>66206.400000000009</v>
      </c>
      <c r="G180" s="71"/>
      <c r="H180" s="71"/>
      <c r="I180" s="72"/>
      <c r="J180" s="71"/>
      <c r="K180" s="71">
        <f>1+1+1+1</f>
        <v>4</v>
      </c>
      <c r="L180" s="71">
        <f t="shared" si="7"/>
        <v>100</v>
      </c>
      <c r="N180" s="8" t="s">
        <v>945</v>
      </c>
    </row>
    <row r="181" spans="1:14" s="8" customFormat="1" ht="15.75" x14ac:dyDescent="0.25">
      <c r="A181" s="15" t="s">
        <v>408</v>
      </c>
      <c r="B181" s="16">
        <v>44656</v>
      </c>
      <c r="C181" s="25" t="s">
        <v>769</v>
      </c>
      <c r="D181" s="32">
        <v>74</v>
      </c>
      <c r="E181" s="13">
        <v>115.48</v>
      </c>
      <c r="F181" s="50">
        <f t="shared" si="9"/>
        <v>8545.52</v>
      </c>
      <c r="G181" s="71"/>
      <c r="H181" s="71"/>
      <c r="I181" s="72"/>
      <c r="J181" s="71"/>
      <c r="K181" s="71">
        <f>1+2+1</f>
        <v>4</v>
      </c>
      <c r="L181" s="71">
        <f t="shared" si="7"/>
        <v>70</v>
      </c>
      <c r="N181" s="8" t="s">
        <v>945</v>
      </c>
    </row>
    <row r="182" spans="1:14" s="8" customFormat="1" ht="15.75" x14ac:dyDescent="0.25">
      <c r="A182" s="15" t="s">
        <v>409</v>
      </c>
      <c r="B182" s="16">
        <v>44193</v>
      </c>
      <c r="C182" s="25" t="s">
        <v>796</v>
      </c>
      <c r="D182" s="38">
        <v>3</v>
      </c>
      <c r="E182" s="13">
        <v>352</v>
      </c>
      <c r="F182" s="50">
        <f t="shared" si="9"/>
        <v>1056</v>
      </c>
      <c r="G182" s="71"/>
      <c r="H182" s="71"/>
      <c r="I182" s="72"/>
      <c r="J182" s="71"/>
      <c r="K182" s="71"/>
      <c r="L182" s="71">
        <f t="shared" si="7"/>
        <v>3</v>
      </c>
      <c r="N182" s="8" t="s">
        <v>946</v>
      </c>
    </row>
    <row r="183" spans="1:14" s="8" customFormat="1" ht="15.75" x14ac:dyDescent="0.25">
      <c r="A183" s="15" t="s">
        <v>410</v>
      </c>
      <c r="B183" s="16">
        <v>44193</v>
      </c>
      <c r="C183" s="25" t="s">
        <v>670</v>
      </c>
      <c r="D183" s="55">
        <f>38+19</f>
        <v>57</v>
      </c>
      <c r="E183" s="13">
        <v>67.8</v>
      </c>
      <c r="F183" s="50">
        <f t="shared" si="9"/>
        <v>3864.6</v>
      </c>
      <c r="G183" s="71"/>
      <c r="H183" s="71"/>
      <c r="I183" s="72"/>
      <c r="J183" s="71"/>
      <c r="K183" s="71"/>
      <c r="L183" s="71">
        <f t="shared" si="7"/>
        <v>57</v>
      </c>
      <c r="N183" s="8" t="s">
        <v>946</v>
      </c>
    </row>
    <row r="184" spans="1:14" s="8" customFormat="1" ht="15.75" x14ac:dyDescent="0.25">
      <c r="A184" s="15" t="s">
        <v>411</v>
      </c>
      <c r="B184" s="16">
        <v>44193</v>
      </c>
      <c r="C184" s="25" t="s">
        <v>671</v>
      </c>
      <c r="D184" s="55">
        <f>19+19</f>
        <v>38</v>
      </c>
      <c r="E184" s="13">
        <v>67.8</v>
      </c>
      <c r="F184" s="50">
        <f t="shared" si="9"/>
        <v>2576.4</v>
      </c>
      <c r="G184" s="71"/>
      <c r="H184" s="71"/>
      <c r="I184" s="72"/>
      <c r="J184" s="71"/>
      <c r="K184" s="71"/>
      <c r="L184" s="71">
        <f t="shared" si="7"/>
        <v>38</v>
      </c>
      <c r="N184" s="8" t="s">
        <v>946</v>
      </c>
    </row>
    <row r="185" spans="1:14" s="8" customFormat="1" ht="15.75" x14ac:dyDescent="0.25">
      <c r="A185" s="15" t="s">
        <v>412</v>
      </c>
      <c r="B185" s="16">
        <v>44193</v>
      </c>
      <c r="C185" s="25" t="s">
        <v>669</v>
      </c>
      <c r="D185" s="32">
        <v>0</v>
      </c>
      <c r="E185" s="13">
        <v>67.8</v>
      </c>
      <c r="F185" s="50">
        <f t="shared" si="9"/>
        <v>0</v>
      </c>
      <c r="G185" s="71"/>
      <c r="H185" s="71"/>
      <c r="I185" s="72"/>
      <c r="J185" s="71"/>
      <c r="K185" s="71"/>
      <c r="L185" s="71">
        <f t="shared" si="7"/>
        <v>0</v>
      </c>
      <c r="N185" s="8" t="s">
        <v>946</v>
      </c>
    </row>
    <row r="186" spans="1:14" s="8" customFormat="1" ht="15.75" x14ac:dyDescent="0.25">
      <c r="A186" s="15" t="s">
        <v>413</v>
      </c>
      <c r="B186" s="16">
        <v>44193</v>
      </c>
      <c r="C186" s="9" t="s">
        <v>672</v>
      </c>
      <c r="D186" s="55">
        <v>50</v>
      </c>
      <c r="E186" s="13">
        <v>170.69</v>
      </c>
      <c r="F186" s="50">
        <f t="shared" si="9"/>
        <v>8534.5</v>
      </c>
      <c r="G186" s="71"/>
      <c r="H186" s="71"/>
      <c r="I186" s="72"/>
      <c r="J186" s="71"/>
      <c r="K186" s="71"/>
      <c r="L186" s="71">
        <f t="shared" si="7"/>
        <v>50</v>
      </c>
      <c r="N186" s="8" t="s">
        <v>947</v>
      </c>
    </row>
    <row r="187" spans="1:14" s="8" customFormat="1" ht="15.75" x14ac:dyDescent="0.25">
      <c r="A187" s="15" t="s">
        <v>414</v>
      </c>
      <c r="B187" s="16">
        <v>44193</v>
      </c>
      <c r="C187" s="9" t="s">
        <v>673</v>
      </c>
      <c r="D187" s="55">
        <v>1040</v>
      </c>
      <c r="E187" s="13">
        <v>170.69</v>
      </c>
      <c r="F187" s="50">
        <f t="shared" si="9"/>
        <v>177517.6</v>
      </c>
      <c r="G187" s="71"/>
      <c r="H187" s="71"/>
      <c r="I187" s="72"/>
      <c r="J187" s="71"/>
      <c r="K187" s="71"/>
      <c r="L187" s="71">
        <f t="shared" si="7"/>
        <v>1040</v>
      </c>
      <c r="N187" s="8" t="s">
        <v>947</v>
      </c>
    </row>
    <row r="188" spans="1:14" s="8" customFormat="1" ht="15.75" x14ac:dyDescent="0.25">
      <c r="A188" s="15" t="s">
        <v>415</v>
      </c>
      <c r="B188" s="16">
        <v>44193</v>
      </c>
      <c r="C188" s="9" t="s">
        <v>674</v>
      </c>
      <c r="D188" s="56">
        <v>1</v>
      </c>
      <c r="E188" s="13">
        <v>170.69</v>
      </c>
      <c r="F188" s="50">
        <f t="shared" si="9"/>
        <v>170.69</v>
      </c>
      <c r="G188" s="71"/>
      <c r="H188" s="71"/>
      <c r="I188" s="72"/>
      <c r="J188" s="71"/>
      <c r="K188" s="71"/>
      <c r="L188" s="71">
        <f t="shared" si="7"/>
        <v>1</v>
      </c>
      <c r="N188" s="8" t="s">
        <v>947</v>
      </c>
    </row>
    <row r="189" spans="1:14" s="8" customFormat="1" ht="15.75" x14ac:dyDescent="0.25">
      <c r="A189" s="15" t="s">
        <v>416</v>
      </c>
      <c r="B189" s="16">
        <v>44193</v>
      </c>
      <c r="C189" s="9" t="s">
        <v>675</v>
      </c>
      <c r="D189" s="30">
        <v>300</v>
      </c>
      <c r="E189" s="13">
        <v>6.5</v>
      </c>
      <c r="F189" s="50">
        <f t="shared" si="9"/>
        <v>1950</v>
      </c>
      <c r="G189" s="71"/>
      <c r="H189" s="71"/>
      <c r="I189" s="72"/>
      <c r="J189" s="71"/>
      <c r="K189" s="71"/>
      <c r="L189" s="71">
        <f t="shared" si="7"/>
        <v>300</v>
      </c>
      <c r="N189" s="8" t="s">
        <v>947</v>
      </c>
    </row>
    <row r="190" spans="1:14" s="8" customFormat="1" ht="15.75" x14ac:dyDescent="0.25">
      <c r="A190" s="15" t="s">
        <v>417</v>
      </c>
      <c r="B190" s="16">
        <v>44193</v>
      </c>
      <c r="C190" s="9" t="s">
        <v>676</v>
      </c>
      <c r="D190" s="30">
        <v>2</v>
      </c>
      <c r="E190" s="13">
        <v>3.5</v>
      </c>
      <c r="F190" s="50">
        <f t="shared" si="9"/>
        <v>7</v>
      </c>
      <c r="G190" s="71"/>
      <c r="H190" s="71"/>
      <c r="I190" s="72"/>
      <c r="J190" s="71"/>
      <c r="K190" s="71"/>
      <c r="L190" s="71">
        <f t="shared" si="7"/>
        <v>2</v>
      </c>
      <c r="N190" s="8" t="s">
        <v>947</v>
      </c>
    </row>
    <row r="191" spans="1:14" s="8" customFormat="1" ht="15.75" x14ac:dyDescent="0.25">
      <c r="A191" s="15" t="s">
        <v>418</v>
      </c>
      <c r="B191" s="16">
        <v>44193</v>
      </c>
      <c r="C191" s="26" t="s">
        <v>678</v>
      </c>
      <c r="D191" s="30">
        <v>5</v>
      </c>
      <c r="E191" s="13">
        <v>5000</v>
      </c>
      <c r="F191" s="50">
        <f t="shared" si="9"/>
        <v>25000</v>
      </c>
      <c r="G191" s="71"/>
      <c r="H191" s="71"/>
      <c r="I191" s="72"/>
      <c r="J191" s="71"/>
      <c r="K191" s="71"/>
      <c r="L191" s="71">
        <f t="shared" si="7"/>
        <v>5</v>
      </c>
      <c r="N191" s="8" t="s">
        <v>946</v>
      </c>
    </row>
    <row r="192" spans="1:14" s="8" customFormat="1" ht="15.75" x14ac:dyDescent="0.25">
      <c r="A192" s="15" t="s">
        <v>419</v>
      </c>
      <c r="B192" s="16">
        <v>44193</v>
      </c>
      <c r="C192" s="26" t="s">
        <v>677</v>
      </c>
      <c r="D192" s="30">
        <v>2</v>
      </c>
      <c r="E192" s="13">
        <v>10800</v>
      </c>
      <c r="F192" s="50">
        <f t="shared" si="9"/>
        <v>21600</v>
      </c>
      <c r="G192" s="71"/>
      <c r="H192" s="71"/>
      <c r="I192" s="72"/>
      <c r="J192" s="71"/>
      <c r="K192" s="71"/>
      <c r="L192" s="71">
        <f t="shared" si="7"/>
        <v>2</v>
      </c>
      <c r="N192" s="8" t="s">
        <v>946</v>
      </c>
    </row>
    <row r="193" spans="1:14" s="8" customFormat="1" ht="15.75" x14ac:dyDescent="0.25">
      <c r="A193" s="15" t="s">
        <v>420</v>
      </c>
      <c r="B193" s="16">
        <v>44193</v>
      </c>
      <c r="C193" s="9" t="s">
        <v>679</v>
      </c>
      <c r="D193" s="38">
        <v>29</v>
      </c>
      <c r="E193" s="13">
        <v>33</v>
      </c>
      <c r="F193" s="50">
        <f t="shared" si="9"/>
        <v>957</v>
      </c>
      <c r="G193" s="71"/>
      <c r="H193" s="71"/>
      <c r="I193" s="72"/>
      <c r="J193" s="71"/>
      <c r="K193" s="71"/>
      <c r="L193" s="71">
        <f t="shared" si="7"/>
        <v>29</v>
      </c>
      <c r="N193" s="8" t="s">
        <v>947</v>
      </c>
    </row>
    <row r="194" spans="1:14" s="8" customFormat="1" ht="15.75" x14ac:dyDescent="0.25">
      <c r="A194" s="15" t="s">
        <v>421</v>
      </c>
      <c r="B194" s="16">
        <v>44193</v>
      </c>
      <c r="C194" s="9" t="s">
        <v>779</v>
      </c>
      <c r="D194" s="30">
        <v>8</v>
      </c>
      <c r="E194" s="13">
        <v>15</v>
      </c>
      <c r="F194" s="50">
        <f t="shared" si="9"/>
        <v>120</v>
      </c>
      <c r="G194" s="71"/>
      <c r="H194" s="71"/>
      <c r="I194" s="72"/>
      <c r="J194" s="71"/>
      <c r="K194" s="71"/>
      <c r="L194" s="71">
        <f t="shared" si="7"/>
        <v>8</v>
      </c>
      <c r="N194" s="8" t="s">
        <v>947</v>
      </c>
    </row>
    <row r="195" spans="1:14" s="8" customFormat="1" ht="15.75" x14ac:dyDescent="0.25">
      <c r="A195" s="15" t="s">
        <v>422</v>
      </c>
      <c r="B195" s="16">
        <v>44547</v>
      </c>
      <c r="C195" s="9" t="s">
        <v>777</v>
      </c>
      <c r="D195" s="30">
        <v>27</v>
      </c>
      <c r="E195" s="13">
        <v>8.34</v>
      </c>
      <c r="F195" s="50">
        <f t="shared" si="9"/>
        <v>225.18</v>
      </c>
      <c r="G195" s="71"/>
      <c r="H195" s="71"/>
      <c r="I195" s="72"/>
      <c r="J195" s="71"/>
      <c r="K195" s="71"/>
      <c r="L195" s="71">
        <f t="shared" si="7"/>
        <v>27</v>
      </c>
      <c r="N195" s="8" t="s">
        <v>947</v>
      </c>
    </row>
    <row r="196" spans="1:14" s="8" customFormat="1" ht="15.75" x14ac:dyDescent="0.25">
      <c r="A196" s="15" t="s">
        <v>423</v>
      </c>
      <c r="B196" s="16">
        <v>44193</v>
      </c>
      <c r="C196" s="9" t="s">
        <v>778</v>
      </c>
      <c r="D196" s="30">
        <v>12</v>
      </c>
      <c r="E196" s="13">
        <v>8.34</v>
      </c>
      <c r="F196" s="50">
        <f t="shared" si="9"/>
        <v>100.08</v>
      </c>
      <c r="G196" s="71"/>
      <c r="H196" s="71"/>
      <c r="I196" s="72"/>
      <c r="J196" s="71"/>
      <c r="K196" s="71"/>
      <c r="L196" s="71">
        <f t="shared" si="7"/>
        <v>12</v>
      </c>
      <c r="N196" s="8" t="s">
        <v>947</v>
      </c>
    </row>
    <row r="197" spans="1:14" s="8" customFormat="1" ht="15.75" x14ac:dyDescent="0.25">
      <c r="A197" s="15" t="s">
        <v>424</v>
      </c>
      <c r="B197" s="16">
        <v>44193</v>
      </c>
      <c r="C197" s="9" t="s">
        <v>681</v>
      </c>
      <c r="D197" s="30">
        <v>139</v>
      </c>
      <c r="E197" s="13">
        <v>5.6</v>
      </c>
      <c r="F197" s="50">
        <f t="shared" si="9"/>
        <v>778.4</v>
      </c>
      <c r="G197" s="71"/>
      <c r="H197" s="71"/>
      <c r="I197" s="72"/>
      <c r="J197" s="71"/>
      <c r="K197" s="71"/>
      <c r="L197" s="71">
        <f t="shared" si="7"/>
        <v>139</v>
      </c>
      <c r="N197" s="8" t="s">
        <v>947</v>
      </c>
    </row>
    <row r="198" spans="1:14" s="8" customFormat="1" ht="15.75" x14ac:dyDescent="0.25">
      <c r="A198" s="15" t="s">
        <v>425</v>
      </c>
      <c r="B198" s="16">
        <v>44193</v>
      </c>
      <c r="C198" s="9" t="s">
        <v>684</v>
      </c>
      <c r="D198" s="30">
        <v>79</v>
      </c>
      <c r="E198" s="13">
        <v>160</v>
      </c>
      <c r="F198" s="50">
        <f t="shared" si="9"/>
        <v>12640</v>
      </c>
      <c r="G198" s="71"/>
      <c r="H198" s="71"/>
      <c r="I198" s="72"/>
      <c r="J198" s="71"/>
      <c r="K198" s="71"/>
      <c r="L198" s="71">
        <f t="shared" si="7"/>
        <v>79</v>
      </c>
      <c r="N198" s="8" t="s">
        <v>945</v>
      </c>
    </row>
    <row r="199" spans="1:14" s="8" customFormat="1" ht="15.75" x14ac:dyDescent="0.25">
      <c r="A199" s="15" t="s">
        <v>426</v>
      </c>
      <c r="B199" s="16">
        <v>44193</v>
      </c>
      <c r="C199" s="9" t="s">
        <v>787</v>
      </c>
      <c r="D199" s="30">
        <v>11</v>
      </c>
      <c r="E199" s="13">
        <v>35</v>
      </c>
      <c r="F199" s="50">
        <f t="shared" si="9"/>
        <v>385</v>
      </c>
      <c r="G199" s="71"/>
      <c r="H199" s="71"/>
      <c r="I199" s="72"/>
      <c r="J199" s="71"/>
      <c r="K199" s="71"/>
      <c r="L199" s="71">
        <f t="shared" si="7"/>
        <v>11</v>
      </c>
      <c r="N199" s="8" t="s">
        <v>947</v>
      </c>
    </row>
    <row r="200" spans="1:14" s="8" customFormat="1" ht="15.75" x14ac:dyDescent="0.25">
      <c r="A200" s="15" t="s">
        <v>427</v>
      </c>
      <c r="B200" s="16"/>
      <c r="C200" s="25" t="s">
        <v>782</v>
      </c>
      <c r="D200" s="38">
        <v>38</v>
      </c>
      <c r="E200" s="13"/>
      <c r="F200" s="50"/>
      <c r="G200" s="71"/>
      <c r="H200" s="71"/>
      <c r="I200" s="72"/>
      <c r="J200" s="71"/>
      <c r="K200" s="71"/>
      <c r="L200" s="71">
        <f t="shared" si="7"/>
        <v>38</v>
      </c>
      <c r="N200" s="8" t="s">
        <v>947</v>
      </c>
    </row>
    <row r="201" spans="1:14" s="8" customFormat="1" ht="15.75" x14ac:dyDescent="0.25">
      <c r="A201" s="15" t="s">
        <v>428</v>
      </c>
      <c r="B201" s="23" t="s">
        <v>106</v>
      </c>
      <c r="C201" s="9" t="s">
        <v>780</v>
      </c>
      <c r="D201" s="30">
        <v>2</v>
      </c>
      <c r="E201" s="51">
        <v>325</v>
      </c>
      <c r="F201" s="50">
        <f>D201*E201</f>
        <v>650</v>
      </c>
      <c r="G201" s="71"/>
      <c r="H201" s="71"/>
      <c r="I201" s="72"/>
      <c r="J201" s="71"/>
      <c r="K201" s="71"/>
      <c r="L201" s="71">
        <f t="shared" si="7"/>
        <v>2</v>
      </c>
      <c r="N201" s="8" t="s">
        <v>947</v>
      </c>
    </row>
    <row r="202" spans="1:14" s="8" customFormat="1" ht="15.75" x14ac:dyDescent="0.25">
      <c r="A202" s="15" t="s">
        <v>429</v>
      </c>
      <c r="B202" s="16"/>
      <c r="C202" s="25" t="s">
        <v>783</v>
      </c>
      <c r="D202" s="38">
        <v>15</v>
      </c>
      <c r="E202" s="13"/>
      <c r="F202" s="50"/>
      <c r="G202" s="71"/>
      <c r="H202" s="71"/>
      <c r="I202" s="72"/>
      <c r="J202" s="71"/>
      <c r="K202" s="71"/>
      <c r="L202" s="71">
        <f t="shared" ref="L202:L265" si="10">+D202+H202-K202</f>
        <v>15</v>
      </c>
      <c r="N202" s="8" t="s">
        <v>947</v>
      </c>
    </row>
    <row r="203" spans="1:14" s="8" customFormat="1" ht="15.75" x14ac:dyDescent="0.25">
      <c r="A203" s="15" t="s">
        <v>430</v>
      </c>
      <c r="B203" s="16">
        <v>44193</v>
      </c>
      <c r="C203" s="9" t="s">
        <v>687</v>
      </c>
      <c r="D203" s="32">
        <v>2</v>
      </c>
      <c r="E203" s="13">
        <v>175</v>
      </c>
      <c r="F203" s="50">
        <f t="shared" ref="F203:F261" si="11">D203*E203</f>
        <v>350</v>
      </c>
      <c r="G203" s="71"/>
      <c r="H203" s="71"/>
      <c r="I203" s="72"/>
      <c r="J203" s="71"/>
      <c r="K203" s="71"/>
      <c r="L203" s="71">
        <f t="shared" si="10"/>
        <v>2</v>
      </c>
      <c r="N203" s="8" t="s">
        <v>947</v>
      </c>
    </row>
    <row r="204" spans="1:14" s="8" customFormat="1" ht="15.75" x14ac:dyDescent="0.25">
      <c r="A204" s="15" t="s">
        <v>431</v>
      </c>
      <c r="B204" s="16">
        <v>44193</v>
      </c>
      <c r="C204" s="26" t="s">
        <v>695</v>
      </c>
      <c r="D204" s="38">
        <v>1</v>
      </c>
      <c r="E204" s="13">
        <v>270.55</v>
      </c>
      <c r="F204" s="50">
        <f t="shared" si="11"/>
        <v>270.55</v>
      </c>
      <c r="G204" s="71"/>
      <c r="H204" s="71"/>
      <c r="I204" s="72"/>
      <c r="J204" s="71"/>
      <c r="K204" s="71"/>
      <c r="L204" s="71">
        <f t="shared" si="10"/>
        <v>1</v>
      </c>
      <c r="N204" s="8" t="s">
        <v>946</v>
      </c>
    </row>
    <row r="205" spans="1:14" s="8" customFormat="1" ht="15.75" x14ac:dyDescent="0.25">
      <c r="A205" s="15" t="s">
        <v>432</v>
      </c>
      <c r="B205" s="16">
        <v>44193</v>
      </c>
      <c r="C205" s="25" t="s">
        <v>688</v>
      </c>
      <c r="D205" s="58">
        <v>3</v>
      </c>
      <c r="E205" s="13">
        <v>79.8</v>
      </c>
      <c r="F205" s="50">
        <f t="shared" si="11"/>
        <v>239.39999999999998</v>
      </c>
      <c r="G205" s="71"/>
      <c r="H205" s="71"/>
      <c r="I205" s="72"/>
      <c r="J205" s="71"/>
      <c r="K205" s="71"/>
      <c r="L205" s="71">
        <f t="shared" si="10"/>
        <v>3</v>
      </c>
      <c r="N205" s="8" t="s">
        <v>946</v>
      </c>
    </row>
    <row r="206" spans="1:14" s="8" customFormat="1" ht="15.75" x14ac:dyDescent="0.25">
      <c r="A206" s="15" t="s">
        <v>433</v>
      </c>
      <c r="B206" s="16">
        <v>44193</v>
      </c>
      <c r="C206" s="25" t="s">
        <v>689</v>
      </c>
      <c r="D206" s="55">
        <v>7</v>
      </c>
      <c r="E206" s="13">
        <v>79.8</v>
      </c>
      <c r="F206" s="50">
        <f t="shared" si="11"/>
        <v>558.6</v>
      </c>
      <c r="G206" s="71"/>
      <c r="H206" s="71"/>
      <c r="I206" s="72"/>
      <c r="J206" s="71"/>
      <c r="K206" s="71"/>
      <c r="L206" s="71">
        <f t="shared" si="10"/>
        <v>7</v>
      </c>
      <c r="N206" s="8" t="s">
        <v>946</v>
      </c>
    </row>
    <row r="207" spans="1:14" s="8" customFormat="1" ht="15.75" x14ac:dyDescent="0.25">
      <c r="A207" s="15" t="s">
        <v>434</v>
      </c>
      <c r="B207" s="16">
        <v>44193</v>
      </c>
      <c r="C207" s="25" t="s">
        <v>690</v>
      </c>
      <c r="D207" s="57">
        <v>7</v>
      </c>
      <c r="E207" s="13">
        <v>62.93</v>
      </c>
      <c r="F207" s="50">
        <f t="shared" si="11"/>
        <v>440.51</v>
      </c>
      <c r="G207" s="71"/>
      <c r="H207" s="71"/>
      <c r="I207" s="72"/>
      <c r="J207" s="71"/>
      <c r="K207" s="71"/>
      <c r="L207" s="71">
        <f t="shared" si="10"/>
        <v>7</v>
      </c>
      <c r="N207" s="8" t="s">
        <v>946</v>
      </c>
    </row>
    <row r="208" spans="1:14" s="8" customFormat="1" ht="15.75" x14ac:dyDescent="0.25">
      <c r="A208" s="15" t="s">
        <v>435</v>
      </c>
      <c r="B208" s="16">
        <v>44193</v>
      </c>
      <c r="C208" s="26" t="s">
        <v>691</v>
      </c>
      <c r="D208" s="57">
        <v>21</v>
      </c>
      <c r="E208" s="13">
        <v>165</v>
      </c>
      <c r="F208" s="50">
        <f t="shared" si="11"/>
        <v>3465</v>
      </c>
      <c r="G208" s="71"/>
      <c r="H208" s="71"/>
      <c r="I208" s="72"/>
      <c r="J208" s="71"/>
      <c r="K208" s="71"/>
      <c r="L208" s="71">
        <f t="shared" si="10"/>
        <v>21</v>
      </c>
      <c r="N208" s="8" t="s">
        <v>946</v>
      </c>
    </row>
    <row r="209" spans="1:14" s="8" customFormat="1" ht="15.75" x14ac:dyDescent="0.25">
      <c r="A209" s="15" t="s">
        <v>436</v>
      </c>
      <c r="B209" s="16">
        <v>44193</v>
      </c>
      <c r="C209" s="26" t="s">
        <v>791</v>
      </c>
      <c r="D209" s="38">
        <v>18</v>
      </c>
      <c r="E209" s="13">
        <v>52</v>
      </c>
      <c r="F209" s="50">
        <f t="shared" si="11"/>
        <v>936</v>
      </c>
      <c r="G209" s="71"/>
      <c r="H209" s="71"/>
      <c r="I209" s="72"/>
      <c r="J209" s="71"/>
      <c r="K209" s="71"/>
      <c r="L209" s="71">
        <f t="shared" si="10"/>
        <v>18</v>
      </c>
      <c r="N209" s="8" t="s">
        <v>946</v>
      </c>
    </row>
    <row r="210" spans="1:14" s="8" customFormat="1" ht="15.75" x14ac:dyDescent="0.25">
      <c r="A210" s="15" t="s">
        <v>437</v>
      </c>
      <c r="B210" s="16">
        <v>44193</v>
      </c>
      <c r="C210" s="26" t="s">
        <v>790</v>
      </c>
      <c r="D210" s="38">
        <v>11</v>
      </c>
      <c r="E210" s="13">
        <v>79.8</v>
      </c>
      <c r="F210" s="50">
        <f t="shared" si="11"/>
        <v>877.8</v>
      </c>
      <c r="G210" s="71"/>
      <c r="H210" s="71"/>
      <c r="I210" s="72"/>
      <c r="J210" s="71"/>
      <c r="K210" s="71"/>
      <c r="L210" s="71">
        <f t="shared" si="10"/>
        <v>11</v>
      </c>
      <c r="N210" s="8" t="s">
        <v>946</v>
      </c>
    </row>
    <row r="211" spans="1:14" s="8" customFormat="1" ht="15.75" x14ac:dyDescent="0.25">
      <c r="A211" s="15" t="s">
        <v>438</v>
      </c>
      <c r="B211" s="16">
        <v>44193</v>
      </c>
      <c r="C211" s="26" t="s">
        <v>693</v>
      </c>
      <c r="D211" s="38">
        <v>1</v>
      </c>
      <c r="E211" s="13">
        <v>2075</v>
      </c>
      <c r="F211" s="50">
        <f t="shared" si="11"/>
        <v>2075</v>
      </c>
      <c r="G211" s="71"/>
      <c r="H211" s="71"/>
      <c r="I211" s="72"/>
      <c r="J211" s="71"/>
      <c r="K211" s="71"/>
      <c r="L211" s="71">
        <f t="shared" si="10"/>
        <v>1</v>
      </c>
      <c r="N211" s="8" t="s">
        <v>946</v>
      </c>
    </row>
    <row r="212" spans="1:14" s="8" customFormat="1" ht="15.75" x14ac:dyDescent="0.25">
      <c r="A212" s="15" t="s">
        <v>439</v>
      </c>
      <c r="B212" s="16">
        <v>44193</v>
      </c>
      <c r="C212" s="26" t="s">
        <v>692</v>
      </c>
      <c r="D212" s="57">
        <v>18</v>
      </c>
      <c r="E212" s="13">
        <v>165</v>
      </c>
      <c r="F212" s="50">
        <f t="shared" si="11"/>
        <v>2970</v>
      </c>
      <c r="G212" s="71"/>
      <c r="H212" s="71"/>
      <c r="I212" s="72"/>
      <c r="J212" s="71"/>
      <c r="K212" s="71"/>
      <c r="L212" s="71">
        <f t="shared" si="10"/>
        <v>18</v>
      </c>
      <c r="N212" s="8" t="s">
        <v>946</v>
      </c>
    </row>
    <row r="213" spans="1:14" s="8" customFormat="1" ht="15.75" x14ac:dyDescent="0.25">
      <c r="A213" s="15" t="s">
        <v>440</v>
      </c>
      <c r="B213" s="16">
        <v>44193</v>
      </c>
      <c r="C213" s="26" t="s">
        <v>697</v>
      </c>
      <c r="D213" s="38">
        <v>20</v>
      </c>
      <c r="E213" s="13">
        <v>79.8</v>
      </c>
      <c r="F213" s="50">
        <f t="shared" si="11"/>
        <v>1596</v>
      </c>
      <c r="G213" s="71"/>
      <c r="H213" s="71"/>
      <c r="I213" s="72"/>
      <c r="J213" s="71"/>
      <c r="K213" s="71"/>
      <c r="L213" s="71">
        <f t="shared" si="10"/>
        <v>20</v>
      </c>
      <c r="N213" s="8" t="s">
        <v>946</v>
      </c>
    </row>
    <row r="214" spans="1:14" s="8" customFormat="1" ht="15.75" x14ac:dyDescent="0.25">
      <c r="A214" s="15" t="s">
        <v>441</v>
      </c>
      <c r="B214" s="16">
        <v>44193</v>
      </c>
      <c r="C214" s="26" t="s">
        <v>696</v>
      </c>
      <c r="D214" s="38">
        <v>9</v>
      </c>
      <c r="E214" s="13">
        <v>79.8</v>
      </c>
      <c r="F214" s="50">
        <f t="shared" si="11"/>
        <v>718.19999999999993</v>
      </c>
      <c r="G214" s="71"/>
      <c r="H214" s="71"/>
      <c r="I214" s="72"/>
      <c r="J214" s="71"/>
      <c r="K214" s="71"/>
      <c r="L214" s="71">
        <f t="shared" si="10"/>
        <v>9</v>
      </c>
      <c r="N214" s="8" t="s">
        <v>946</v>
      </c>
    </row>
    <row r="215" spans="1:14" s="8" customFormat="1" ht="15.75" x14ac:dyDescent="0.25">
      <c r="A215" s="15" t="s">
        <v>442</v>
      </c>
      <c r="B215" s="16"/>
      <c r="C215" s="26" t="s">
        <v>808</v>
      </c>
      <c r="D215" s="38">
        <v>9</v>
      </c>
      <c r="E215" s="13">
        <v>352</v>
      </c>
      <c r="F215" s="50">
        <f t="shared" si="11"/>
        <v>3168</v>
      </c>
      <c r="G215" s="71"/>
      <c r="H215" s="71"/>
      <c r="I215" s="72"/>
      <c r="J215" s="71"/>
      <c r="K215" s="71"/>
      <c r="L215" s="71">
        <f t="shared" si="10"/>
        <v>9</v>
      </c>
      <c r="N215" s="8" t="s">
        <v>946</v>
      </c>
    </row>
    <row r="216" spans="1:14" s="8" customFormat="1" ht="15.75" x14ac:dyDescent="0.25">
      <c r="A216" s="15" t="s">
        <v>443</v>
      </c>
      <c r="B216" s="16">
        <v>44456</v>
      </c>
      <c r="C216" s="26" t="s">
        <v>698</v>
      </c>
      <c r="D216" s="38">
        <v>3</v>
      </c>
      <c r="E216" s="13">
        <v>600</v>
      </c>
      <c r="F216" s="50">
        <f t="shared" si="11"/>
        <v>1800</v>
      </c>
      <c r="G216" s="71"/>
      <c r="H216" s="71"/>
      <c r="I216" s="72"/>
      <c r="J216" s="71"/>
      <c r="K216" s="71"/>
      <c r="L216" s="71">
        <f t="shared" si="10"/>
        <v>3</v>
      </c>
      <c r="N216" s="8" t="s">
        <v>945</v>
      </c>
    </row>
    <row r="217" spans="1:14" s="8" customFormat="1" ht="15.75" x14ac:dyDescent="0.25">
      <c r="A217" s="15" t="s">
        <v>444</v>
      </c>
      <c r="B217" s="16">
        <v>44193</v>
      </c>
      <c r="C217" s="26" t="s">
        <v>699</v>
      </c>
      <c r="D217" s="38">
        <v>15</v>
      </c>
      <c r="E217" s="13">
        <v>140</v>
      </c>
      <c r="F217" s="50">
        <f t="shared" si="11"/>
        <v>2100</v>
      </c>
      <c r="G217" s="71"/>
      <c r="H217" s="71"/>
      <c r="I217" s="72"/>
      <c r="J217" s="71"/>
      <c r="K217" s="71"/>
      <c r="L217" s="71">
        <f t="shared" si="10"/>
        <v>15</v>
      </c>
      <c r="N217" s="8" t="s">
        <v>945</v>
      </c>
    </row>
    <row r="218" spans="1:14" s="8" customFormat="1" ht="15.75" x14ac:dyDescent="0.25">
      <c r="A218" s="15" t="s">
        <v>445</v>
      </c>
      <c r="B218" s="16">
        <v>44193</v>
      </c>
      <c r="C218" s="9" t="s">
        <v>706</v>
      </c>
      <c r="D218" s="48">
        <v>1</v>
      </c>
      <c r="E218" s="13">
        <v>5250</v>
      </c>
      <c r="F218" s="50">
        <f t="shared" si="11"/>
        <v>5250</v>
      </c>
      <c r="G218" s="71"/>
      <c r="H218" s="71"/>
      <c r="I218" s="72"/>
      <c r="J218" s="71"/>
      <c r="K218" s="71"/>
      <c r="L218" s="71">
        <f t="shared" si="10"/>
        <v>1</v>
      </c>
      <c r="N218" s="8" t="s">
        <v>947</v>
      </c>
    </row>
    <row r="219" spans="1:14" s="8" customFormat="1" ht="15.75" x14ac:dyDescent="0.25">
      <c r="A219" s="15" t="s">
        <v>446</v>
      </c>
      <c r="B219" s="16">
        <v>44193</v>
      </c>
      <c r="C219" s="9" t="s">
        <v>700</v>
      </c>
      <c r="D219" s="48">
        <f>9+12+12+24</f>
        <v>57</v>
      </c>
      <c r="E219" s="13">
        <v>12.93</v>
      </c>
      <c r="F219" s="50">
        <f t="shared" si="11"/>
        <v>737.01</v>
      </c>
      <c r="G219" s="71"/>
      <c r="H219" s="71"/>
      <c r="I219" s="72"/>
      <c r="J219" s="71"/>
      <c r="K219" s="71"/>
      <c r="L219" s="71">
        <f t="shared" si="10"/>
        <v>57</v>
      </c>
    </row>
    <row r="220" spans="1:14" s="8" customFormat="1" ht="15.75" x14ac:dyDescent="0.25">
      <c r="A220" s="15" t="s">
        <v>447</v>
      </c>
      <c r="B220" s="16">
        <v>44193</v>
      </c>
      <c r="C220" s="9" t="s">
        <v>701</v>
      </c>
      <c r="D220" s="48">
        <f>16+12+12</f>
        <v>40</v>
      </c>
      <c r="E220" s="13">
        <v>14.37</v>
      </c>
      <c r="F220" s="50">
        <f t="shared" si="11"/>
        <v>574.79999999999995</v>
      </c>
      <c r="G220" s="71"/>
      <c r="H220" s="71"/>
      <c r="I220" s="72"/>
      <c r="J220" s="71"/>
      <c r="K220" s="71"/>
      <c r="L220" s="71">
        <f t="shared" si="10"/>
        <v>40</v>
      </c>
    </row>
    <row r="221" spans="1:14" s="8" customFormat="1" ht="15.75" x14ac:dyDescent="0.25">
      <c r="A221" s="15" t="s">
        <v>448</v>
      </c>
      <c r="B221" s="16">
        <v>44193</v>
      </c>
      <c r="C221" s="9" t="s">
        <v>702</v>
      </c>
      <c r="D221" s="48">
        <v>6</v>
      </c>
      <c r="E221" s="13">
        <v>35</v>
      </c>
      <c r="F221" s="50">
        <f t="shared" si="11"/>
        <v>210</v>
      </c>
      <c r="G221" s="71"/>
      <c r="H221" s="71"/>
      <c r="I221" s="72"/>
      <c r="J221" s="71"/>
      <c r="K221" s="71"/>
      <c r="L221" s="71">
        <f t="shared" si="10"/>
        <v>6</v>
      </c>
    </row>
    <row r="222" spans="1:14" s="8" customFormat="1" ht="15.75" x14ac:dyDescent="0.25">
      <c r="A222" s="15" t="s">
        <v>449</v>
      </c>
      <c r="B222" s="16">
        <v>44193</v>
      </c>
      <c r="C222" s="9" t="s">
        <v>703</v>
      </c>
      <c r="D222" s="48"/>
      <c r="E222" s="13">
        <v>30</v>
      </c>
      <c r="F222" s="50">
        <f t="shared" si="11"/>
        <v>0</v>
      </c>
      <c r="G222" s="71"/>
      <c r="H222" s="71"/>
      <c r="I222" s="72"/>
      <c r="J222" s="71"/>
      <c r="K222" s="71"/>
      <c r="L222" s="71">
        <f t="shared" si="10"/>
        <v>0</v>
      </c>
    </row>
    <row r="223" spans="1:14" s="8" customFormat="1" ht="15.75" x14ac:dyDescent="0.25">
      <c r="A223" s="15" t="s">
        <v>450</v>
      </c>
      <c r="B223" s="16">
        <v>44193</v>
      </c>
      <c r="C223" s="9" t="s">
        <v>704</v>
      </c>
      <c r="D223" s="48">
        <v>1300</v>
      </c>
      <c r="E223" s="13">
        <v>2.6</v>
      </c>
      <c r="F223" s="50">
        <f t="shared" si="11"/>
        <v>3380</v>
      </c>
      <c r="G223" s="71"/>
      <c r="H223" s="71"/>
      <c r="I223" s="72"/>
      <c r="J223" s="71"/>
      <c r="K223" s="71"/>
      <c r="L223" s="71">
        <f t="shared" si="10"/>
        <v>1300</v>
      </c>
    </row>
    <row r="224" spans="1:14" s="8" customFormat="1" ht="15.75" x14ac:dyDescent="0.25">
      <c r="A224" s="15" t="s">
        <v>451</v>
      </c>
      <c r="B224" s="16">
        <v>44193</v>
      </c>
      <c r="C224" s="9" t="s">
        <v>705</v>
      </c>
      <c r="D224" s="48">
        <v>1</v>
      </c>
      <c r="E224" s="13">
        <v>728.81</v>
      </c>
      <c r="F224" s="50">
        <f t="shared" si="11"/>
        <v>728.81</v>
      </c>
      <c r="G224" s="71"/>
      <c r="H224" s="71"/>
      <c r="I224" s="72"/>
      <c r="J224" s="71"/>
      <c r="K224" s="71"/>
      <c r="L224" s="71">
        <f t="shared" si="10"/>
        <v>1</v>
      </c>
    </row>
    <row r="225" spans="1:12" s="8" customFormat="1" ht="15.75" x14ac:dyDescent="0.25">
      <c r="A225" s="15" t="s">
        <v>452</v>
      </c>
      <c r="B225" s="16">
        <v>44193</v>
      </c>
      <c r="C225" s="9" t="s">
        <v>709</v>
      </c>
      <c r="D225" s="58">
        <v>2</v>
      </c>
      <c r="E225" s="13">
        <v>350</v>
      </c>
      <c r="F225" s="50">
        <f t="shared" si="11"/>
        <v>700</v>
      </c>
      <c r="G225" s="71"/>
      <c r="H225" s="71"/>
      <c r="I225" s="72"/>
      <c r="J225" s="71"/>
      <c r="K225" s="71"/>
      <c r="L225" s="71">
        <f t="shared" si="10"/>
        <v>2</v>
      </c>
    </row>
    <row r="226" spans="1:12" s="8" customFormat="1" ht="15.75" x14ac:dyDescent="0.25">
      <c r="A226" s="15" t="s">
        <v>453</v>
      </c>
      <c r="B226" s="16">
        <v>44193</v>
      </c>
      <c r="C226" s="9" t="s">
        <v>707</v>
      </c>
      <c r="D226" s="48">
        <v>5</v>
      </c>
      <c r="E226" s="13">
        <v>595</v>
      </c>
      <c r="F226" s="50">
        <f t="shared" si="11"/>
        <v>2975</v>
      </c>
      <c r="G226" s="71"/>
      <c r="H226" s="71"/>
      <c r="I226" s="72"/>
      <c r="J226" s="71"/>
      <c r="K226" s="71"/>
      <c r="L226" s="71">
        <f t="shared" si="10"/>
        <v>5</v>
      </c>
    </row>
    <row r="227" spans="1:12" s="8" customFormat="1" ht="15.75" x14ac:dyDescent="0.25">
      <c r="A227" s="15" t="s">
        <v>454</v>
      </c>
      <c r="B227" s="16">
        <v>44193</v>
      </c>
      <c r="C227" s="9" t="s">
        <v>868</v>
      </c>
      <c r="D227" s="48">
        <v>2</v>
      </c>
      <c r="E227" s="13">
        <v>300</v>
      </c>
      <c r="F227" s="50">
        <f t="shared" si="11"/>
        <v>600</v>
      </c>
      <c r="G227" s="71"/>
      <c r="H227" s="71"/>
      <c r="I227" s="72"/>
      <c r="J227" s="71"/>
      <c r="K227" s="71"/>
      <c r="L227" s="71">
        <f t="shared" si="10"/>
        <v>2</v>
      </c>
    </row>
    <row r="228" spans="1:12" s="8" customFormat="1" ht="15.75" x14ac:dyDescent="0.25">
      <c r="A228" s="15" t="s">
        <v>455</v>
      </c>
      <c r="B228" s="16">
        <v>44193</v>
      </c>
      <c r="C228" s="26" t="s">
        <v>710</v>
      </c>
      <c r="D228" s="32">
        <v>0</v>
      </c>
      <c r="E228" s="13">
        <v>3950</v>
      </c>
      <c r="F228" s="50">
        <f t="shared" si="11"/>
        <v>0</v>
      </c>
      <c r="G228" s="71"/>
      <c r="H228" s="71"/>
      <c r="I228" s="72"/>
      <c r="J228" s="71"/>
      <c r="K228" s="71"/>
      <c r="L228" s="71">
        <f t="shared" si="10"/>
        <v>0</v>
      </c>
    </row>
    <row r="229" spans="1:12" s="8" customFormat="1" ht="15.75" x14ac:dyDescent="0.25">
      <c r="A229" s="15" t="s">
        <v>456</v>
      </c>
      <c r="B229" s="23" t="s">
        <v>108</v>
      </c>
      <c r="C229" s="26" t="s">
        <v>714</v>
      </c>
      <c r="D229" s="55">
        <v>6</v>
      </c>
      <c r="E229" s="51">
        <v>11000</v>
      </c>
      <c r="F229" s="50">
        <f t="shared" si="11"/>
        <v>66000</v>
      </c>
      <c r="G229" s="71"/>
      <c r="H229" s="71"/>
      <c r="I229" s="72"/>
      <c r="J229" s="71"/>
      <c r="K229" s="71"/>
      <c r="L229" s="71">
        <f t="shared" si="10"/>
        <v>6</v>
      </c>
    </row>
    <row r="230" spans="1:12" s="8" customFormat="1" ht="15.75" x14ac:dyDescent="0.25">
      <c r="A230" s="15" t="s">
        <v>457</v>
      </c>
      <c r="B230" s="16">
        <v>44652</v>
      </c>
      <c r="C230" s="26" t="s">
        <v>856</v>
      </c>
      <c r="D230" s="38">
        <v>5</v>
      </c>
      <c r="E230" s="59">
        <v>1700</v>
      </c>
      <c r="F230" s="50">
        <f t="shared" si="11"/>
        <v>8500</v>
      </c>
      <c r="G230" s="71"/>
      <c r="H230" s="71"/>
      <c r="I230" s="72"/>
      <c r="J230" s="71"/>
      <c r="K230" s="71"/>
      <c r="L230" s="71">
        <f t="shared" si="10"/>
        <v>5</v>
      </c>
    </row>
    <row r="231" spans="1:12" s="8" customFormat="1" ht="15.75" x14ac:dyDescent="0.25">
      <c r="A231" s="15" t="s">
        <v>458</v>
      </c>
      <c r="B231" s="16">
        <v>44193</v>
      </c>
      <c r="C231" s="26" t="s">
        <v>712</v>
      </c>
      <c r="D231" s="32">
        <v>0</v>
      </c>
      <c r="E231" s="13">
        <v>148.31</v>
      </c>
      <c r="F231" s="50">
        <f t="shared" si="11"/>
        <v>0</v>
      </c>
      <c r="G231" s="71"/>
      <c r="H231" s="71"/>
      <c r="I231" s="72"/>
      <c r="J231" s="71"/>
      <c r="K231" s="71"/>
      <c r="L231" s="71">
        <f t="shared" si="10"/>
        <v>0</v>
      </c>
    </row>
    <row r="232" spans="1:12" s="8" customFormat="1" ht="15.75" x14ac:dyDescent="0.25">
      <c r="A232" s="15" t="s">
        <v>459</v>
      </c>
      <c r="B232" s="16">
        <v>44193</v>
      </c>
      <c r="C232" s="26" t="s">
        <v>713</v>
      </c>
      <c r="D232" s="32">
        <v>0</v>
      </c>
      <c r="E232" s="13">
        <v>122.88</v>
      </c>
      <c r="F232" s="50">
        <f t="shared" si="11"/>
        <v>0</v>
      </c>
      <c r="G232" s="71"/>
      <c r="H232" s="71"/>
      <c r="I232" s="72"/>
      <c r="J232" s="71"/>
      <c r="K232" s="71"/>
      <c r="L232" s="71">
        <f t="shared" si="10"/>
        <v>0</v>
      </c>
    </row>
    <row r="233" spans="1:12" s="8" customFormat="1" ht="15.75" x14ac:dyDescent="0.25">
      <c r="A233" s="15" t="s">
        <v>460</v>
      </c>
      <c r="B233" s="16">
        <v>44193</v>
      </c>
      <c r="C233" s="26" t="s">
        <v>847</v>
      </c>
      <c r="D233" s="32">
        <v>0</v>
      </c>
      <c r="E233" s="13">
        <v>0</v>
      </c>
      <c r="F233" s="50">
        <f t="shared" si="11"/>
        <v>0</v>
      </c>
      <c r="G233" s="71"/>
      <c r="H233" s="71"/>
      <c r="I233" s="72"/>
      <c r="J233" s="71"/>
      <c r="K233" s="71"/>
      <c r="L233" s="71">
        <f t="shared" si="10"/>
        <v>0</v>
      </c>
    </row>
    <row r="234" spans="1:12" s="8" customFormat="1" ht="15.75" x14ac:dyDescent="0.25">
      <c r="A234" s="15" t="s">
        <v>461</v>
      </c>
      <c r="B234" s="16">
        <v>44193</v>
      </c>
      <c r="C234" s="26" t="s">
        <v>711</v>
      </c>
      <c r="D234" s="32">
        <v>0</v>
      </c>
      <c r="E234" s="13">
        <v>237.29</v>
      </c>
      <c r="F234" s="50">
        <f t="shared" si="11"/>
        <v>0</v>
      </c>
      <c r="G234" s="71"/>
      <c r="H234" s="71"/>
      <c r="I234" s="72"/>
      <c r="J234" s="71"/>
      <c r="K234" s="71">
        <v>1</v>
      </c>
      <c r="L234" s="71">
        <f t="shared" si="10"/>
        <v>-1</v>
      </c>
    </row>
    <row r="235" spans="1:12" s="8" customFormat="1" ht="15.75" x14ac:dyDescent="0.25">
      <c r="A235" s="15" t="s">
        <v>462</v>
      </c>
      <c r="B235" s="16">
        <v>44193</v>
      </c>
      <c r="C235" s="25" t="s">
        <v>716</v>
      </c>
      <c r="D235" s="32">
        <v>0</v>
      </c>
      <c r="E235" s="51">
        <v>82</v>
      </c>
      <c r="F235" s="50">
        <f t="shared" si="11"/>
        <v>0</v>
      </c>
      <c r="G235" s="71"/>
      <c r="H235" s="71"/>
      <c r="I235" s="72"/>
      <c r="J235" s="71"/>
      <c r="K235" s="71"/>
      <c r="L235" s="71">
        <f t="shared" si="10"/>
        <v>0</v>
      </c>
    </row>
    <row r="236" spans="1:12" s="8" customFormat="1" ht="15.75" x14ac:dyDescent="0.25">
      <c r="A236" s="15" t="s">
        <v>463</v>
      </c>
      <c r="B236" s="16">
        <v>44193</v>
      </c>
      <c r="C236" s="25" t="s">
        <v>717</v>
      </c>
      <c r="D236" s="32">
        <v>0</v>
      </c>
      <c r="E236" s="51">
        <v>14.29</v>
      </c>
      <c r="F236" s="50">
        <f t="shared" si="11"/>
        <v>0</v>
      </c>
      <c r="G236" s="71"/>
      <c r="H236" s="71"/>
      <c r="I236" s="72"/>
      <c r="J236" s="71"/>
      <c r="K236" s="71"/>
      <c r="L236" s="71">
        <f t="shared" si="10"/>
        <v>0</v>
      </c>
    </row>
    <row r="237" spans="1:12" s="8" customFormat="1" ht="15.75" x14ac:dyDescent="0.25">
      <c r="A237" s="15" t="s">
        <v>464</v>
      </c>
      <c r="B237" s="23" t="s">
        <v>770</v>
      </c>
      <c r="C237" s="25" t="s">
        <v>715</v>
      </c>
      <c r="D237" s="32">
        <v>6</v>
      </c>
      <c r="E237" s="51">
        <v>82</v>
      </c>
      <c r="F237" s="50">
        <f t="shared" si="11"/>
        <v>492</v>
      </c>
      <c r="G237" s="71"/>
      <c r="H237" s="71"/>
      <c r="I237" s="72"/>
      <c r="J237" s="71"/>
      <c r="K237" s="71"/>
      <c r="L237" s="71">
        <f t="shared" si="10"/>
        <v>6</v>
      </c>
    </row>
    <row r="238" spans="1:12" s="8" customFormat="1" ht="15.75" x14ac:dyDescent="0.25">
      <c r="A238" s="15" t="s">
        <v>465</v>
      </c>
      <c r="B238" s="23" t="s">
        <v>108</v>
      </c>
      <c r="C238" s="25" t="s">
        <v>718</v>
      </c>
      <c r="D238" s="32">
        <v>0</v>
      </c>
      <c r="E238" s="51">
        <v>6375</v>
      </c>
      <c r="F238" s="50">
        <f t="shared" si="11"/>
        <v>0</v>
      </c>
      <c r="G238" s="71"/>
      <c r="H238" s="71"/>
      <c r="I238" s="72"/>
      <c r="J238" s="71"/>
      <c r="K238" s="71"/>
      <c r="L238" s="71">
        <f t="shared" si="10"/>
        <v>0</v>
      </c>
    </row>
    <row r="239" spans="1:12" s="8" customFormat="1" ht="15.75" x14ac:dyDescent="0.25">
      <c r="A239" s="15" t="s">
        <v>466</v>
      </c>
      <c r="B239" s="16">
        <v>44193</v>
      </c>
      <c r="C239" s="9" t="s">
        <v>781</v>
      </c>
      <c r="D239" s="48">
        <v>2</v>
      </c>
      <c r="E239" s="13">
        <v>725</v>
      </c>
      <c r="F239" s="50">
        <f t="shared" si="11"/>
        <v>1450</v>
      </c>
      <c r="G239" s="71"/>
      <c r="H239" s="71"/>
      <c r="I239" s="72"/>
      <c r="J239" s="71"/>
      <c r="K239" s="71"/>
      <c r="L239" s="71">
        <f t="shared" si="10"/>
        <v>2</v>
      </c>
    </row>
    <row r="240" spans="1:12" s="8" customFormat="1" ht="15.75" x14ac:dyDescent="0.25">
      <c r="A240" s="15" t="s">
        <v>467</v>
      </c>
      <c r="B240" s="16">
        <v>44193</v>
      </c>
      <c r="C240" s="9" t="s">
        <v>721</v>
      </c>
      <c r="D240" s="30">
        <v>40</v>
      </c>
      <c r="E240" s="13">
        <v>230</v>
      </c>
      <c r="F240" s="50">
        <f t="shared" si="11"/>
        <v>9200</v>
      </c>
      <c r="G240" s="71"/>
      <c r="H240" s="71"/>
      <c r="I240" s="72"/>
      <c r="J240" s="71"/>
      <c r="K240" s="71">
        <v>6</v>
      </c>
      <c r="L240" s="71">
        <f t="shared" si="10"/>
        <v>34</v>
      </c>
    </row>
    <row r="241" spans="1:13" s="8" customFormat="1" ht="15.75" x14ac:dyDescent="0.25">
      <c r="A241" s="15" t="s">
        <v>468</v>
      </c>
      <c r="B241" s="16">
        <v>44193</v>
      </c>
      <c r="C241" s="9" t="s">
        <v>722</v>
      </c>
      <c r="D241" s="48">
        <v>100</v>
      </c>
      <c r="E241" s="13">
        <v>2.25</v>
      </c>
      <c r="F241" s="50">
        <f t="shared" si="11"/>
        <v>225</v>
      </c>
      <c r="G241" s="71"/>
      <c r="H241" s="71"/>
      <c r="I241" s="72"/>
      <c r="J241" s="71"/>
      <c r="K241" s="71">
        <v>5</v>
      </c>
      <c r="L241" s="71">
        <f t="shared" si="10"/>
        <v>95</v>
      </c>
    </row>
    <row r="242" spans="1:13" s="8" customFormat="1" ht="15.75" x14ac:dyDescent="0.25">
      <c r="A242" s="15" t="s">
        <v>469</v>
      </c>
      <c r="B242" s="16">
        <v>44193</v>
      </c>
      <c r="C242" s="9" t="s">
        <v>724</v>
      </c>
      <c r="D242" s="48">
        <v>7</v>
      </c>
      <c r="E242" s="13">
        <v>250</v>
      </c>
      <c r="F242" s="50">
        <f t="shared" si="11"/>
        <v>1750</v>
      </c>
      <c r="G242" s="71"/>
      <c r="H242" s="71"/>
      <c r="I242" s="72"/>
      <c r="J242" s="71"/>
      <c r="K242" s="71"/>
      <c r="L242" s="71">
        <f t="shared" si="10"/>
        <v>7</v>
      </c>
    </row>
    <row r="243" spans="1:13" s="8" customFormat="1" ht="15.75" x14ac:dyDescent="0.25">
      <c r="A243" s="15" t="s">
        <v>470</v>
      </c>
      <c r="B243" s="16">
        <v>44193</v>
      </c>
      <c r="C243" s="9" t="s">
        <v>725</v>
      </c>
      <c r="D243" s="48">
        <v>61</v>
      </c>
      <c r="E243" s="13">
        <v>30</v>
      </c>
      <c r="F243" s="50">
        <f t="shared" si="11"/>
        <v>1830</v>
      </c>
      <c r="G243" s="71"/>
      <c r="H243" s="71"/>
      <c r="I243" s="72"/>
      <c r="J243" s="71"/>
      <c r="K243" s="71">
        <v>15</v>
      </c>
      <c r="L243" s="71">
        <f t="shared" si="10"/>
        <v>46</v>
      </c>
    </row>
    <row r="244" spans="1:13" s="8" customFormat="1" ht="15.75" x14ac:dyDescent="0.25">
      <c r="A244" s="15" t="s">
        <v>471</v>
      </c>
      <c r="B244" s="16">
        <v>44193</v>
      </c>
      <c r="C244" s="9" t="s">
        <v>726</v>
      </c>
      <c r="D244" s="58">
        <v>7</v>
      </c>
      <c r="E244" s="13">
        <v>120</v>
      </c>
      <c r="F244" s="50">
        <f t="shared" si="11"/>
        <v>840</v>
      </c>
      <c r="G244" s="71"/>
      <c r="H244" s="71"/>
      <c r="I244" s="72"/>
      <c r="J244" s="71"/>
      <c r="K244" s="71"/>
      <c r="L244" s="71">
        <f t="shared" si="10"/>
        <v>7</v>
      </c>
    </row>
    <row r="245" spans="1:13" s="8" customFormat="1" ht="15.75" x14ac:dyDescent="0.25">
      <c r="A245" s="15" t="s">
        <v>472</v>
      </c>
      <c r="B245" s="16">
        <v>44652</v>
      </c>
      <c r="C245" s="9" t="s">
        <v>727</v>
      </c>
      <c r="D245" s="14">
        <v>190</v>
      </c>
      <c r="E245" s="13">
        <v>560</v>
      </c>
      <c r="F245" s="50">
        <f t="shared" si="11"/>
        <v>106400</v>
      </c>
      <c r="G245" s="73">
        <v>44778</v>
      </c>
      <c r="H245" s="71">
        <f>70*6</f>
        <v>420</v>
      </c>
      <c r="I245" s="72">
        <f>65254/H245</f>
        <v>155.36666666666667</v>
      </c>
      <c r="J245" s="72">
        <f>+I245*H245</f>
        <v>65254</v>
      </c>
      <c r="K245" s="71">
        <f>4+4+4+2</f>
        <v>14</v>
      </c>
      <c r="L245" s="71">
        <f>+D245+H245-K245</f>
        <v>596</v>
      </c>
      <c r="M245" s="8" t="s">
        <v>943</v>
      </c>
    </row>
    <row r="246" spans="1:13" s="8" customFormat="1" ht="15.75" x14ac:dyDescent="0.25">
      <c r="A246" s="15" t="s">
        <v>473</v>
      </c>
      <c r="B246" s="23" t="s">
        <v>112</v>
      </c>
      <c r="C246" s="26" t="s">
        <v>752</v>
      </c>
      <c r="D246" s="38">
        <v>3</v>
      </c>
      <c r="E246" s="13">
        <v>135</v>
      </c>
      <c r="F246" s="50">
        <f t="shared" si="11"/>
        <v>405</v>
      </c>
      <c r="G246" s="71"/>
      <c r="H246" s="71"/>
      <c r="I246" s="72"/>
      <c r="J246" s="71"/>
      <c r="K246" s="71"/>
      <c r="L246" s="71">
        <f t="shared" si="10"/>
        <v>3</v>
      </c>
    </row>
    <row r="247" spans="1:13" s="8" customFormat="1" ht="15.75" x14ac:dyDescent="0.25">
      <c r="A247" s="15" t="s">
        <v>507</v>
      </c>
      <c r="B247" s="16">
        <v>44193</v>
      </c>
      <c r="C247" s="9" t="s">
        <v>728</v>
      </c>
      <c r="D247" s="30">
        <v>0</v>
      </c>
      <c r="E247" s="13">
        <v>62.5</v>
      </c>
      <c r="F247" s="50">
        <f t="shared" si="11"/>
        <v>0</v>
      </c>
      <c r="G247" s="71"/>
      <c r="H247" s="71"/>
      <c r="I247" s="72"/>
      <c r="J247" s="71"/>
      <c r="K247" s="71">
        <v>1</v>
      </c>
      <c r="L247" s="71">
        <f t="shared" si="10"/>
        <v>-1</v>
      </c>
    </row>
    <row r="248" spans="1:13" s="8" customFormat="1" ht="15.75" x14ac:dyDescent="0.25">
      <c r="A248" s="15" t="s">
        <v>508</v>
      </c>
      <c r="B248" s="16">
        <v>44193</v>
      </c>
      <c r="C248" s="9" t="s">
        <v>729</v>
      </c>
      <c r="D248" s="30">
        <v>226</v>
      </c>
      <c r="E248" s="13">
        <v>22.2</v>
      </c>
      <c r="F248" s="50">
        <f t="shared" si="11"/>
        <v>5017.2</v>
      </c>
      <c r="G248" s="71"/>
      <c r="H248" s="71"/>
      <c r="I248" s="72"/>
      <c r="J248" s="71"/>
      <c r="K248" s="71"/>
      <c r="L248" s="71">
        <f t="shared" si="10"/>
        <v>226</v>
      </c>
    </row>
    <row r="249" spans="1:13" s="8" customFormat="1" ht="15.75" x14ac:dyDescent="0.25">
      <c r="A249" s="15" t="s">
        <v>509</v>
      </c>
      <c r="B249" s="16">
        <v>44193</v>
      </c>
      <c r="C249" s="9" t="s">
        <v>730</v>
      </c>
      <c r="D249" s="30">
        <v>2</v>
      </c>
      <c r="E249" s="13">
        <v>375</v>
      </c>
      <c r="F249" s="50">
        <f t="shared" si="11"/>
        <v>750</v>
      </c>
      <c r="G249" s="71"/>
      <c r="H249" s="71"/>
      <c r="I249" s="72"/>
      <c r="J249" s="71"/>
      <c r="K249" s="71"/>
      <c r="L249" s="71">
        <f t="shared" si="10"/>
        <v>2</v>
      </c>
    </row>
    <row r="250" spans="1:13" s="8" customFormat="1" ht="15.75" x14ac:dyDescent="0.25">
      <c r="A250" s="15" t="s">
        <v>869</v>
      </c>
      <c r="B250" s="16">
        <v>44193</v>
      </c>
      <c r="C250" s="25" t="s">
        <v>825</v>
      </c>
      <c r="D250" s="38">
        <v>11</v>
      </c>
      <c r="E250" s="13">
        <v>301</v>
      </c>
      <c r="F250" s="50">
        <f t="shared" si="11"/>
        <v>3311</v>
      </c>
      <c r="G250" s="71"/>
      <c r="H250" s="71"/>
      <c r="I250" s="72"/>
      <c r="J250" s="71"/>
      <c r="K250" s="71"/>
      <c r="L250" s="71">
        <f t="shared" si="10"/>
        <v>11</v>
      </c>
    </row>
    <row r="251" spans="1:13" s="8" customFormat="1" ht="15.75" x14ac:dyDescent="0.25">
      <c r="A251" s="15" t="s">
        <v>512</v>
      </c>
      <c r="B251" s="23" t="s">
        <v>106</v>
      </c>
      <c r="C251" s="25" t="s">
        <v>731</v>
      </c>
      <c r="D251" s="30">
        <v>0</v>
      </c>
      <c r="E251" s="51">
        <v>171.6</v>
      </c>
      <c r="F251" s="50">
        <f t="shared" si="11"/>
        <v>0</v>
      </c>
      <c r="G251" s="71"/>
      <c r="H251" s="71"/>
      <c r="I251" s="72"/>
      <c r="J251" s="71"/>
      <c r="K251" s="71"/>
      <c r="L251" s="71">
        <f t="shared" si="10"/>
        <v>0</v>
      </c>
    </row>
    <row r="252" spans="1:13" s="8" customFormat="1" ht="15.75" x14ac:dyDescent="0.25">
      <c r="A252" s="15" t="s">
        <v>870</v>
      </c>
      <c r="B252" s="16">
        <v>44193</v>
      </c>
      <c r="C252" s="9" t="s">
        <v>950</v>
      </c>
      <c r="D252" s="30">
        <v>12</v>
      </c>
      <c r="E252" s="13">
        <v>65</v>
      </c>
      <c r="F252" s="50">
        <f t="shared" si="11"/>
        <v>780</v>
      </c>
      <c r="G252" s="71"/>
      <c r="H252" s="71"/>
      <c r="I252" s="72"/>
      <c r="J252" s="71"/>
      <c r="K252" s="71">
        <v>4</v>
      </c>
      <c r="L252" s="71">
        <f t="shared" si="10"/>
        <v>8</v>
      </c>
    </row>
    <row r="253" spans="1:13" s="8" customFormat="1" ht="15.75" x14ac:dyDescent="0.25">
      <c r="A253" s="15" t="s">
        <v>513</v>
      </c>
      <c r="B253" s="16">
        <v>44678</v>
      </c>
      <c r="C253" s="25" t="s">
        <v>853</v>
      </c>
      <c r="D253" s="56">
        <v>16</v>
      </c>
      <c r="E253" s="13">
        <v>3000</v>
      </c>
      <c r="F253" s="50">
        <f t="shared" si="11"/>
        <v>48000</v>
      </c>
      <c r="G253" s="71"/>
      <c r="H253" s="71"/>
      <c r="I253" s="72"/>
      <c r="J253" s="71"/>
      <c r="K253" s="71"/>
      <c r="L253" s="71">
        <f t="shared" si="10"/>
        <v>16</v>
      </c>
    </row>
    <row r="254" spans="1:13" s="8" customFormat="1" ht="15.75" x14ac:dyDescent="0.25">
      <c r="A254" s="15" t="s">
        <v>514</v>
      </c>
      <c r="B254" s="16">
        <v>44193</v>
      </c>
      <c r="C254" s="25" t="s">
        <v>734</v>
      </c>
      <c r="D254" s="38">
        <v>0</v>
      </c>
      <c r="E254" s="13">
        <v>1500</v>
      </c>
      <c r="F254" s="50">
        <f t="shared" si="11"/>
        <v>0</v>
      </c>
      <c r="G254" s="71"/>
      <c r="H254" s="71"/>
      <c r="I254" s="72"/>
      <c r="J254" s="71"/>
      <c r="K254" s="71"/>
      <c r="L254" s="71">
        <f t="shared" si="10"/>
        <v>0</v>
      </c>
    </row>
    <row r="255" spans="1:13" s="8" customFormat="1" ht="15.75" x14ac:dyDescent="0.25">
      <c r="A255" s="15" t="s">
        <v>871</v>
      </c>
      <c r="B255" s="16">
        <v>44678</v>
      </c>
      <c r="C255" s="25" t="s">
        <v>852</v>
      </c>
      <c r="D255" s="57">
        <v>11</v>
      </c>
      <c r="E255" s="13">
        <v>1500</v>
      </c>
      <c r="F255" s="50">
        <f t="shared" si="11"/>
        <v>16500</v>
      </c>
      <c r="G255" s="71"/>
      <c r="H255" s="71"/>
      <c r="I255" s="72"/>
      <c r="J255" s="71"/>
      <c r="K255" s="71"/>
      <c r="L255" s="71">
        <f t="shared" si="10"/>
        <v>11</v>
      </c>
    </row>
    <row r="256" spans="1:13" s="8" customFormat="1" ht="15.75" x14ac:dyDescent="0.25">
      <c r="A256" s="15" t="s">
        <v>872</v>
      </c>
      <c r="B256" s="16">
        <v>44678</v>
      </c>
      <c r="C256" s="25" t="s">
        <v>735</v>
      </c>
      <c r="D256" s="57">
        <v>3</v>
      </c>
      <c r="E256" s="13">
        <v>3800</v>
      </c>
      <c r="F256" s="50">
        <f t="shared" si="11"/>
        <v>11400</v>
      </c>
      <c r="G256" s="71"/>
      <c r="H256" s="71"/>
      <c r="I256" s="72"/>
      <c r="J256" s="71"/>
      <c r="K256" s="71"/>
      <c r="L256" s="71">
        <f t="shared" si="10"/>
        <v>3</v>
      </c>
    </row>
    <row r="257" spans="1:12" s="8" customFormat="1" ht="15.75" x14ac:dyDescent="0.25">
      <c r="A257" s="15" t="s">
        <v>515</v>
      </c>
      <c r="B257" s="16">
        <v>44678</v>
      </c>
      <c r="C257" s="25" t="s">
        <v>737</v>
      </c>
      <c r="D257" s="57">
        <v>2</v>
      </c>
      <c r="E257" s="13">
        <v>1500</v>
      </c>
      <c r="F257" s="50">
        <f t="shared" si="11"/>
        <v>3000</v>
      </c>
      <c r="G257" s="71"/>
      <c r="H257" s="71"/>
      <c r="I257" s="72"/>
      <c r="J257" s="71"/>
      <c r="K257" s="71"/>
      <c r="L257" s="71">
        <f t="shared" si="10"/>
        <v>2</v>
      </c>
    </row>
    <row r="258" spans="1:12" s="8" customFormat="1" ht="15.75" x14ac:dyDescent="0.25">
      <c r="A258" s="15" t="s">
        <v>516</v>
      </c>
      <c r="B258" s="16">
        <v>44678</v>
      </c>
      <c r="C258" s="25" t="s">
        <v>736</v>
      </c>
      <c r="D258" s="57">
        <v>2</v>
      </c>
      <c r="E258" s="13">
        <v>3800</v>
      </c>
      <c r="F258" s="50">
        <f t="shared" si="11"/>
        <v>7600</v>
      </c>
      <c r="G258" s="71"/>
      <c r="H258" s="71"/>
      <c r="I258" s="72"/>
      <c r="J258" s="71"/>
      <c r="K258" s="71"/>
      <c r="L258" s="71">
        <f t="shared" si="10"/>
        <v>2</v>
      </c>
    </row>
    <row r="259" spans="1:12" s="8" customFormat="1" ht="15.75" x14ac:dyDescent="0.25">
      <c r="A259" s="15" t="s">
        <v>517</v>
      </c>
      <c r="B259" s="16">
        <v>44678</v>
      </c>
      <c r="C259" s="25" t="s">
        <v>738</v>
      </c>
      <c r="D259" s="57">
        <v>4</v>
      </c>
      <c r="E259" s="13">
        <v>3800</v>
      </c>
      <c r="F259" s="50">
        <f t="shared" si="11"/>
        <v>15200</v>
      </c>
      <c r="G259" s="71"/>
      <c r="H259" s="71"/>
      <c r="I259" s="72"/>
      <c r="J259" s="71"/>
      <c r="K259" s="71"/>
      <c r="L259" s="71">
        <f t="shared" si="10"/>
        <v>4</v>
      </c>
    </row>
    <row r="260" spans="1:12" s="8" customFormat="1" ht="15.75" x14ac:dyDescent="0.25">
      <c r="A260" s="15" t="s">
        <v>518</v>
      </c>
      <c r="B260" s="16">
        <v>44678</v>
      </c>
      <c r="C260" s="26" t="s">
        <v>751</v>
      </c>
      <c r="D260" s="57">
        <v>16</v>
      </c>
      <c r="E260" s="13">
        <v>3000</v>
      </c>
      <c r="F260" s="50">
        <f t="shared" si="11"/>
        <v>48000</v>
      </c>
      <c r="G260" s="71"/>
      <c r="H260" s="71"/>
      <c r="I260" s="72"/>
      <c r="J260" s="71"/>
      <c r="K260" s="71"/>
      <c r="L260" s="71">
        <f t="shared" si="10"/>
        <v>16</v>
      </c>
    </row>
    <row r="261" spans="1:12" s="8" customFormat="1" ht="15.75" x14ac:dyDescent="0.25">
      <c r="A261" s="15" t="s">
        <v>519</v>
      </c>
      <c r="B261" s="16">
        <v>44678</v>
      </c>
      <c r="C261" s="25" t="s">
        <v>845</v>
      </c>
      <c r="D261" s="38">
        <v>2</v>
      </c>
      <c r="E261" s="13">
        <v>200</v>
      </c>
      <c r="F261" s="50">
        <f t="shared" si="11"/>
        <v>400</v>
      </c>
      <c r="G261" s="71"/>
      <c r="H261" s="71"/>
      <c r="I261" s="72"/>
      <c r="J261" s="71"/>
      <c r="K261" s="71"/>
      <c r="L261" s="71">
        <f t="shared" si="10"/>
        <v>2</v>
      </c>
    </row>
    <row r="262" spans="1:12" s="8" customFormat="1" ht="15.75" x14ac:dyDescent="0.25">
      <c r="A262" s="15" t="s">
        <v>520</v>
      </c>
      <c r="B262" s="16">
        <v>44193</v>
      </c>
      <c r="C262" s="9" t="s">
        <v>740</v>
      </c>
      <c r="D262" s="30">
        <v>3</v>
      </c>
      <c r="E262" s="13">
        <v>75</v>
      </c>
      <c r="F262" s="50">
        <f>D262*E262</f>
        <v>225</v>
      </c>
      <c r="G262" s="71"/>
      <c r="H262" s="71"/>
      <c r="I262" s="72"/>
      <c r="J262" s="71"/>
      <c r="K262" s="71"/>
      <c r="L262" s="71">
        <f t="shared" si="10"/>
        <v>3</v>
      </c>
    </row>
    <row r="263" spans="1:12" s="8" customFormat="1" ht="15.75" x14ac:dyDescent="0.25">
      <c r="A263" s="15" t="s">
        <v>521</v>
      </c>
      <c r="B263" s="16">
        <v>44193</v>
      </c>
      <c r="C263" s="9" t="s">
        <v>739</v>
      </c>
      <c r="D263" s="30">
        <v>300</v>
      </c>
      <c r="E263" s="13">
        <v>29</v>
      </c>
      <c r="F263" s="50">
        <f>D263*E263</f>
        <v>8700</v>
      </c>
      <c r="G263" s="71"/>
      <c r="H263" s="71"/>
      <c r="I263" s="72"/>
      <c r="J263" s="71"/>
      <c r="K263" s="71"/>
      <c r="L263" s="71">
        <f t="shared" si="10"/>
        <v>300</v>
      </c>
    </row>
    <row r="264" spans="1:12" s="8" customFormat="1" ht="15.75" x14ac:dyDescent="0.25">
      <c r="A264" s="15" t="s">
        <v>522</v>
      </c>
      <c r="B264" s="16">
        <v>44193</v>
      </c>
      <c r="C264" s="25" t="s">
        <v>826</v>
      </c>
      <c r="D264" s="38">
        <v>16</v>
      </c>
      <c r="E264" s="13">
        <v>143</v>
      </c>
      <c r="F264" s="50">
        <f>D264*E264</f>
        <v>2288</v>
      </c>
      <c r="G264" s="71"/>
      <c r="H264" s="71"/>
      <c r="I264" s="72"/>
      <c r="J264" s="71"/>
      <c r="K264" s="71"/>
      <c r="L264" s="71">
        <f t="shared" si="10"/>
        <v>16</v>
      </c>
    </row>
    <row r="265" spans="1:12" s="8" customFormat="1" ht="15.75" x14ac:dyDescent="0.25">
      <c r="A265" s="15" t="s">
        <v>523</v>
      </c>
      <c r="B265" s="16">
        <v>44193</v>
      </c>
      <c r="C265" s="9" t="s">
        <v>741</v>
      </c>
      <c r="D265" s="56">
        <v>112</v>
      </c>
      <c r="E265" s="13">
        <v>8.5</v>
      </c>
      <c r="F265" s="50">
        <f t="shared" ref="F265:F272" si="12">D265*E265</f>
        <v>952</v>
      </c>
      <c r="G265" s="71"/>
      <c r="H265" s="71"/>
      <c r="I265" s="72"/>
      <c r="J265" s="71"/>
      <c r="K265" s="71"/>
      <c r="L265" s="71">
        <f t="shared" si="10"/>
        <v>112</v>
      </c>
    </row>
    <row r="266" spans="1:12" s="8" customFormat="1" ht="15.75" x14ac:dyDescent="0.25">
      <c r="A266" s="15" t="s">
        <v>524</v>
      </c>
      <c r="B266" s="16">
        <v>44193</v>
      </c>
      <c r="C266" s="9" t="s">
        <v>742</v>
      </c>
      <c r="D266" s="56">
        <v>24</v>
      </c>
      <c r="E266" s="13">
        <v>12</v>
      </c>
      <c r="F266" s="50">
        <f t="shared" si="12"/>
        <v>288</v>
      </c>
      <c r="G266" s="71"/>
      <c r="H266" s="71"/>
      <c r="I266" s="72"/>
      <c r="J266" s="71"/>
      <c r="K266" s="71"/>
      <c r="L266" s="71">
        <f t="shared" ref="L266:L324" si="13">+D266+H266-K266</f>
        <v>24</v>
      </c>
    </row>
    <row r="267" spans="1:12" s="8" customFormat="1" ht="15.75" x14ac:dyDescent="0.25">
      <c r="A267" s="15" t="s">
        <v>525</v>
      </c>
      <c r="B267" s="16">
        <v>44193</v>
      </c>
      <c r="C267" s="9" t="s">
        <v>743</v>
      </c>
      <c r="D267" s="30">
        <v>34</v>
      </c>
      <c r="E267" s="13">
        <v>8</v>
      </c>
      <c r="F267" s="50">
        <f t="shared" si="12"/>
        <v>272</v>
      </c>
      <c r="G267" s="71"/>
      <c r="H267" s="71"/>
      <c r="I267" s="72"/>
      <c r="J267" s="71"/>
      <c r="K267" s="71"/>
      <c r="L267" s="71">
        <f t="shared" si="13"/>
        <v>34</v>
      </c>
    </row>
    <row r="268" spans="1:12" s="8" customFormat="1" ht="15.75" x14ac:dyDescent="0.25">
      <c r="A268" s="15" t="s">
        <v>526</v>
      </c>
      <c r="B268" s="16">
        <v>44193</v>
      </c>
      <c r="C268" s="9" t="s">
        <v>744</v>
      </c>
      <c r="D268" s="30">
        <v>1</v>
      </c>
      <c r="E268" s="13">
        <v>150</v>
      </c>
      <c r="F268" s="50">
        <f t="shared" si="12"/>
        <v>150</v>
      </c>
      <c r="G268" s="71"/>
      <c r="H268" s="71"/>
      <c r="I268" s="72"/>
      <c r="J268" s="71"/>
      <c r="K268" s="71"/>
      <c r="L268" s="71">
        <f t="shared" si="13"/>
        <v>1</v>
      </c>
    </row>
    <row r="269" spans="1:12" s="8" customFormat="1" ht="15.75" x14ac:dyDescent="0.25">
      <c r="A269" s="15" t="s">
        <v>527</v>
      </c>
      <c r="B269" s="16">
        <v>44193</v>
      </c>
      <c r="C269" s="9" t="s">
        <v>745</v>
      </c>
      <c r="D269" s="30">
        <v>1</v>
      </c>
      <c r="E269" s="13">
        <v>211.86</v>
      </c>
      <c r="F269" s="50">
        <f t="shared" si="12"/>
        <v>211.86</v>
      </c>
      <c r="G269" s="71"/>
      <c r="H269" s="71"/>
      <c r="I269" s="72"/>
      <c r="J269" s="71"/>
      <c r="K269" s="71"/>
      <c r="L269" s="71">
        <f t="shared" si="13"/>
        <v>1</v>
      </c>
    </row>
    <row r="270" spans="1:12" s="8" customFormat="1" ht="15.75" x14ac:dyDescent="0.25">
      <c r="A270" s="15" t="s">
        <v>528</v>
      </c>
      <c r="B270" s="23" t="s">
        <v>105</v>
      </c>
      <c r="C270" s="9" t="s">
        <v>747</v>
      </c>
      <c r="D270" s="30">
        <f>90+44</f>
        <v>134</v>
      </c>
      <c r="E270" s="13">
        <v>25.42</v>
      </c>
      <c r="F270" s="50">
        <f t="shared" si="12"/>
        <v>3406.28</v>
      </c>
      <c r="G270" s="71"/>
      <c r="H270" s="71"/>
      <c r="I270" s="72"/>
      <c r="J270" s="71"/>
      <c r="K270" s="71"/>
      <c r="L270" s="71">
        <f t="shared" si="13"/>
        <v>134</v>
      </c>
    </row>
    <row r="271" spans="1:12" s="8" customFormat="1" ht="15.75" x14ac:dyDescent="0.25">
      <c r="A271" s="15" t="s">
        <v>529</v>
      </c>
      <c r="B271" s="16">
        <v>44193</v>
      </c>
      <c r="C271" s="9" t="s">
        <v>748</v>
      </c>
      <c r="D271" s="30">
        <v>31</v>
      </c>
      <c r="E271" s="13">
        <v>50</v>
      </c>
      <c r="F271" s="50">
        <f t="shared" si="12"/>
        <v>1550</v>
      </c>
      <c r="G271" s="71"/>
      <c r="H271" s="71"/>
      <c r="I271" s="72"/>
      <c r="J271" s="71"/>
      <c r="K271" s="71"/>
      <c r="L271" s="71">
        <f t="shared" si="13"/>
        <v>31</v>
      </c>
    </row>
    <row r="272" spans="1:12" s="8" customFormat="1" ht="15.75" x14ac:dyDescent="0.25">
      <c r="A272" s="15" t="s">
        <v>873</v>
      </c>
      <c r="B272" s="16">
        <v>44193</v>
      </c>
      <c r="C272" s="25" t="s">
        <v>785</v>
      </c>
      <c r="D272" s="38">
        <v>4</v>
      </c>
      <c r="E272" s="13">
        <v>45</v>
      </c>
      <c r="F272" s="50">
        <f t="shared" si="12"/>
        <v>180</v>
      </c>
      <c r="G272" s="71"/>
      <c r="H272" s="71"/>
      <c r="I272" s="72"/>
      <c r="J272" s="71"/>
      <c r="K272" s="71"/>
      <c r="L272" s="71">
        <f t="shared" si="13"/>
        <v>4</v>
      </c>
    </row>
    <row r="273" spans="1:14" s="8" customFormat="1" ht="15.75" x14ac:dyDescent="0.25">
      <c r="A273" s="15" t="s">
        <v>874</v>
      </c>
      <c r="B273" s="23" t="s">
        <v>105</v>
      </c>
      <c r="C273" s="9" t="s">
        <v>746</v>
      </c>
      <c r="D273" s="30">
        <v>7</v>
      </c>
      <c r="E273" s="51">
        <v>48</v>
      </c>
      <c r="F273" s="50">
        <f>D273*E273</f>
        <v>336</v>
      </c>
      <c r="G273" s="71"/>
      <c r="H273" s="71"/>
      <c r="I273" s="72"/>
      <c r="J273" s="71"/>
      <c r="K273" s="71"/>
      <c r="L273" s="71">
        <f t="shared" si="13"/>
        <v>7</v>
      </c>
    </row>
    <row r="274" spans="1:14" s="8" customFormat="1" ht="15.75" x14ac:dyDescent="0.25">
      <c r="A274" s="15" t="s">
        <v>875</v>
      </c>
      <c r="B274" s="16"/>
      <c r="C274" s="25" t="s">
        <v>815</v>
      </c>
      <c r="D274" s="38">
        <v>6</v>
      </c>
      <c r="E274" s="13"/>
      <c r="F274" s="50"/>
      <c r="G274" s="71"/>
      <c r="H274" s="71"/>
      <c r="I274" s="72"/>
      <c r="J274" s="71"/>
      <c r="K274" s="71"/>
      <c r="L274" s="71">
        <f t="shared" si="13"/>
        <v>6</v>
      </c>
    </row>
    <row r="275" spans="1:14" s="8" customFormat="1" ht="15.75" x14ac:dyDescent="0.25">
      <c r="A275" s="15" t="s">
        <v>876</v>
      </c>
      <c r="B275" s="16">
        <v>44193</v>
      </c>
      <c r="C275" s="26" t="s">
        <v>750</v>
      </c>
      <c r="D275" s="38">
        <v>20</v>
      </c>
      <c r="E275" s="13">
        <v>1449.14</v>
      </c>
      <c r="F275" s="50">
        <f t="shared" ref="F275:F287" si="14">D275*E275</f>
        <v>28982.800000000003</v>
      </c>
      <c r="G275" s="71"/>
      <c r="H275" s="71"/>
      <c r="I275" s="72"/>
      <c r="J275" s="71"/>
      <c r="K275" s="71"/>
      <c r="L275" s="71">
        <f t="shared" si="13"/>
        <v>20</v>
      </c>
    </row>
    <row r="276" spans="1:14" s="8" customFormat="1" ht="15.75" x14ac:dyDescent="0.25">
      <c r="A276" s="15" t="s">
        <v>877</v>
      </c>
      <c r="B276" s="16">
        <v>44193</v>
      </c>
      <c r="C276" s="26" t="s">
        <v>771</v>
      </c>
      <c r="D276" s="38">
        <v>3</v>
      </c>
      <c r="E276" s="13">
        <v>289</v>
      </c>
      <c r="F276" s="50">
        <f t="shared" si="14"/>
        <v>867</v>
      </c>
      <c r="G276" s="73">
        <v>44778</v>
      </c>
      <c r="H276" s="71">
        <v>10</v>
      </c>
      <c r="I276" s="72">
        <v>3481</v>
      </c>
      <c r="J276" s="71">
        <f>+I276/10</f>
        <v>348.1</v>
      </c>
      <c r="K276" s="71"/>
      <c r="L276" s="71">
        <f t="shared" si="13"/>
        <v>13</v>
      </c>
      <c r="M276" s="8" t="s">
        <v>943</v>
      </c>
    </row>
    <row r="277" spans="1:14" s="8" customFormat="1" ht="15.75" x14ac:dyDescent="0.25">
      <c r="A277" s="15" t="s">
        <v>878</v>
      </c>
      <c r="B277" s="16">
        <v>44193</v>
      </c>
      <c r="C277" s="26" t="s">
        <v>754</v>
      </c>
      <c r="D277" s="38">
        <v>7</v>
      </c>
      <c r="E277" s="13">
        <v>38</v>
      </c>
      <c r="F277" s="50">
        <f t="shared" si="14"/>
        <v>266</v>
      </c>
      <c r="G277" s="71"/>
      <c r="H277" s="71"/>
      <c r="I277" s="72"/>
      <c r="J277" s="71"/>
      <c r="K277" s="71"/>
      <c r="L277" s="71">
        <f t="shared" si="13"/>
        <v>7</v>
      </c>
      <c r="N277" s="8" t="s">
        <v>946</v>
      </c>
    </row>
    <row r="278" spans="1:14" s="8" customFormat="1" ht="15.75" x14ac:dyDescent="0.25">
      <c r="A278" s="15" t="s">
        <v>879</v>
      </c>
      <c r="B278" s="23" t="s">
        <v>105</v>
      </c>
      <c r="C278" s="26" t="s">
        <v>753</v>
      </c>
      <c r="D278" s="38">
        <v>12</v>
      </c>
      <c r="E278" s="13">
        <v>38</v>
      </c>
      <c r="F278" s="50">
        <f t="shared" si="14"/>
        <v>456</v>
      </c>
      <c r="G278" s="71"/>
      <c r="H278" s="71"/>
      <c r="I278" s="72"/>
      <c r="J278" s="71"/>
      <c r="K278" s="71"/>
      <c r="L278" s="71">
        <f t="shared" si="13"/>
        <v>12</v>
      </c>
      <c r="N278" s="8" t="s">
        <v>946</v>
      </c>
    </row>
    <row r="279" spans="1:14" s="8" customFormat="1" ht="15.75" x14ac:dyDescent="0.25">
      <c r="A279" s="15" t="s">
        <v>880</v>
      </c>
      <c r="B279" s="16">
        <v>44193</v>
      </c>
      <c r="C279" s="26" t="s">
        <v>757</v>
      </c>
      <c r="D279" s="38">
        <v>1</v>
      </c>
      <c r="E279" s="13">
        <v>38</v>
      </c>
      <c r="F279" s="50">
        <f t="shared" si="14"/>
        <v>38</v>
      </c>
      <c r="G279" s="71"/>
      <c r="H279" s="71"/>
      <c r="I279" s="72"/>
      <c r="J279" s="71"/>
      <c r="K279" s="71"/>
      <c r="L279" s="71">
        <f t="shared" si="13"/>
        <v>1</v>
      </c>
      <c r="N279" s="8" t="s">
        <v>946</v>
      </c>
    </row>
    <row r="280" spans="1:14" s="8" customFormat="1" ht="15.75" x14ac:dyDescent="0.25">
      <c r="A280" s="15" t="s">
        <v>881</v>
      </c>
      <c r="B280" s="16">
        <v>44193</v>
      </c>
      <c r="C280" s="26" t="s">
        <v>760</v>
      </c>
      <c r="D280" s="38">
        <v>1</v>
      </c>
      <c r="E280" s="13">
        <v>41</v>
      </c>
      <c r="F280" s="50">
        <f t="shared" si="14"/>
        <v>41</v>
      </c>
      <c r="G280" s="71"/>
      <c r="H280" s="71"/>
      <c r="I280" s="72"/>
      <c r="J280" s="71"/>
      <c r="K280" s="71"/>
      <c r="L280" s="71">
        <f t="shared" si="13"/>
        <v>1</v>
      </c>
      <c r="N280" s="8" t="s">
        <v>946</v>
      </c>
    </row>
    <row r="281" spans="1:14" s="8" customFormat="1" ht="15.75" x14ac:dyDescent="0.25">
      <c r="A281" s="15" t="s">
        <v>882</v>
      </c>
      <c r="B281" s="16">
        <v>44193</v>
      </c>
      <c r="C281" s="26" t="s">
        <v>758</v>
      </c>
      <c r="D281" s="38">
        <v>1</v>
      </c>
      <c r="E281" s="13">
        <v>38</v>
      </c>
      <c r="F281" s="50">
        <f t="shared" si="14"/>
        <v>38</v>
      </c>
      <c r="G281" s="71"/>
      <c r="H281" s="71"/>
      <c r="I281" s="72"/>
      <c r="J281" s="71"/>
      <c r="K281" s="71"/>
      <c r="L281" s="71">
        <f t="shared" si="13"/>
        <v>1</v>
      </c>
      <c r="N281" s="8" t="s">
        <v>946</v>
      </c>
    </row>
    <row r="282" spans="1:14" s="8" customFormat="1" ht="15.75" x14ac:dyDescent="0.25">
      <c r="A282" s="15" t="s">
        <v>883</v>
      </c>
      <c r="B282" s="16">
        <v>44193</v>
      </c>
      <c r="C282" s="26" t="s">
        <v>759</v>
      </c>
      <c r="D282" s="38">
        <v>1</v>
      </c>
      <c r="E282" s="13">
        <v>38</v>
      </c>
      <c r="F282" s="50">
        <f t="shared" si="14"/>
        <v>38</v>
      </c>
      <c r="G282" s="71"/>
      <c r="H282" s="71"/>
      <c r="I282" s="72"/>
      <c r="J282" s="71"/>
      <c r="K282" s="71"/>
      <c r="L282" s="71">
        <f t="shared" si="13"/>
        <v>1</v>
      </c>
      <c r="N282" s="8" t="s">
        <v>946</v>
      </c>
    </row>
    <row r="283" spans="1:14" s="8" customFormat="1" ht="15.75" x14ac:dyDescent="0.25">
      <c r="A283" s="15" t="s">
        <v>884</v>
      </c>
      <c r="B283" s="23" t="s">
        <v>105</v>
      </c>
      <c r="C283" s="26" t="s">
        <v>755</v>
      </c>
      <c r="D283" s="38">
        <v>1</v>
      </c>
      <c r="E283" s="13">
        <v>38</v>
      </c>
      <c r="F283" s="50">
        <f t="shared" si="14"/>
        <v>38</v>
      </c>
      <c r="G283" s="71"/>
      <c r="H283" s="71"/>
      <c r="I283" s="72"/>
      <c r="J283" s="71"/>
      <c r="K283" s="71"/>
      <c r="L283" s="71">
        <f t="shared" si="13"/>
        <v>1</v>
      </c>
      <c r="N283" s="8" t="s">
        <v>946</v>
      </c>
    </row>
    <row r="284" spans="1:14" s="8" customFormat="1" ht="15.75" x14ac:dyDescent="0.25">
      <c r="A284" s="15" t="s">
        <v>885</v>
      </c>
      <c r="B284" s="16">
        <v>44193</v>
      </c>
      <c r="C284" s="26" t="s">
        <v>756</v>
      </c>
      <c r="D284" s="38">
        <v>1</v>
      </c>
      <c r="E284" s="13">
        <v>38</v>
      </c>
      <c r="F284" s="50">
        <f t="shared" si="14"/>
        <v>38</v>
      </c>
      <c r="G284" s="71"/>
      <c r="H284" s="71"/>
      <c r="I284" s="72"/>
      <c r="J284" s="71"/>
      <c r="K284" s="71"/>
      <c r="L284" s="71">
        <f t="shared" si="13"/>
        <v>1</v>
      </c>
      <c r="N284" s="8" t="s">
        <v>946</v>
      </c>
    </row>
    <row r="285" spans="1:14" s="8" customFormat="1" ht="15.75" x14ac:dyDescent="0.25">
      <c r="A285" s="15" t="s">
        <v>886</v>
      </c>
      <c r="B285" s="16">
        <v>44193</v>
      </c>
      <c r="C285" s="26" t="s">
        <v>762</v>
      </c>
      <c r="D285" s="38">
        <v>7</v>
      </c>
      <c r="E285" s="13">
        <v>537</v>
      </c>
      <c r="F285" s="50">
        <f t="shared" si="14"/>
        <v>3759</v>
      </c>
      <c r="G285" s="71"/>
      <c r="H285" s="71"/>
      <c r="I285" s="72"/>
      <c r="J285" s="71"/>
      <c r="K285" s="71"/>
      <c r="L285" s="71">
        <f t="shared" si="13"/>
        <v>7</v>
      </c>
      <c r="N285" s="8" t="s">
        <v>946</v>
      </c>
    </row>
    <row r="286" spans="1:14" s="8" customFormat="1" ht="15.75" x14ac:dyDescent="0.25">
      <c r="A286" s="15" t="s">
        <v>887</v>
      </c>
      <c r="B286" s="16">
        <v>44193</v>
      </c>
      <c r="C286" s="26" t="s">
        <v>761</v>
      </c>
      <c r="D286" s="38">
        <v>3</v>
      </c>
      <c r="E286" s="13">
        <v>537</v>
      </c>
      <c r="F286" s="50">
        <f t="shared" si="14"/>
        <v>1611</v>
      </c>
      <c r="G286" s="71"/>
      <c r="H286" s="71"/>
      <c r="I286" s="72"/>
      <c r="J286" s="71"/>
      <c r="K286" s="71"/>
      <c r="L286" s="71">
        <f t="shared" si="13"/>
        <v>3</v>
      </c>
      <c r="N286" s="8" t="s">
        <v>946</v>
      </c>
    </row>
    <row r="287" spans="1:14" s="8" customFormat="1" ht="15.75" x14ac:dyDescent="0.25">
      <c r="A287" s="15" t="s">
        <v>888</v>
      </c>
      <c r="B287" s="16">
        <v>44193</v>
      </c>
      <c r="C287" s="9" t="s">
        <v>763</v>
      </c>
      <c r="D287" s="30">
        <v>13</v>
      </c>
      <c r="E287" s="13">
        <v>13.87</v>
      </c>
      <c r="F287" s="50">
        <f t="shared" si="14"/>
        <v>180.31</v>
      </c>
      <c r="G287" s="71"/>
      <c r="H287" s="71"/>
      <c r="I287" s="72"/>
      <c r="J287" s="71"/>
      <c r="K287" s="71"/>
      <c r="L287" s="71">
        <f t="shared" si="13"/>
        <v>13</v>
      </c>
      <c r="N287" s="8" t="s">
        <v>947</v>
      </c>
    </row>
    <row r="288" spans="1:14" s="8" customFormat="1" ht="15.75" x14ac:dyDescent="0.25">
      <c r="A288" s="15" t="s">
        <v>889</v>
      </c>
      <c r="B288" s="16"/>
      <c r="C288" s="25" t="s">
        <v>814</v>
      </c>
      <c r="D288" s="38">
        <v>5</v>
      </c>
      <c r="E288" s="13"/>
      <c r="F288" s="50"/>
      <c r="G288" s="71"/>
      <c r="H288" s="71"/>
      <c r="I288" s="72"/>
      <c r="J288" s="71"/>
      <c r="K288" s="71"/>
      <c r="L288" s="71">
        <f t="shared" si="13"/>
        <v>5</v>
      </c>
      <c r="N288" s="8" t="s">
        <v>946</v>
      </c>
    </row>
    <row r="289" spans="1:14" s="8" customFormat="1" ht="15.75" x14ac:dyDescent="0.25">
      <c r="A289" s="15" t="s">
        <v>890</v>
      </c>
      <c r="B289" s="16"/>
      <c r="C289" s="25" t="s">
        <v>805</v>
      </c>
      <c r="D289" s="38">
        <v>9</v>
      </c>
      <c r="E289" s="13"/>
      <c r="F289" s="50"/>
      <c r="G289" s="71"/>
      <c r="H289" s="71"/>
      <c r="I289" s="72"/>
      <c r="J289" s="71"/>
      <c r="K289" s="71"/>
      <c r="L289" s="71">
        <f t="shared" si="13"/>
        <v>9</v>
      </c>
      <c r="N289" s="8" t="s">
        <v>946</v>
      </c>
    </row>
    <row r="290" spans="1:14" s="8" customFormat="1" ht="15.75" x14ac:dyDescent="0.25">
      <c r="A290" s="15" t="s">
        <v>891</v>
      </c>
      <c r="B290" s="16"/>
      <c r="C290" s="25" t="s">
        <v>784</v>
      </c>
      <c r="D290" s="38">
        <v>29</v>
      </c>
      <c r="E290" s="13"/>
      <c r="F290" s="50"/>
      <c r="G290" s="71"/>
      <c r="H290" s="71"/>
      <c r="I290" s="72"/>
      <c r="J290" s="71"/>
      <c r="K290" s="71"/>
      <c r="L290" s="71">
        <f t="shared" si="13"/>
        <v>29</v>
      </c>
      <c r="N290" s="8" t="s">
        <v>947</v>
      </c>
    </row>
    <row r="291" spans="1:14" s="8" customFormat="1" ht="15.75" x14ac:dyDescent="0.25">
      <c r="A291" s="15" t="s">
        <v>892</v>
      </c>
      <c r="B291" s="16">
        <v>44729</v>
      </c>
      <c r="C291" s="25" t="s">
        <v>860</v>
      </c>
      <c r="D291" s="38">
        <v>12</v>
      </c>
      <c r="E291" s="13">
        <v>19650</v>
      </c>
      <c r="F291" s="50">
        <f>+D291*E291</f>
        <v>235800</v>
      </c>
      <c r="G291" s="71"/>
      <c r="H291" s="71"/>
      <c r="I291" s="72"/>
      <c r="J291" s="71"/>
      <c r="K291" s="71"/>
      <c r="L291" s="71">
        <f t="shared" si="13"/>
        <v>12</v>
      </c>
      <c r="N291" s="8" t="s">
        <v>946</v>
      </c>
    </row>
    <row r="292" spans="1:14" s="8" customFormat="1" ht="15.75" x14ac:dyDescent="0.25">
      <c r="A292" s="15" t="s">
        <v>893</v>
      </c>
      <c r="B292" s="16">
        <v>44652</v>
      </c>
      <c r="C292" s="25" t="s">
        <v>859</v>
      </c>
      <c r="D292" s="38">
        <f>11+6+12+11</f>
        <v>40</v>
      </c>
      <c r="E292" s="13">
        <v>159</v>
      </c>
      <c r="F292" s="50">
        <f>+D292*E292</f>
        <v>6360</v>
      </c>
      <c r="G292" s="71"/>
      <c r="H292" s="71"/>
      <c r="I292" s="72"/>
      <c r="J292" s="71"/>
      <c r="K292" s="71">
        <f>3+1+1</f>
        <v>5</v>
      </c>
      <c r="L292" s="71">
        <f t="shared" si="13"/>
        <v>35</v>
      </c>
      <c r="N292" s="8" t="s">
        <v>945</v>
      </c>
    </row>
    <row r="293" spans="1:14" s="8" customFormat="1" ht="15.75" x14ac:dyDescent="0.25">
      <c r="A293" s="15" t="s">
        <v>894</v>
      </c>
      <c r="B293" s="16">
        <v>44652</v>
      </c>
      <c r="C293" s="25" t="s">
        <v>858</v>
      </c>
      <c r="D293" s="38">
        <v>11</v>
      </c>
      <c r="E293" s="13"/>
      <c r="F293" s="50">
        <f>+D293*E293</f>
        <v>0</v>
      </c>
      <c r="G293" s="71"/>
      <c r="H293" s="71"/>
      <c r="I293" s="72"/>
      <c r="J293" s="71"/>
      <c r="K293" s="71"/>
      <c r="L293" s="71">
        <f t="shared" si="13"/>
        <v>11</v>
      </c>
      <c r="N293" s="8" t="s">
        <v>945</v>
      </c>
    </row>
    <row r="294" spans="1:14" s="8" customFormat="1" ht="15.75" x14ac:dyDescent="0.25">
      <c r="A294" s="15" t="s">
        <v>895</v>
      </c>
      <c r="B294" s="16">
        <v>44652</v>
      </c>
      <c r="C294" s="25" t="s">
        <v>920</v>
      </c>
      <c r="D294" s="38">
        <f>9+11+7</f>
        <v>27</v>
      </c>
      <c r="E294" s="13">
        <v>145</v>
      </c>
      <c r="F294" s="50">
        <f>+D294*E294</f>
        <v>3915</v>
      </c>
      <c r="G294" s="71"/>
      <c r="H294" s="71"/>
      <c r="I294" s="72"/>
      <c r="J294" s="71"/>
      <c r="K294" s="71"/>
      <c r="L294" s="71">
        <f t="shared" si="13"/>
        <v>27</v>
      </c>
      <c r="N294" s="8" t="s">
        <v>945</v>
      </c>
    </row>
    <row r="295" spans="1:14" s="8" customFormat="1" ht="15.75" x14ac:dyDescent="0.25">
      <c r="A295" s="15" t="s">
        <v>896</v>
      </c>
      <c r="B295" s="16"/>
      <c r="C295" s="25" t="s">
        <v>795</v>
      </c>
      <c r="D295" s="38">
        <v>29</v>
      </c>
      <c r="E295" s="13">
        <v>29.35</v>
      </c>
      <c r="F295" s="50">
        <f t="shared" ref="F295:F311" si="15">+D295*E295</f>
        <v>851.15000000000009</v>
      </c>
      <c r="G295" s="71"/>
      <c r="H295" s="71"/>
      <c r="I295" s="72"/>
      <c r="J295" s="71"/>
      <c r="K295" s="71"/>
      <c r="L295" s="71">
        <f t="shared" si="13"/>
        <v>29</v>
      </c>
    </row>
    <row r="296" spans="1:14" s="8" customFormat="1" ht="15.75" x14ac:dyDescent="0.25">
      <c r="A296" s="15" t="s">
        <v>897</v>
      </c>
      <c r="B296" s="16"/>
      <c r="C296" s="25" t="s">
        <v>843</v>
      </c>
      <c r="D296" s="38">
        <v>8</v>
      </c>
      <c r="E296" s="13"/>
      <c r="F296" s="50">
        <f t="shared" si="15"/>
        <v>0</v>
      </c>
      <c r="G296" s="71"/>
      <c r="H296" s="71"/>
      <c r="I296" s="72"/>
      <c r="J296" s="71"/>
      <c r="K296" s="71"/>
      <c r="L296" s="71">
        <f t="shared" si="13"/>
        <v>8</v>
      </c>
    </row>
    <row r="297" spans="1:14" s="8" customFormat="1" ht="15.75" x14ac:dyDescent="0.25">
      <c r="A297" s="15" t="s">
        <v>898</v>
      </c>
      <c r="B297" s="16"/>
      <c r="C297" s="25" t="s">
        <v>793</v>
      </c>
      <c r="D297" s="38">
        <f>3+1</f>
        <v>4</v>
      </c>
      <c r="E297" s="13"/>
      <c r="F297" s="50">
        <f t="shared" si="15"/>
        <v>0</v>
      </c>
      <c r="G297" s="71"/>
      <c r="H297" s="71"/>
      <c r="I297" s="72"/>
      <c r="J297" s="71"/>
      <c r="K297" s="71"/>
      <c r="L297" s="71">
        <f t="shared" si="13"/>
        <v>4</v>
      </c>
    </row>
    <row r="298" spans="1:14" s="8" customFormat="1" ht="15.75" x14ac:dyDescent="0.25">
      <c r="A298" s="15" t="s">
        <v>899</v>
      </c>
      <c r="B298" s="16"/>
      <c r="C298" s="25" t="s">
        <v>842</v>
      </c>
      <c r="D298" s="38">
        <v>2</v>
      </c>
      <c r="E298" s="13"/>
      <c r="F298" s="50">
        <f t="shared" si="15"/>
        <v>0</v>
      </c>
      <c r="G298" s="71"/>
      <c r="H298" s="71"/>
      <c r="I298" s="72"/>
      <c r="J298" s="71"/>
      <c r="K298" s="71"/>
      <c r="L298" s="71">
        <f t="shared" si="13"/>
        <v>2</v>
      </c>
    </row>
    <row r="299" spans="1:14" s="8" customFormat="1" ht="15.75" x14ac:dyDescent="0.25">
      <c r="A299" s="15" t="s">
        <v>900</v>
      </c>
      <c r="B299" s="16">
        <v>44193</v>
      </c>
      <c r="C299" s="25" t="s">
        <v>841</v>
      </c>
      <c r="D299" s="38">
        <v>1</v>
      </c>
      <c r="E299" s="13">
        <v>18.86</v>
      </c>
      <c r="F299" s="50">
        <f t="shared" si="15"/>
        <v>18.86</v>
      </c>
      <c r="G299" s="71"/>
      <c r="H299" s="71"/>
      <c r="I299" s="72"/>
      <c r="J299" s="71"/>
      <c r="K299" s="71"/>
      <c r="L299" s="71">
        <f t="shared" si="13"/>
        <v>1</v>
      </c>
    </row>
    <row r="300" spans="1:14" s="8" customFormat="1" ht="15.75" x14ac:dyDescent="0.25">
      <c r="A300" s="15" t="s">
        <v>901</v>
      </c>
      <c r="B300" s="16">
        <v>44193</v>
      </c>
      <c r="C300" s="25" t="s">
        <v>848</v>
      </c>
      <c r="D300" s="38">
        <v>1</v>
      </c>
      <c r="E300" s="13"/>
      <c r="F300" s="50">
        <f t="shared" si="15"/>
        <v>0</v>
      </c>
      <c r="G300" s="71"/>
      <c r="H300" s="71"/>
      <c r="I300" s="72"/>
      <c r="J300" s="71"/>
      <c r="K300" s="71"/>
      <c r="L300" s="71">
        <f t="shared" si="13"/>
        <v>1</v>
      </c>
    </row>
    <row r="301" spans="1:14" s="8" customFormat="1" ht="15.75" x14ac:dyDescent="0.25">
      <c r="A301" s="15" t="s">
        <v>902</v>
      </c>
      <c r="B301" s="16">
        <v>44193</v>
      </c>
      <c r="C301" s="25" t="s">
        <v>839</v>
      </c>
      <c r="D301" s="38">
        <v>7</v>
      </c>
      <c r="E301" s="13"/>
      <c r="F301" s="50">
        <f t="shared" si="15"/>
        <v>0</v>
      </c>
      <c r="G301" s="71"/>
      <c r="H301" s="71"/>
      <c r="I301" s="72"/>
      <c r="J301" s="71"/>
      <c r="K301" s="71"/>
      <c r="L301" s="71">
        <f t="shared" si="13"/>
        <v>7</v>
      </c>
    </row>
    <row r="302" spans="1:14" s="8" customFormat="1" ht="15.75" x14ac:dyDescent="0.25">
      <c r="A302" s="15" t="s">
        <v>903</v>
      </c>
      <c r="B302" s="16">
        <v>44193</v>
      </c>
      <c r="C302" s="25" t="s">
        <v>867</v>
      </c>
      <c r="D302" s="38">
        <v>6</v>
      </c>
      <c r="E302" s="13">
        <v>176</v>
      </c>
      <c r="F302" s="50">
        <f t="shared" si="15"/>
        <v>1056</v>
      </c>
      <c r="G302" s="71"/>
      <c r="H302" s="71"/>
      <c r="I302" s="72"/>
      <c r="J302" s="71"/>
      <c r="K302" s="71"/>
      <c r="L302" s="71">
        <f t="shared" si="13"/>
        <v>6</v>
      </c>
    </row>
    <row r="303" spans="1:14" s="8" customFormat="1" ht="15.75" x14ac:dyDescent="0.25">
      <c r="A303" s="15" t="s">
        <v>904</v>
      </c>
      <c r="B303" s="16">
        <v>44193</v>
      </c>
      <c r="C303" s="25" t="s">
        <v>798</v>
      </c>
      <c r="D303" s="38">
        <v>3</v>
      </c>
      <c r="E303" s="13">
        <v>234</v>
      </c>
      <c r="F303" s="50">
        <f t="shared" si="15"/>
        <v>702</v>
      </c>
      <c r="G303" s="71"/>
      <c r="H303" s="71"/>
      <c r="I303" s="72"/>
      <c r="J303" s="71"/>
      <c r="K303" s="71"/>
      <c r="L303" s="71">
        <f t="shared" si="13"/>
        <v>3</v>
      </c>
    </row>
    <row r="304" spans="1:14" s="8" customFormat="1" ht="15.75" x14ac:dyDescent="0.25">
      <c r="A304" s="15" t="s">
        <v>905</v>
      </c>
      <c r="B304" s="16">
        <v>44193</v>
      </c>
      <c r="C304" s="25" t="s">
        <v>764</v>
      </c>
      <c r="D304" s="38">
        <v>0</v>
      </c>
      <c r="E304" s="13">
        <v>39</v>
      </c>
      <c r="F304" s="50">
        <f t="shared" si="15"/>
        <v>0</v>
      </c>
      <c r="G304" s="73">
        <v>44755</v>
      </c>
      <c r="H304" s="71">
        <v>25</v>
      </c>
      <c r="I304" s="72">
        <v>50.84</v>
      </c>
      <c r="J304" s="74">
        <f>+H304*I304</f>
        <v>1271</v>
      </c>
      <c r="K304" s="74"/>
      <c r="L304" s="71">
        <f t="shared" si="13"/>
        <v>25</v>
      </c>
      <c r="M304" s="8" t="s">
        <v>928</v>
      </c>
    </row>
    <row r="305" spans="1:12" s="8" customFormat="1" ht="15.75" x14ac:dyDescent="0.25">
      <c r="A305" s="15" t="s">
        <v>906</v>
      </c>
      <c r="B305" s="16"/>
      <c r="C305" s="25" t="s">
        <v>799</v>
      </c>
      <c r="D305" s="38">
        <v>120</v>
      </c>
      <c r="E305" s="13"/>
      <c r="F305" s="50">
        <f t="shared" si="15"/>
        <v>0</v>
      </c>
      <c r="G305" s="71"/>
      <c r="H305" s="71"/>
      <c r="I305" s="72"/>
      <c r="J305" s="71"/>
      <c r="K305" s="71"/>
      <c r="L305" s="71">
        <f t="shared" si="13"/>
        <v>120</v>
      </c>
    </row>
    <row r="306" spans="1:12" s="8" customFormat="1" ht="15.75" x14ac:dyDescent="0.25">
      <c r="A306" s="15" t="s">
        <v>907</v>
      </c>
      <c r="B306" s="16"/>
      <c r="C306" s="25" t="s">
        <v>824</v>
      </c>
      <c r="D306" s="38">
        <v>15</v>
      </c>
      <c r="E306" s="13"/>
      <c r="F306" s="50">
        <f t="shared" si="15"/>
        <v>0</v>
      </c>
      <c r="G306" s="73"/>
      <c r="H306" s="71"/>
      <c r="I306" s="72"/>
      <c r="J306" s="74"/>
      <c r="K306" s="74"/>
      <c r="L306" s="71">
        <f t="shared" si="13"/>
        <v>15</v>
      </c>
    </row>
    <row r="307" spans="1:12" s="8" customFormat="1" ht="15.75" x14ac:dyDescent="0.25">
      <c r="A307" s="15" t="s">
        <v>908</v>
      </c>
      <c r="B307" s="16"/>
      <c r="C307" s="25" t="s">
        <v>837</v>
      </c>
      <c r="D307" s="38">
        <v>9</v>
      </c>
      <c r="E307" s="13"/>
      <c r="F307" s="50">
        <f t="shared" si="15"/>
        <v>0</v>
      </c>
      <c r="G307" s="71"/>
      <c r="H307" s="71"/>
      <c r="I307" s="72"/>
      <c r="J307" s="71"/>
      <c r="K307" s="71"/>
      <c r="L307" s="71">
        <f t="shared" si="13"/>
        <v>9</v>
      </c>
    </row>
    <row r="308" spans="1:12" s="8" customFormat="1" ht="15.75" x14ac:dyDescent="0.25">
      <c r="A308" s="15" t="s">
        <v>909</v>
      </c>
      <c r="B308" s="16"/>
      <c r="C308" s="25" t="s">
        <v>792</v>
      </c>
      <c r="D308" s="38">
        <v>19</v>
      </c>
      <c r="E308" s="13"/>
      <c r="F308" s="50">
        <f t="shared" si="15"/>
        <v>0</v>
      </c>
      <c r="G308" s="71"/>
      <c r="H308" s="71"/>
      <c r="I308" s="72"/>
      <c r="J308" s="71"/>
      <c r="K308" s="71"/>
      <c r="L308" s="71">
        <f t="shared" si="13"/>
        <v>19</v>
      </c>
    </row>
    <row r="309" spans="1:12" s="8" customFormat="1" ht="15.75" x14ac:dyDescent="0.25">
      <c r="A309" s="15" t="s">
        <v>910</v>
      </c>
      <c r="B309" s="16"/>
      <c r="C309" s="25" t="s">
        <v>329</v>
      </c>
      <c r="D309" s="38">
        <v>21</v>
      </c>
      <c r="E309" s="13"/>
      <c r="F309" s="50">
        <f t="shared" si="15"/>
        <v>0</v>
      </c>
      <c r="G309" s="71"/>
      <c r="H309" s="71"/>
      <c r="I309" s="72"/>
      <c r="J309" s="71"/>
      <c r="K309" s="71"/>
      <c r="L309" s="71">
        <f t="shared" si="13"/>
        <v>21</v>
      </c>
    </row>
    <row r="310" spans="1:12" s="8" customFormat="1" ht="15.75" x14ac:dyDescent="0.25">
      <c r="A310" s="15" t="s">
        <v>911</v>
      </c>
      <c r="B310" s="16"/>
      <c r="C310" s="25" t="s">
        <v>330</v>
      </c>
      <c r="D310" s="38">
        <f>2+18</f>
        <v>20</v>
      </c>
      <c r="E310" s="13"/>
      <c r="F310" s="50">
        <f t="shared" si="15"/>
        <v>0</v>
      </c>
      <c r="G310" s="71"/>
      <c r="H310" s="71"/>
      <c r="I310" s="72"/>
      <c r="J310" s="71"/>
      <c r="K310" s="71"/>
      <c r="L310" s="71">
        <f t="shared" si="13"/>
        <v>20</v>
      </c>
    </row>
    <row r="311" spans="1:12" s="8" customFormat="1" ht="15.75" x14ac:dyDescent="0.25">
      <c r="A311" s="15" t="s">
        <v>912</v>
      </c>
      <c r="B311" s="16">
        <v>44193</v>
      </c>
      <c r="C311" s="25" t="s">
        <v>836</v>
      </c>
      <c r="D311" s="38">
        <v>19</v>
      </c>
      <c r="E311" s="13">
        <v>30</v>
      </c>
      <c r="F311" s="50">
        <f t="shared" si="15"/>
        <v>570</v>
      </c>
      <c r="G311" s="71"/>
      <c r="H311" s="71"/>
      <c r="I311" s="72"/>
      <c r="J311" s="71"/>
      <c r="K311" s="71"/>
      <c r="L311" s="71">
        <f t="shared" si="13"/>
        <v>19</v>
      </c>
    </row>
    <row r="312" spans="1:12" s="8" customFormat="1" ht="15.75" x14ac:dyDescent="0.25">
      <c r="A312" s="15" t="s">
        <v>530</v>
      </c>
      <c r="B312" s="16">
        <v>44193</v>
      </c>
      <c r="C312" s="25" t="s">
        <v>810</v>
      </c>
      <c r="D312" s="38">
        <v>6</v>
      </c>
      <c r="E312" s="13">
        <v>299.72000000000003</v>
      </c>
      <c r="F312" s="50">
        <f>+D312*E312</f>
        <v>1798.3200000000002</v>
      </c>
      <c r="G312" s="71"/>
      <c r="H312" s="71"/>
      <c r="I312" s="72"/>
      <c r="J312" s="71"/>
      <c r="K312" s="71"/>
      <c r="L312" s="71">
        <f t="shared" si="13"/>
        <v>6</v>
      </c>
    </row>
    <row r="313" spans="1:12" s="8" customFormat="1" ht="15.75" x14ac:dyDescent="0.25">
      <c r="A313" s="15" t="s">
        <v>912</v>
      </c>
      <c r="B313" s="16"/>
      <c r="C313" s="25" t="s">
        <v>836</v>
      </c>
      <c r="D313" s="38">
        <v>19</v>
      </c>
      <c r="E313" s="13"/>
      <c r="F313" s="50"/>
      <c r="G313" s="71"/>
      <c r="H313" s="71"/>
      <c r="I313" s="72"/>
      <c r="J313" s="71"/>
      <c r="K313" s="71"/>
      <c r="L313" s="71">
        <f t="shared" si="13"/>
        <v>19</v>
      </c>
    </row>
    <row r="314" spans="1:12" s="8" customFormat="1" ht="15.75" x14ac:dyDescent="0.25">
      <c r="A314" s="15" t="s">
        <v>530</v>
      </c>
      <c r="B314" s="16"/>
      <c r="C314" s="25" t="s">
        <v>810</v>
      </c>
      <c r="D314" s="38">
        <v>6</v>
      </c>
      <c r="E314" s="13"/>
      <c r="F314" s="50"/>
      <c r="G314" s="71"/>
      <c r="H314" s="71"/>
      <c r="I314" s="72"/>
      <c r="J314" s="71"/>
      <c r="K314" s="71"/>
      <c r="L314" s="71">
        <f t="shared" si="13"/>
        <v>6</v>
      </c>
    </row>
    <row r="315" spans="1:12" s="8" customFormat="1" ht="15.75" x14ac:dyDescent="0.25">
      <c r="A315" s="15" t="s">
        <v>916</v>
      </c>
      <c r="B315" s="16"/>
      <c r="C315" s="25" t="s">
        <v>918</v>
      </c>
      <c r="D315" s="38">
        <v>5</v>
      </c>
      <c r="E315" s="13"/>
      <c r="F315" s="50"/>
      <c r="G315" s="71"/>
      <c r="H315" s="71"/>
      <c r="I315" s="72"/>
      <c r="J315" s="71"/>
      <c r="K315" s="71"/>
      <c r="L315" s="71">
        <f t="shared" si="13"/>
        <v>5</v>
      </c>
    </row>
    <row r="316" spans="1:12" s="8" customFormat="1" ht="15.75" x14ac:dyDescent="0.25">
      <c r="A316" s="15" t="s">
        <v>917</v>
      </c>
      <c r="B316" s="16"/>
      <c r="C316" s="25" t="s">
        <v>919</v>
      </c>
      <c r="D316" s="38">
        <f>12+10+11</f>
        <v>33</v>
      </c>
      <c r="E316" s="13">
        <v>150</v>
      </c>
      <c r="F316" s="50"/>
      <c r="G316" s="71"/>
      <c r="H316" s="71"/>
      <c r="I316" s="72"/>
      <c r="J316" s="71"/>
      <c r="K316" s="71"/>
      <c r="L316" s="71">
        <f t="shared" si="13"/>
        <v>33</v>
      </c>
    </row>
    <row r="317" spans="1:12" s="8" customFormat="1" ht="15.75" x14ac:dyDescent="0.25">
      <c r="A317" s="15" t="s">
        <v>921</v>
      </c>
      <c r="B317" s="16"/>
      <c r="C317" s="25" t="s">
        <v>926</v>
      </c>
      <c r="D317" s="38">
        <v>1</v>
      </c>
      <c r="E317" s="13"/>
      <c r="F317" s="50"/>
      <c r="G317" s="71"/>
      <c r="H317" s="71"/>
      <c r="I317" s="72"/>
      <c r="J317" s="71"/>
      <c r="K317" s="71"/>
      <c r="L317" s="71">
        <f t="shared" si="13"/>
        <v>1</v>
      </c>
    </row>
    <row r="318" spans="1:12" s="8" customFormat="1" ht="15.75" x14ac:dyDescent="0.25">
      <c r="A318" s="15" t="s">
        <v>922</v>
      </c>
      <c r="B318" s="16"/>
      <c r="C318" s="25" t="s">
        <v>930</v>
      </c>
      <c r="D318" s="38"/>
      <c r="E318" s="13"/>
      <c r="F318" s="50"/>
      <c r="G318" s="71"/>
      <c r="H318" s="71"/>
      <c r="I318" s="72"/>
      <c r="J318" s="71"/>
      <c r="K318" s="71">
        <f>2+2</f>
        <v>4</v>
      </c>
      <c r="L318" s="71">
        <f t="shared" si="13"/>
        <v>-4</v>
      </c>
    </row>
    <row r="319" spans="1:12" s="8" customFormat="1" ht="15.75" x14ac:dyDescent="0.25">
      <c r="A319" s="15" t="s">
        <v>923</v>
      </c>
      <c r="B319" s="16"/>
      <c r="C319" s="25" t="s">
        <v>931</v>
      </c>
      <c r="D319" s="38"/>
      <c r="E319" s="13"/>
      <c r="F319" s="50"/>
      <c r="G319" s="71"/>
      <c r="H319" s="71"/>
      <c r="I319" s="72"/>
      <c r="J319" s="71"/>
      <c r="K319" s="71">
        <v>1</v>
      </c>
      <c r="L319" s="71">
        <f t="shared" si="13"/>
        <v>-1</v>
      </c>
    </row>
    <row r="320" spans="1:12" s="8" customFormat="1" ht="15.75" x14ac:dyDescent="0.25">
      <c r="A320" s="15" t="s">
        <v>932</v>
      </c>
      <c r="B320" s="16"/>
      <c r="C320" s="68" t="s">
        <v>934</v>
      </c>
      <c r="D320" s="38"/>
      <c r="E320" s="13"/>
      <c r="F320" s="50"/>
      <c r="G320" s="71"/>
      <c r="H320" s="71"/>
      <c r="I320" s="72"/>
      <c r="J320" s="71"/>
      <c r="K320" s="71">
        <f>1+1+15</f>
        <v>17</v>
      </c>
      <c r="L320" s="71">
        <f t="shared" si="13"/>
        <v>-17</v>
      </c>
    </row>
    <row r="321" spans="1:14" s="8" customFormat="1" ht="15.75" x14ac:dyDescent="0.25">
      <c r="A321" s="15" t="s">
        <v>933</v>
      </c>
      <c r="B321" s="16">
        <v>44193</v>
      </c>
      <c r="C321" s="25" t="s">
        <v>613</v>
      </c>
      <c r="D321" s="38">
        <v>25</v>
      </c>
      <c r="E321" s="13">
        <v>5.78</v>
      </c>
      <c r="F321" s="50">
        <f>+D321*E321</f>
        <v>144.5</v>
      </c>
      <c r="G321" s="71"/>
      <c r="H321" s="71"/>
      <c r="I321" s="72"/>
      <c r="J321" s="71"/>
      <c r="K321" s="71">
        <v>1</v>
      </c>
      <c r="L321" s="71">
        <f t="shared" si="13"/>
        <v>24</v>
      </c>
    </row>
    <row r="322" spans="1:14" s="8" customFormat="1" ht="15.75" x14ac:dyDescent="0.25">
      <c r="A322" s="15" t="s">
        <v>936</v>
      </c>
      <c r="B322" s="16"/>
      <c r="C322" s="25" t="s">
        <v>935</v>
      </c>
      <c r="D322" s="38"/>
      <c r="E322" s="13"/>
      <c r="F322" s="50"/>
      <c r="G322" s="71"/>
      <c r="H322" s="71"/>
      <c r="I322" s="72"/>
      <c r="J322" s="71"/>
      <c r="K322" s="71">
        <v>2</v>
      </c>
      <c r="L322" s="71">
        <f t="shared" si="13"/>
        <v>-2</v>
      </c>
    </row>
    <row r="323" spans="1:14" s="8" customFormat="1" ht="15.75" x14ac:dyDescent="0.25">
      <c r="A323" s="15" t="s">
        <v>937</v>
      </c>
      <c r="B323" s="16"/>
      <c r="C323" s="25" t="s">
        <v>939</v>
      </c>
      <c r="D323" s="38"/>
      <c r="E323" s="13"/>
      <c r="F323" s="50"/>
      <c r="G323" s="71"/>
      <c r="H323" s="71"/>
      <c r="I323" s="72"/>
      <c r="J323" s="71"/>
      <c r="K323" s="71">
        <v>1</v>
      </c>
      <c r="L323" s="71">
        <f t="shared" si="13"/>
        <v>-1</v>
      </c>
    </row>
    <row r="324" spans="1:14" s="8" customFormat="1" ht="15.75" x14ac:dyDescent="0.25">
      <c r="A324" s="76" t="s">
        <v>938</v>
      </c>
      <c r="B324" s="77"/>
      <c r="C324" s="27" t="s">
        <v>940</v>
      </c>
      <c r="D324" s="37"/>
      <c r="E324" s="78"/>
      <c r="F324" s="79"/>
      <c r="G324" s="80"/>
      <c r="H324" s="80"/>
      <c r="I324" s="81"/>
      <c r="J324" s="80"/>
      <c r="K324" s="80">
        <v>1</v>
      </c>
      <c r="L324" s="80">
        <f t="shared" si="13"/>
        <v>-1</v>
      </c>
    </row>
    <row r="325" spans="1:14" s="8" customFormat="1" ht="15.75" x14ac:dyDescent="0.25">
      <c r="A325" s="15" t="s">
        <v>941</v>
      </c>
      <c r="B325" s="16"/>
      <c r="C325" s="25" t="s">
        <v>942</v>
      </c>
      <c r="D325" s="38"/>
      <c r="E325" s="13"/>
      <c r="F325" s="50"/>
      <c r="G325" s="73">
        <v>44778</v>
      </c>
      <c r="H325" s="71">
        <f>120*12</f>
        <v>1440</v>
      </c>
      <c r="I325" s="72">
        <f>111864/H325</f>
        <v>77.683333333333337</v>
      </c>
      <c r="J325" s="72">
        <f>+I325*H325</f>
        <v>111864</v>
      </c>
      <c r="K325" s="71">
        <v>1</v>
      </c>
      <c r="L325" s="71">
        <f t="shared" ref="L325" si="16">+D325+H325-K325</f>
        <v>1439</v>
      </c>
      <c r="M325" s="71"/>
      <c r="N325" s="71" t="s">
        <v>946</v>
      </c>
    </row>
    <row r="326" spans="1:14" s="8" customFormat="1" ht="15.75" x14ac:dyDescent="0.25">
      <c r="A326" s="15" t="s">
        <v>948</v>
      </c>
      <c r="B326" s="16"/>
      <c r="C326" s="25" t="s">
        <v>949</v>
      </c>
      <c r="D326" s="38"/>
      <c r="E326" s="13"/>
      <c r="F326" s="50"/>
      <c r="G326" s="71"/>
      <c r="H326" s="71"/>
      <c r="I326" s="72"/>
      <c r="J326" s="71"/>
      <c r="K326" s="71">
        <v>1</v>
      </c>
      <c r="L326" s="71">
        <f t="shared" ref="L326" si="17">+D326+H326-K326</f>
        <v>-1</v>
      </c>
      <c r="M326" s="71"/>
      <c r="N326" s="71" t="s">
        <v>946</v>
      </c>
    </row>
    <row r="327" spans="1:14" s="8" customFormat="1" ht="15.75" x14ac:dyDescent="0.25">
      <c r="A327" s="15"/>
      <c r="B327" s="16"/>
      <c r="C327" s="25"/>
      <c r="D327" s="38"/>
      <c r="E327" s="13"/>
      <c r="F327" s="50"/>
      <c r="G327" s="71"/>
      <c r="H327" s="71"/>
      <c r="I327" s="72"/>
      <c r="J327" s="71"/>
      <c r="K327" s="71"/>
      <c r="L327" s="71"/>
      <c r="M327" s="71"/>
      <c r="N327" s="71"/>
    </row>
    <row r="328" spans="1:14" s="8" customFormat="1" ht="15.75" x14ac:dyDescent="0.25">
      <c r="A328" s="15"/>
      <c r="B328" s="16"/>
      <c r="C328" s="25"/>
      <c r="D328" s="38"/>
      <c r="E328" s="13"/>
      <c r="F328" s="50"/>
      <c r="G328" s="71"/>
      <c r="H328" s="71"/>
      <c r="I328" s="72"/>
      <c r="J328" s="71"/>
      <c r="K328" s="71"/>
      <c r="L328" s="71"/>
      <c r="M328" s="71"/>
      <c r="N328" s="71"/>
    </row>
    <row r="329" spans="1:14" x14ac:dyDescent="0.25">
      <c r="A329" s="69" t="s">
        <v>98</v>
      </c>
      <c r="B329" s="241"/>
      <c r="C329" s="242"/>
      <c r="D329" s="242"/>
      <c r="E329" s="243"/>
      <c r="F329" s="70">
        <f>SUM(F9:F324)</f>
        <v>1795101.9203600003</v>
      </c>
    </row>
    <row r="330" spans="1:14" s="2" customFormat="1" ht="60.75" hidden="1" customHeight="1" x14ac:dyDescent="0.25">
      <c r="C330" s="43"/>
      <c r="I330" s="65"/>
    </row>
    <row r="331" spans="1:14" ht="15.75" x14ac:dyDescent="0.25">
      <c r="C331" s="12"/>
    </row>
    <row r="332" spans="1:14" ht="23.25" customHeight="1" x14ac:dyDescent="0.25">
      <c r="A332" t="s">
        <v>7</v>
      </c>
      <c r="C332" s="12"/>
    </row>
    <row r="333" spans="1:14" ht="15.75" x14ac:dyDescent="0.25">
      <c r="C333" s="12"/>
    </row>
    <row r="334" spans="1:14" ht="23.25" customHeight="1" x14ac:dyDescent="0.25">
      <c r="B334" t="s">
        <v>531</v>
      </c>
      <c r="C334" s="12"/>
    </row>
    <row r="335" spans="1:14" ht="15.75" x14ac:dyDescent="0.25">
      <c r="C335" s="12"/>
    </row>
    <row r="336" spans="1:14" ht="15.75" x14ac:dyDescent="0.25">
      <c r="A336" s="3" t="s">
        <v>5</v>
      </c>
      <c r="C336" s="12"/>
    </row>
    <row r="337" spans="1:3" ht="15.75" x14ac:dyDescent="0.25">
      <c r="C337" s="12"/>
    </row>
    <row r="338" spans="1:3" ht="15.75" x14ac:dyDescent="0.25">
      <c r="A338" s="3"/>
      <c r="C338" s="12"/>
    </row>
    <row r="339" spans="1:3" ht="15.75" x14ac:dyDescent="0.25">
      <c r="A339" s="7" t="s">
        <v>924</v>
      </c>
      <c r="C339" s="12"/>
    </row>
    <row r="340" spans="1:3" ht="15.75" x14ac:dyDescent="0.25">
      <c r="A340" t="s">
        <v>925</v>
      </c>
      <c r="C340" s="12"/>
    </row>
    <row r="341" spans="1:3" ht="15.75" x14ac:dyDescent="0.25">
      <c r="C341" s="12" t="s">
        <v>506</v>
      </c>
    </row>
    <row r="342" spans="1:3" ht="15.75" x14ac:dyDescent="0.25">
      <c r="C342" s="12"/>
    </row>
    <row r="343" spans="1:3" ht="15.75" x14ac:dyDescent="0.25">
      <c r="C343" s="12"/>
    </row>
    <row r="344" spans="1:3" ht="15.75" x14ac:dyDescent="0.25">
      <c r="C344" s="12"/>
    </row>
    <row r="345" spans="1:3" ht="15.75" x14ac:dyDescent="0.25">
      <c r="C345" s="12"/>
    </row>
    <row r="346" spans="1:3" ht="15.75" x14ac:dyDescent="0.25">
      <c r="C346" s="12"/>
    </row>
    <row r="347" spans="1:3" ht="15.75" x14ac:dyDescent="0.25">
      <c r="C347" s="12"/>
    </row>
    <row r="348" spans="1:3" ht="15.75" x14ac:dyDescent="0.25">
      <c r="C348" s="12"/>
    </row>
  </sheetData>
  <mergeCells count="4">
    <mergeCell ref="A3:F3"/>
    <mergeCell ref="A4:F4"/>
    <mergeCell ref="A5:F5"/>
    <mergeCell ref="B329:E329"/>
  </mergeCells>
  <phoneticPr fontId="12" type="noConversion"/>
  <pageMargins left="0.7" right="0.7" top="0.75" bottom="0.75" header="0.3" footer="0.3"/>
  <pageSetup scale="48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7"/>
  <sheetViews>
    <sheetView topLeftCell="A112" zoomScale="120" zoomScaleNormal="120" workbookViewId="0">
      <selection sqref="A1:XFD1048576"/>
    </sheetView>
  </sheetViews>
  <sheetFormatPr baseColWidth="10" defaultColWidth="11.42578125" defaultRowHeight="15" x14ac:dyDescent="0.25"/>
  <cols>
    <col min="1" max="1" width="16" customWidth="1"/>
    <col min="2" max="2" width="32.5703125" customWidth="1"/>
    <col min="3" max="3" width="51.28515625" customWidth="1"/>
    <col min="4" max="4" width="14.140625" customWidth="1"/>
    <col min="5" max="5" width="17.140625" hidden="1" customWidth="1"/>
    <col min="6" max="6" width="22.42578125" hidden="1" customWidth="1"/>
    <col min="7" max="7" width="18.5703125" hidden="1" customWidth="1"/>
    <col min="8" max="8" width="11.140625" hidden="1" customWidth="1"/>
    <col min="9" max="9" width="16.85546875" style="63" hidden="1" customWidth="1"/>
    <col min="10" max="10" width="13.140625" hidden="1" customWidth="1"/>
    <col min="11" max="11" width="13.140625" customWidth="1"/>
    <col min="13" max="13" width="13.42578125" bestFit="1" customWidth="1"/>
    <col min="14" max="14" width="17.7109375" bestFit="1" customWidth="1"/>
  </cols>
  <sheetData>
    <row r="3" spans="1:14" ht="26.25" x14ac:dyDescent="0.4">
      <c r="A3" s="234" t="s">
        <v>0</v>
      </c>
      <c r="B3" s="234"/>
      <c r="C3" s="234"/>
      <c r="D3" s="234"/>
      <c r="E3" s="234"/>
      <c r="F3" s="234"/>
    </row>
    <row r="4" spans="1:14" x14ac:dyDescent="0.25">
      <c r="A4" s="235" t="s">
        <v>1</v>
      </c>
      <c r="B4" s="236"/>
      <c r="C4" s="236"/>
      <c r="D4" s="236"/>
      <c r="E4" s="236"/>
      <c r="F4" s="236"/>
    </row>
    <row r="5" spans="1:14" ht="18.75" x14ac:dyDescent="0.3">
      <c r="A5" s="237" t="s">
        <v>955</v>
      </c>
      <c r="B5" s="237"/>
      <c r="C5" s="237"/>
      <c r="D5" s="237"/>
      <c r="E5" s="237"/>
      <c r="F5" s="237"/>
    </row>
    <row r="7" spans="1:14" ht="23.25" x14ac:dyDescent="0.25">
      <c r="H7" s="62">
        <v>44743</v>
      </c>
    </row>
    <row r="8" spans="1:14" ht="45" x14ac:dyDescent="0.25">
      <c r="A8" s="82" t="s">
        <v>118</v>
      </c>
      <c r="B8" s="82" t="s">
        <v>9</v>
      </c>
      <c r="C8" s="83" t="s">
        <v>2</v>
      </c>
      <c r="D8" s="83" t="s">
        <v>3</v>
      </c>
      <c r="E8" s="83" t="s">
        <v>117</v>
      </c>
      <c r="F8" s="83" t="s">
        <v>4</v>
      </c>
      <c r="G8" s="82" t="s">
        <v>9</v>
      </c>
      <c r="H8" s="83" t="s">
        <v>915</v>
      </c>
      <c r="I8" s="84" t="s">
        <v>117</v>
      </c>
      <c r="J8" s="83" t="s">
        <v>4</v>
      </c>
      <c r="K8" s="83" t="s">
        <v>929</v>
      </c>
      <c r="L8" s="83" t="s">
        <v>914</v>
      </c>
      <c r="M8" s="83" t="s">
        <v>927</v>
      </c>
      <c r="N8" s="83" t="s">
        <v>944</v>
      </c>
    </row>
    <row r="9" spans="1:14" s="8" customFormat="1" ht="15.75" x14ac:dyDescent="0.25">
      <c r="A9" s="15" t="s">
        <v>11</v>
      </c>
      <c r="B9" s="16">
        <v>44652</v>
      </c>
      <c r="C9" s="25" t="s">
        <v>857</v>
      </c>
      <c r="D9" s="14">
        <f>18*30</f>
        <v>540</v>
      </c>
      <c r="E9" s="13">
        <v>850</v>
      </c>
      <c r="F9" s="50">
        <f>+E9*18</f>
        <v>15300</v>
      </c>
      <c r="G9" s="71"/>
      <c r="H9" s="71"/>
      <c r="I9" s="72"/>
      <c r="J9" s="71"/>
      <c r="K9" s="71">
        <f>4+2+2+2+5</f>
        <v>15</v>
      </c>
      <c r="L9" s="71">
        <f>+D9+H9-K9</f>
        <v>525</v>
      </c>
      <c r="M9" s="71"/>
      <c r="N9" s="71" t="s">
        <v>945</v>
      </c>
    </row>
    <row r="10" spans="1:14" s="8" customFormat="1" ht="15.75" x14ac:dyDescent="0.25">
      <c r="A10" s="15" t="s">
        <v>120</v>
      </c>
      <c r="B10" s="16">
        <v>44193</v>
      </c>
      <c r="C10" s="25" t="s">
        <v>533</v>
      </c>
      <c r="D10" s="14">
        <v>43</v>
      </c>
      <c r="E10" s="13">
        <v>215</v>
      </c>
      <c r="F10" s="50">
        <f>D10*E10</f>
        <v>9245</v>
      </c>
      <c r="G10" s="71"/>
      <c r="H10" s="71"/>
      <c r="I10" s="72"/>
      <c r="J10" s="71"/>
      <c r="K10" s="71"/>
      <c r="L10" s="71">
        <f t="shared" ref="L10:L73" si="0">+D10+H10-K10</f>
        <v>43</v>
      </c>
      <c r="M10" s="71"/>
      <c r="N10" s="71" t="s">
        <v>946</v>
      </c>
    </row>
    <row r="11" spans="1:14" s="8" customFormat="1" ht="15.75" x14ac:dyDescent="0.25">
      <c r="A11" s="15" t="s">
        <v>12</v>
      </c>
      <c r="B11" s="16">
        <v>44453</v>
      </c>
      <c r="C11" s="25" t="s">
        <v>534</v>
      </c>
      <c r="D11" s="14">
        <f>2+9</f>
        <v>11</v>
      </c>
      <c r="E11" s="13">
        <v>1350</v>
      </c>
      <c r="F11" s="50">
        <f>D11*E11</f>
        <v>14850</v>
      </c>
      <c r="G11" s="71"/>
      <c r="H11" s="71"/>
      <c r="I11" s="72"/>
      <c r="J11" s="71"/>
      <c r="K11" s="71"/>
      <c r="L11" s="71">
        <f t="shared" si="0"/>
        <v>11</v>
      </c>
      <c r="M11" s="71"/>
      <c r="N11" s="71" t="s">
        <v>946</v>
      </c>
    </row>
    <row r="12" spans="1:14" s="8" customFormat="1" ht="15.75" x14ac:dyDescent="0.25">
      <c r="A12" s="15" t="s">
        <v>121</v>
      </c>
      <c r="B12" s="16">
        <v>44193</v>
      </c>
      <c r="C12" s="25" t="s">
        <v>535</v>
      </c>
      <c r="D12" s="30">
        <v>0</v>
      </c>
      <c r="E12" s="13">
        <v>127.12</v>
      </c>
      <c r="F12" s="50">
        <f t="shared" ref="F12:F24" si="1">D12*E12</f>
        <v>0</v>
      </c>
      <c r="G12" s="71"/>
      <c r="H12" s="71"/>
      <c r="I12" s="72"/>
      <c r="J12" s="71"/>
      <c r="K12" s="71"/>
      <c r="L12" s="71">
        <f t="shared" si="0"/>
        <v>0</v>
      </c>
      <c r="M12" s="71"/>
      <c r="N12" s="71" t="s">
        <v>946</v>
      </c>
    </row>
    <row r="13" spans="1:14" s="8" customFormat="1" ht="15.75" x14ac:dyDescent="0.25">
      <c r="A13" s="15" t="s">
        <v>122</v>
      </c>
      <c r="B13" s="16">
        <v>44193</v>
      </c>
      <c r="C13" s="25" t="s">
        <v>838</v>
      </c>
      <c r="D13" s="38">
        <v>1</v>
      </c>
      <c r="E13" s="13">
        <v>30</v>
      </c>
      <c r="F13" s="50">
        <f t="shared" si="1"/>
        <v>30</v>
      </c>
      <c r="G13" s="71"/>
      <c r="H13" s="71"/>
      <c r="I13" s="72"/>
      <c r="J13" s="71"/>
      <c r="K13" s="71"/>
      <c r="L13" s="71">
        <f t="shared" si="0"/>
        <v>1</v>
      </c>
      <c r="M13" s="71"/>
      <c r="N13" s="71" t="s">
        <v>946</v>
      </c>
    </row>
    <row r="14" spans="1:14" s="8" customFormat="1" ht="15.75" x14ac:dyDescent="0.25">
      <c r="A14" s="15" t="s">
        <v>123</v>
      </c>
      <c r="B14" s="16">
        <v>44193</v>
      </c>
      <c r="C14" s="25" t="s">
        <v>840</v>
      </c>
      <c r="D14" s="14">
        <v>10</v>
      </c>
      <c r="E14" s="13">
        <v>11</v>
      </c>
      <c r="F14" s="50">
        <f t="shared" si="1"/>
        <v>110</v>
      </c>
      <c r="G14" s="71"/>
      <c r="H14" s="71"/>
      <c r="I14" s="72"/>
      <c r="J14" s="71"/>
      <c r="K14" s="71"/>
      <c r="L14" s="71">
        <f t="shared" si="0"/>
        <v>10</v>
      </c>
      <c r="M14" s="71"/>
      <c r="N14" s="71" t="s">
        <v>946</v>
      </c>
    </row>
    <row r="15" spans="1:14" s="8" customFormat="1" ht="15.75" x14ac:dyDescent="0.25">
      <c r="A15" s="15" t="s">
        <v>13</v>
      </c>
      <c r="B15" s="16">
        <v>44193</v>
      </c>
      <c r="C15" s="25" t="s">
        <v>536</v>
      </c>
      <c r="D15" s="14">
        <f>49+60+2</f>
        <v>111</v>
      </c>
      <c r="E15" s="13">
        <v>15.84</v>
      </c>
      <c r="F15" s="50">
        <f t="shared" si="1"/>
        <v>1758.24</v>
      </c>
      <c r="G15" s="71"/>
      <c r="H15" s="71"/>
      <c r="I15" s="72"/>
      <c r="J15" s="71"/>
      <c r="K15" s="71"/>
      <c r="L15" s="71">
        <f t="shared" si="0"/>
        <v>111</v>
      </c>
      <c r="M15" s="71"/>
      <c r="N15" s="71" t="s">
        <v>946</v>
      </c>
    </row>
    <row r="16" spans="1:14" s="8" customFormat="1" ht="15.75" x14ac:dyDescent="0.25">
      <c r="A16" s="15" t="s">
        <v>14</v>
      </c>
      <c r="B16" s="16">
        <v>44193</v>
      </c>
      <c r="C16" s="25" t="s">
        <v>537</v>
      </c>
      <c r="D16" s="14">
        <v>52</v>
      </c>
      <c r="E16" s="13">
        <v>22.41</v>
      </c>
      <c r="F16" s="50">
        <f t="shared" si="1"/>
        <v>1165.32</v>
      </c>
      <c r="G16" s="71"/>
      <c r="H16" s="71"/>
      <c r="I16" s="72"/>
      <c r="J16" s="71"/>
      <c r="K16" s="71"/>
      <c r="L16" s="71">
        <f t="shared" si="0"/>
        <v>52</v>
      </c>
      <c r="M16" s="71"/>
      <c r="N16" s="71" t="s">
        <v>946</v>
      </c>
    </row>
    <row r="17" spans="1:14" s="8" customFormat="1" ht="15.75" x14ac:dyDescent="0.25">
      <c r="A17" s="15" t="s">
        <v>15</v>
      </c>
      <c r="B17" s="16">
        <v>44193</v>
      </c>
      <c r="C17" s="25" t="s">
        <v>538</v>
      </c>
      <c r="D17" s="14">
        <v>42</v>
      </c>
      <c r="E17" s="13">
        <v>5.5</v>
      </c>
      <c r="F17" s="50">
        <f t="shared" si="1"/>
        <v>231</v>
      </c>
      <c r="G17" s="71"/>
      <c r="H17" s="71"/>
      <c r="I17" s="72"/>
      <c r="J17" s="71"/>
      <c r="K17" s="71"/>
      <c r="L17" s="71">
        <f t="shared" si="0"/>
        <v>42</v>
      </c>
      <c r="M17" s="71"/>
      <c r="N17" s="71" t="s">
        <v>946</v>
      </c>
    </row>
    <row r="18" spans="1:14" s="8" customFormat="1" ht="15.75" x14ac:dyDescent="0.25">
      <c r="A18" s="15" t="s">
        <v>124</v>
      </c>
      <c r="B18" s="16">
        <v>44193</v>
      </c>
      <c r="C18" s="25" t="s">
        <v>539</v>
      </c>
      <c r="D18" s="14">
        <v>32</v>
      </c>
      <c r="E18" s="13">
        <v>78.099999999999994</v>
      </c>
      <c r="F18" s="50">
        <f t="shared" si="1"/>
        <v>2499.1999999999998</v>
      </c>
      <c r="G18" s="71"/>
      <c r="H18" s="71"/>
      <c r="I18" s="72"/>
      <c r="J18" s="71"/>
      <c r="K18" s="71"/>
      <c r="L18" s="71">
        <f t="shared" si="0"/>
        <v>32</v>
      </c>
      <c r="M18" s="71"/>
      <c r="N18" s="71" t="s">
        <v>946</v>
      </c>
    </row>
    <row r="19" spans="1:14" s="8" customFormat="1" ht="15.75" x14ac:dyDescent="0.25">
      <c r="A19" s="15" t="s">
        <v>16</v>
      </c>
      <c r="B19" s="16" t="s">
        <v>107</v>
      </c>
      <c r="C19" s="25" t="s">
        <v>540</v>
      </c>
      <c r="D19" s="14">
        <v>131</v>
      </c>
      <c r="E19" s="13">
        <v>5.17</v>
      </c>
      <c r="F19" s="50">
        <f t="shared" si="1"/>
        <v>677.27</v>
      </c>
      <c r="G19" s="71"/>
      <c r="H19" s="71"/>
      <c r="I19" s="72"/>
      <c r="J19" s="71"/>
      <c r="K19" s="71"/>
      <c r="L19" s="71">
        <f t="shared" si="0"/>
        <v>131</v>
      </c>
      <c r="M19" s="71"/>
      <c r="N19" s="71" t="s">
        <v>946</v>
      </c>
    </row>
    <row r="20" spans="1:14" s="8" customFormat="1" ht="15.75" x14ac:dyDescent="0.25">
      <c r="A20" s="15" t="s">
        <v>17</v>
      </c>
      <c r="B20" s="16" t="s">
        <v>107</v>
      </c>
      <c r="C20" s="25" t="s">
        <v>541</v>
      </c>
      <c r="D20" s="14">
        <v>10</v>
      </c>
      <c r="E20" s="51">
        <v>15</v>
      </c>
      <c r="F20" s="50">
        <f t="shared" si="1"/>
        <v>150</v>
      </c>
      <c r="G20" s="71"/>
      <c r="H20" s="71"/>
      <c r="I20" s="72"/>
      <c r="J20" s="71"/>
      <c r="K20" s="71"/>
      <c r="L20" s="71">
        <f t="shared" si="0"/>
        <v>10</v>
      </c>
      <c r="M20" s="71"/>
      <c r="N20" s="71" t="s">
        <v>946</v>
      </c>
    </row>
    <row r="21" spans="1:14" s="8" customFormat="1" ht="15.75" x14ac:dyDescent="0.25">
      <c r="A21" s="15" t="s">
        <v>18</v>
      </c>
      <c r="B21" s="16">
        <v>44193</v>
      </c>
      <c r="C21" s="25" t="s">
        <v>542</v>
      </c>
      <c r="D21" s="30">
        <f>4+7+1</f>
        <v>12</v>
      </c>
      <c r="E21" s="13">
        <v>15</v>
      </c>
      <c r="F21" s="50">
        <f t="shared" si="1"/>
        <v>180</v>
      </c>
      <c r="G21" s="71"/>
      <c r="H21" s="71"/>
      <c r="I21" s="72"/>
      <c r="J21" s="71"/>
      <c r="K21" s="71"/>
      <c r="L21" s="71">
        <f t="shared" si="0"/>
        <v>12</v>
      </c>
      <c r="M21" s="71"/>
      <c r="N21" s="71" t="s">
        <v>946</v>
      </c>
    </row>
    <row r="22" spans="1:14" s="8" customFormat="1" ht="15.75" x14ac:dyDescent="0.25">
      <c r="A22" s="15" t="s">
        <v>19</v>
      </c>
      <c r="B22" s="16">
        <v>44193</v>
      </c>
      <c r="C22" s="25" t="s">
        <v>543</v>
      </c>
      <c r="D22" s="30">
        <v>8</v>
      </c>
      <c r="E22" s="22">
        <v>15</v>
      </c>
      <c r="F22" s="50">
        <f t="shared" si="1"/>
        <v>120</v>
      </c>
      <c r="G22" s="71"/>
      <c r="H22" s="71"/>
      <c r="I22" s="72"/>
      <c r="J22" s="71"/>
      <c r="K22" s="71"/>
      <c r="L22" s="71">
        <f t="shared" si="0"/>
        <v>8</v>
      </c>
      <c r="M22" s="71"/>
      <c r="N22" s="71" t="s">
        <v>946</v>
      </c>
    </row>
    <row r="23" spans="1:14" s="8" customFormat="1" ht="15.75" x14ac:dyDescent="0.25">
      <c r="A23" s="15" t="s">
        <v>20</v>
      </c>
      <c r="B23" s="16">
        <v>44193</v>
      </c>
      <c r="C23" s="25" t="s">
        <v>835</v>
      </c>
      <c r="D23" s="30">
        <v>1</v>
      </c>
      <c r="E23" s="22">
        <v>15</v>
      </c>
      <c r="F23" s="50">
        <f t="shared" si="1"/>
        <v>15</v>
      </c>
      <c r="G23" s="71"/>
      <c r="H23" s="71"/>
      <c r="I23" s="72"/>
      <c r="J23" s="71"/>
      <c r="K23" s="71"/>
      <c r="L23" s="71">
        <f t="shared" si="0"/>
        <v>1</v>
      </c>
      <c r="M23" s="71"/>
      <c r="N23" s="71" t="s">
        <v>946</v>
      </c>
    </row>
    <row r="24" spans="1:14" s="8" customFormat="1" ht="15.75" x14ac:dyDescent="0.25">
      <c r="A24" s="15" t="s">
        <v>21</v>
      </c>
      <c r="B24" s="16" t="s">
        <v>107</v>
      </c>
      <c r="C24" s="25" t="s">
        <v>544</v>
      </c>
      <c r="D24" s="30">
        <v>32</v>
      </c>
      <c r="E24" s="51">
        <v>15</v>
      </c>
      <c r="F24" s="50">
        <f t="shared" si="1"/>
        <v>480</v>
      </c>
      <c r="G24" s="71"/>
      <c r="H24" s="71"/>
      <c r="I24" s="72"/>
      <c r="J24" s="71"/>
      <c r="K24" s="71"/>
      <c r="L24" s="71">
        <f t="shared" si="0"/>
        <v>32</v>
      </c>
      <c r="M24" s="71"/>
      <c r="N24" s="71" t="s">
        <v>946</v>
      </c>
    </row>
    <row r="25" spans="1:14" s="8" customFormat="1" ht="15.75" x14ac:dyDescent="0.25">
      <c r="A25" s="15" t="s">
        <v>23</v>
      </c>
      <c r="B25" s="16">
        <v>44193</v>
      </c>
      <c r="C25" s="25" t="s">
        <v>811</v>
      </c>
      <c r="D25" s="30">
        <v>24</v>
      </c>
      <c r="E25" s="51"/>
      <c r="F25" s="50"/>
      <c r="G25" s="71"/>
      <c r="H25" s="71"/>
      <c r="I25" s="72"/>
      <c r="J25" s="71"/>
      <c r="K25" s="71">
        <f>1+3</f>
        <v>4</v>
      </c>
      <c r="L25" s="71">
        <f t="shared" si="0"/>
        <v>20</v>
      </c>
      <c r="M25" s="71"/>
      <c r="N25" s="71" t="s">
        <v>946</v>
      </c>
    </row>
    <row r="26" spans="1:14" s="8" customFormat="1" ht="15.75" x14ac:dyDescent="0.25">
      <c r="A26" s="15" t="s">
        <v>24</v>
      </c>
      <c r="B26" s="16">
        <v>44193</v>
      </c>
      <c r="C26" s="25" t="s">
        <v>809</v>
      </c>
      <c r="D26" s="30">
        <v>12</v>
      </c>
      <c r="E26" s="51"/>
      <c r="F26" s="50"/>
      <c r="G26" s="71"/>
      <c r="H26" s="71"/>
      <c r="I26" s="72"/>
      <c r="J26" s="71"/>
      <c r="K26" s="71"/>
      <c r="L26" s="71">
        <f t="shared" si="0"/>
        <v>12</v>
      </c>
      <c r="M26" s="71"/>
      <c r="N26" s="71" t="s">
        <v>946</v>
      </c>
    </row>
    <row r="27" spans="1:14" s="8" customFormat="1" ht="15.75" x14ac:dyDescent="0.25">
      <c r="A27" s="15" t="s">
        <v>110</v>
      </c>
      <c r="B27" s="16">
        <v>44193</v>
      </c>
      <c r="C27" s="9" t="s">
        <v>545</v>
      </c>
      <c r="D27" s="31">
        <v>10</v>
      </c>
      <c r="E27" s="13">
        <v>225</v>
      </c>
      <c r="F27" s="50">
        <f>D27*E27</f>
        <v>2250</v>
      </c>
      <c r="G27" s="71"/>
      <c r="H27" s="71"/>
      <c r="I27" s="72"/>
      <c r="J27" s="71"/>
      <c r="K27" s="71"/>
      <c r="L27" s="71">
        <f t="shared" si="0"/>
        <v>10</v>
      </c>
      <c r="M27" s="71"/>
      <c r="N27" s="71" t="s">
        <v>945</v>
      </c>
    </row>
    <row r="28" spans="1:14" s="8" customFormat="1" ht="15.75" x14ac:dyDescent="0.25">
      <c r="A28" s="15" t="s">
        <v>125</v>
      </c>
      <c r="B28" s="16">
        <v>44193</v>
      </c>
      <c r="C28" s="25" t="s">
        <v>546</v>
      </c>
      <c r="D28" s="30">
        <v>0</v>
      </c>
      <c r="E28" s="13">
        <v>68</v>
      </c>
      <c r="F28" s="50">
        <f>D28*E28</f>
        <v>0</v>
      </c>
      <c r="G28" s="71"/>
      <c r="H28" s="71"/>
      <c r="I28" s="72"/>
      <c r="J28" s="71"/>
      <c r="K28" s="71"/>
      <c r="L28" s="71">
        <f t="shared" si="0"/>
        <v>0</v>
      </c>
      <c r="M28" s="71"/>
      <c r="N28" s="71" t="s">
        <v>946</v>
      </c>
    </row>
    <row r="29" spans="1:14" s="8" customFormat="1" ht="15.75" x14ac:dyDescent="0.25">
      <c r="A29" s="15" t="s">
        <v>25</v>
      </c>
      <c r="B29" s="16">
        <v>44193</v>
      </c>
      <c r="C29" s="25" t="s">
        <v>547</v>
      </c>
      <c r="D29" s="30">
        <v>4</v>
      </c>
      <c r="E29" s="13">
        <v>470</v>
      </c>
      <c r="F29" s="50">
        <f>D29*E29</f>
        <v>1880</v>
      </c>
      <c r="G29" s="71"/>
      <c r="H29" s="71"/>
      <c r="I29" s="72"/>
      <c r="J29" s="71"/>
      <c r="K29" s="71"/>
      <c r="L29" s="71">
        <f t="shared" si="0"/>
        <v>4</v>
      </c>
      <c r="M29" s="71"/>
      <c r="N29" s="71" t="s">
        <v>945</v>
      </c>
    </row>
    <row r="30" spans="1:14" s="8" customFormat="1" ht="15.75" x14ac:dyDescent="0.25">
      <c r="A30" s="15" t="s">
        <v>126</v>
      </c>
      <c r="B30" s="16" t="s">
        <v>107</v>
      </c>
      <c r="C30" s="26" t="s">
        <v>807</v>
      </c>
      <c r="D30" s="30">
        <v>70</v>
      </c>
      <c r="E30" s="13">
        <v>16.46</v>
      </c>
      <c r="F30" s="50">
        <f>+D30*E30</f>
        <v>1152.2</v>
      </c>
      <c r="G30" s="71"/>
      <c r="H30" s="71"/>
      <c r="I30" s="72"/>
      <c r="J30" s="71"/>
      <c r="K30" s="71"/>
      <c r="L30" s="71">
        <f t="shared" si="0"/>
        <v>70</v>
      </c>
      <c r="M30" s="71"/>
      <c r="N30" s="71" t="s">
        <v>946</v>
      </c>
    </row>
    <row r="31" spans="1:14" s="8" customFormat="1" ht="15.75" x14ac:dyDescent="0.25">
      <c r="A31" s="15" t="s">
        <v>26</v>
      </c>
      <c r="B31" s="16" t="s">
        <v>107</v>
      </c>
      <c r="C31" s="26" t="s">
        <v>549</v>
      </c>
      <c r="D31" s="30">
        <v>0</v>
      </c>
      <c r="E31" s="51">
        <v>6.4</v>
      </c>
      <c r="F31" s="50">
        <f>D31*E31</f>
        <v>0</v>
      </c>
      <c r="G31" s="71"/>
      <c r="H31" s="71"/>
      <c r="I31" s="72"/>
      <c r="J31" s="71"/>
      <c r="K31" s="71"/>
      <c r="L31" s="71">
        <f t="shared" si="0"/>
        <v>0</v>
      </c>
      <c r="M31" s="71"/>
      <c r="N31" s="71" t="s">
        <v>946</v>
      </c>
    </row>
    <row r="32" spans="1:14" s="8" customFormat="1" ht="15.75" x14ac:dyDescent="0.25">
      <c r="A32" s="15" t="s">
        <v>27</v>
      </c>
      <c r="B32" s="16">
        <v>44193</v>
      </c>
      <c r="C32" s="26" t="s">
        <v>550</v>
      </c>
      <c r="D32" s="30">
        <v>0</v>
      </c>
      <c r="E32" s="13">
        <v>105.93</v>
      </c>
      <c r="F32" s="50">
        <f>D32*E32</f>
        <v>0</v>
      </c>
      <c r="G32" s="71"/>
      <c r="H32" s="71"/>
      <c r="I32" s="72"/>
      <c r="J32" s="71"/>
      <c r="K32" s="71"/>
      <c r="L32" s="71">
        <f t="shared" si="0"/>
        <v>0</v>
      </c>
      <c r="M32" s="71"/>
      <c r="N32" s="71" t="s">
        <v>946</v>
      </c>
    </row>
    <row r="33" spans="1:14" s="8" customFormat="1" ht="15.75" x14ac:dyDescent="0.25">
      <c r="A33" s="15" t="s">
        <v>28</v>
      </c>
      <c r="B33" s="16">
        <v>44193</v>
      </c>
      <c r="C33" s="25" t="s">
        <v>806</v>
      </c>
      <c r="D33" s="38">
        <v>2</v>
      </c>
      <c r="E33" s="13">
        <v>160</v>
      </c>
      <c r="F33" s="50">
        <f>D33*E33</f>
        <v>320</v>
      </c>
      <c r="G33" s="71"/>
      <c r="H33" s="71"/>
      <c r="I33" s="72"/>
      <c r="J33" s="71"/>
      <c r="K33" s="71">
        <v>1</v>
      </c>
      <c r="L33" s="71">
        <f t="shared" si="0"/>
        <v>1</v>
      </c>
      <c r="M33" s="71"/>
      <c r="N33" s="71" t="s">
        <v>946</v>
      </c>
    </row>
    <row r="34" spans="1:14" s="8" customFormat="1" ht="15.75" x14ac:dyDescent="0.25">
      <c r="A34" s="15" t="s">
        <v>127</v>
      </c>
      <c r="B34" s="16">
        <v>44449</v>
      </c>
      <c r="C34" s="25" t="s">
        <v>551</v>
      </c>
      <c r="D34" s="30">
        <v>9</v>
      </c>
      <c r="E34" s="13">
        <v>600</v>
      </c>
      <c r="F34" s="50">
        <f t="shared" ref="F34:F62" si="2">D34*E34</f>
        <v>5400</v>
      </c>
      <c r="G34" s="71"/>
      <c r="H34" s="71"/>
      <c r="I34" s="72"/>
      <c r="J34" s="71"/>
      <c r="K34" s="71">
        <v>1</v>
      </c>
      <c r="L34" s="71">
        <f t="shared" si="0"/>
        <v>8</v>
      </c>
      <c r="M34" s="71"/>
      <c r="N34" s="71" t="s">
        <v>945</v>
      </c>
    </row>
    <row r="35" spans="1:14" s="8" customFormat="1" ht="15.75" x14ac:dyDescent="0.25">
      <c r="A35" s="15" t="s">
        <v>29</v>
      </c>
      <c r="B35" s="16">
        <v>44193</v>
      </c>
      <c r="C35" s="9" t="s">
        <v>552</v>
      </c>
      <c r="D35" s="30">
        <f>20+23</f>
        <v>43</v>
      </c>
      <c r="E35" s="13">
        <v>200</v>
      </c>
      <c r="F35" s="50">
        <f t="shared" si="2"/>
        <v>8600</v>
      </c>
      <c r="G35" s="71"/>
      <c r="H35" s="71"/>
      <c r="I35" s="72"/>
      <c r="J35" s="71"/>
      <c r="K35" s="71"/>
      <c r="L35" s="71">
        <f t="shared" si="0"/>
        <v>43</v>
      </c>
      <c r="M35" s="71"/>
      <c r="N35" s="71" t="s">
        <v>947</v>
      </c>
    </row>
    <row r="36" spans="1:14" s="8" customFormat="1" ht="15.75" x14ac:dyDescent="0.25">
      <c r="A36" s="15" t="s">
        <v>30</v>
      </c>
      <c r="B36" s="16">
        <v>44193</v>
      </c>
      <c r="C36" s="9" t="s">
        <v>553</v>
      </c>
      <c r="D36" s="30">
        <v>9</v>
      </c>
      <c r="E36" s="13">
        <v>200</v>
      </c>
      <c r="F36" s="50">
        <f t="shared" si="2"/>
        <v>1800</v>
      </c>
      <c r="G36" s="71"/>
      <c r="H36" s="71"/>
      <c r="I36" s="72"/>
      <c r="J36" s="71"/>
      <c r="K36" s="71"/>
      <c r="L36" s="71">
        <f t="shared" si="0"/>
        <v>9</v>
      </c>
      <c r="M36" s="71"/>
      <c r="N36" s="71" t="s">
        <v>947</v>
      </c>
    </row>
    <row r="37" spans="1:14" s="8" customFormat="1" ht="15.75" x14ac:dyDescent="0.25">
      <c r="A37" s="15" t="s">
        <v>99</v>
      </c>
      <c r="B37" s="16">
        <v>44193</v>
      </c>
      <c r="C37" s="25" t="s">
        <v>548</v>
      </c>
      <c r="D37" s="30">
        <v>36</v>
      </c>
      <c r="E37" s="13">
        <v>75</v>
      </c>
      <c r="F37" s="50">
        <f t="shared" si="2"/>
        <v>2700</v>
      </c>
      <c r="G37" s="71"/>
      <c r="H37" s="71"/>
      <c r="I37" s="72"/>
      <c r="J37" s="71"/>
      <c r="K37" s="71"/>
      <c r="L37" s="71">
        <f t="shared" si="0"/>
        <v>36</v>
      </c>
      <c r="M37" s="71"/>
      <c r="N37" s="71" t="s">
        <v>945</v>
      </c>
    </row>
    <row r="38" spans="1:14" s="8" customFormat="1" ht="15.75" x14ac:dyDescent="0.25">
      <c r="A38" s="15" t="s">
        <v>31</v>
      </c>
      <c r="B38" s="16">
        <v>44193</v>
      </c>
      <c r="C38" s="25" t="s">
        <v>554</v>
      </c>
      <c r="D38" s="30">
        <v>0</v>
      </c>
      <c r="E38" s="13">
        <v>4.24</v>
      </c>
      <c r="F38" s="50">
        <f t="shared" si="2"/>
        <v>0</v>
      </c>
      <c r="G38" s="71"/>
      <c r="H38" s="71"/>
      <c r="I38" s="72"/>
      <c r="J38" s="71"/>
      <c r="K38" s="71"/>
      <c r="L38" s="71">
        <f t="shared" si="0"/>
        <v>0</v>
      </c>
      <c r="M38" s="71"/>
      <c r="N38" s="71" t="s">
        <v>946</v>
      </c>
    </row>
    <row r="39" spans="1:14" s="8" customFormat="1" ht="15.75" x14ac:dyDescent="0.25">
      <c r="A39" s="15" t="s">
        <v>32</v>
      </c>
      <c r="B39" s="16">
        <v>44193</v>
      </c>
      <c r="C39" s="25" t="s">
        <v>555</v>
      </c>
      <c r="D39" s="30">
        <v>0</v>
      </c>
      <c r="E39" s="13">
        <v>3.39</v>
      </c>
      <c r="F39" s="50">
        <f t="shared" si="2"/>
        <v>0</v>
      </c>
      <c r="G39" s="71"/>
      <c r="H39" s="71"/>
      <c r="I39" s="72"/>
      <c r="J39" s="71"/>
      <c r="K39" s="71"/>
      <c r="L39" s="71">
        <f t="shared" si="0"/>
        <v>0</v>
      </c>
      <c r="M39" s="71"/>
      <c r="N39" s="71" t="s">
        <v>946</v>
      </c>
    </row>
    <row r="40" spans="1:14" s="8" customFormat="1" ht="15.75" x14ac:dyDescent="0.25">
      <c r="A40" s="15" t="s">
        <v>33</v>
      </c>
      <c r="B40" s="16">
        <v>44193</v>
      </c>
      <c r="C40" s="9" t="s">
        <v>556</v>
      </c>
      <c r="D40" s="30">
        <v>23</v>
      </c>
      <c r="E40" s="13">
        <v>1625</v>
      </c>
      <c r="F40" s="50">
        <f t="shared" si="2"/>
        <v>37375</v>
      </c>
      <c r="G40" s="71"/>
      <c r="H40" s="71"/>
      <c r="I40" s="72"/>
      <c r="J40" s="71"/>
      <c r="K40" s="71"/>
      <c r="L40" s="71">
        <f t="shared" si="0"/>
        <v>23</v>
      </c>
      <c r="M40" s="71"/>
      <c r="N40" s="71" t="s">
        <v>946</v>
      </c>
    </row>
    <row r="41" spans="1:14" s="8" customFormat="1" ht="15.75" x14ac:dyDescent="0.25">
      <c r="A41" s="15" t="s">
        <v>34</v>
      </c>
      <c r="B41" s="16">
        <v>44193</v>
      </c>
      <c r="C41" s="9" t="s">
        <v>557</v>
      </c>
      <c r="D41" s="30">
        <v>0</v>
      </c>
      <c r="E41" s="13">
        <v>1625</v>
      </c>
      <c r="F41" s="50">
        <f t="shared" si="2"/>
        <v>0</v>
      </c>
      <c r="G41" s="71"/>
      <c r="H41" s="71"/>
      <c r="I41" s="72"/>
      <c r="J41" s="71"/>
      <c r="K41" s="71"/>
      <c r="L41" s="71">
        <f t="shared" si="0"/>
        <v>0</v>
      </c>
      <c r="M41" s="71"/>
      <c r="N41" s="71" t="s">
        <v>946</v>
      </c>
    </row>
    <row r="42" spans="1:14" s="8" customFormat="1" ht="15.75" x14ac:dyDescent="0.25">
      <c r="A42" s="15" t="s">
        <v>111</v>
      </c>
      <c r="B42" s="16">
        <v>44193</v>
      </c>
      <c r="C42" s="9" t="s">
        <v>558</v>
      </c>
      <c r="D42" s="30">
        <v>10</v>
      </c>
      <c r="E42" s="13">
        <v>66.3</v>
      </c>
      <c r="F42" s="50">
        <f t="shared" si="2"/>
        <v>663</v>
      </c>
      <c r="G42" s="71"/>
      <c r="H42" s="71"/>
      <c r="I42" s="72"/>
      <c r="J42" s="71"/>
      <c r="K42" s="71">
        <v>1</v>
      </c>
      <c r="L42" s="71">
        <f t="shared" si="0"/>
        <v>9</v>
      </c>
      <c r="M42" s="71"/>
      <c r="N42" s="71" t="s">
        <v>947</v>
      </c>
    </row>
    <row r="43" spans="1:14" s="8" customFormat="1" ht="15.75" x14ac:dyDescent="0.25">
      <c r="A43" s="15" t="s">
        <v>128</v>
      </c>
      <c r="B43" s="16">
        <v>44488</v>
      </c>
      <c r="C43" s="26" t="s">
        <v>560</v>
      </c>
      <c r="D43" s="55">
        <v>13</v>
      </c>
      <c r="E43" s="13">
        <v>40</v>
      </c>
      <c r="F43" s="50">
        <f t="shared" si="2"/>
        <v>520</v>
      </c>
      <c r="G43" s="71"/>
      <c r="H43" s="71"/>
      <c r="I43" s="72"/>
      <c r="J43" s="71"/>
      <c r="K43" s="71"/>
      <c r="L43" s="71">
        <f t="shared" si="0"/>
        <v>13</v>
      </c>
      <c r="M43" s="71"/>
      <c r="N43" s="71" t="s">
        <v>946</v>
      </c>
    </row>
    <row r="44" spans="1:14" s="8" customFormat="1" ht="15.75" x14ac:dyDescent="0.25">
      <c r="A44" s="15" t="s">
        <v>129</v>
      </c>
      <c r="B44" s="16">
        <v>44193</v>
      </c>
      <c r="C44" s="9" t="s">
        <v>772</v>
      </c>
      <c r="D44" s="30">
        <v>23</v>
      </c>
      <c r="E44" s="13">
        <v>2.4</v>
      </c>
      <c r="F44" s="50">
        <f t="shared" si="2"/>
        <v>55.199999999999996</v>
      </c>
      <c r="G44" s="71"/>
      <c r="H44" s="71"/>
      <c r="I44" s="72"/>
      <c r="J44" s="71"/>
      <c r="K44" s="71">
        <f>12+2</f>
        <v>14</v>
      </c>
      <c r="L44" s="71">
        <f t="shared" si="0"/>
        <v>9</v>
      </c>
      <c r="M44" s="71"/>
      <c r="N44" s="71" t="s">
        <v>947</v>
      </c>
    </row>
    <row r="45" spans="1:14" s="8" customFormat="1" ht="15.75" x14ac:dyDescent="0.25">
      <c r="A45" s="15" t="s">
        <v>130</v>
      </c>
      <c r="B45" s="16">
        <v>44193</v>
      </c>
      <c r="C45" s="26" t="s">
        <v>562</v>
      </c>
      <c r="D45" s="32">
        <v>0</v>
      </c>
      <c r="E45" s="13">
        <v>700</v>
      </c>
      <c r="F45" s="50">
        <f t="shared" si="2"/>
        <v>0</v>
      </c>
      <c r="G45" s="71"/>
      <c r="H45" s="71"/>
      <c r="I45" s="72"/>
      <c r="J45" s="71"/>
      <c r="K45" s="71"/>
      <c r="L45" s="71">
        <f t="shared" si="0"/>
        <v>0</v>
      </c>
      <c r="M45" s="71"/>
      <c r="N45" s="71" t="s">
        <v>946</v>
      </c>
    </row>
    <row r="46" spans="1:14" s="8" customFormat="1" ht="15.75" x14ac:dyDescent="0.25">
      <c r="A46" s="15" t="s">
        <v>35</v>
      </c>
      <c r="B46" s="16">
        <v>44193</v>
      </c>
      <c r="C46" s="9" t="s">
        <v>563</v>
      </c>
      <c r="D46" s="30">
        <v>1</v>
      </c>
      <c r="E46" s="13">
        <v>35</v>
      </c>
      <c r="F46" s="50">
        <f t="shared" si="2"/>
        <v>35</v>
      </c>
      <c r="G46" s="71"/>
      <c r="H46" s="71"/>
      <c r="I46" s="72"/>
      <c r="J46" s="71"/>
      <c r="K46" s="71"/>
      <c r="L46" s="71">
        <f t="shared" si="0"/>
        <v>1</v>
      </c>
      <c r="M46" s="71"/>
      <c r="N46" s="71" t="s">
        <v>947</v>
      </c>
    </row>
    <row r="47" spans="1:14" s="8" customFormat="1" ht="15.75" x14ac:dyDescent="0.25">
      <c r="A47" s="15" t="s">
        <v>36</v>
      </c>
      <c r="B47" s="16">
        <v>44193</v>
      </c>
      <c r="C47" s="9" t="s">
        <v>564</v>
      </c>
      <c r="D47" s="30">
        <v>0</v>
      </c>
      <c r="E47" s="13">
        <v>2719</v>
      </c>
      <c r="F47" s="50">
        <f t="shared" si="2"/>
        <v>0</v>
      </c>
      <c r="G47" s="71"/>
      <c r="H47" s="71"/>
      <c r="I47" s="72"/>
      <c r="J47" s="71"/>
      <c r="K47" s="71"/>
      <c r="L47" s="71">
        <f t="shared" si="0"/>
        <v>0</v>
      </c>
      <c r="M47" s="71"/>
      <c r="N47" s="71" t="s">
        <v>945</v>
      </c>
    </row>
    <row r="48" spans="1:14" s="8" customFormat="1" ht="15.75" x14ac:dyDescent="0.25">
      <c r="A48" s="15" t="s">
        <v>37</v>
      </c>
      <c r="B48" s="16">
        <v>44193</v>
      </c>
      <c r="C48" s="26" t="s">
        <v>797</v>
      </c>
      <c r="D48" s="30">
        <v>2</v>
      </c>
      <c r="E48" s="13">
        <v>600</v>
      </c>
      <c r="F48" s="50">
        <f t="shared" si="2"/>
        <v>1200</v>
      </c>
      <c r="G48" s="71"/>
      <c r="H48" s="71"/>
      <c r="I48" s="72"/>
      <c r="J48" s="71"/>
      <c r="K48" s="71"/>
      <c r="L48" s="71">
        <f t="shared" si="0"/>
        <v>2</v>
      </c>
      <c r="M48" s="71"/>
      <c r="N48" s="71" t="s">
        <v>946</v>
      </c>
    </row>
    <row r="49" spans="1:14" s="8" customFormat="1" ht="15.75" x14ac:dyDescent="0.25">
      <c r="A49" s="15" t="s">
        <v>38</v>
      </c>
      <c r="B49" s="16">
        <v>44678</v>
      </c>
      <c r="C49" s="26" t="s">
        <v>565</v>
      </c>
      <c r="D49" s="32">
        <v>5</v>
      </c>
      <c r="E49" s="13">
        <v>1400</v>
      </c>
      <c r="F49" s="50">
        <f t="shared" si="2"/>
        <v>7000</v>
      </c>
      <c r="G49" s="71"/>
      <c r="H49" s="71"/>
      <c r="I49" s="72"/>
      <c r="J49" s="71"/>
      <c r="K49" s="71"/>
      <c r="L49" s="71">
        <f t="shared" si="0"/>
        <v>5</v>
      </c>
      <c r="M49" s="71"/>
      <c r="N49" s="71" t="s">
        <v>946</v>
      </c>
    </row>
    <row r="50" spans="1:14" s="8" customFormat="1" ht="15.75" x14ac:dyDescent="0.25">
      <c r="A50" s="15" t="s">
        <v>131</v>
      </c>
      <c r="B50" s="16">
        <v>44678</v>
      </c>
      <c r="C50" s="26" t="s">
        <v>567</v>
      </c>
      <c r="D50" s="32">
        <v>10</v>
      </c>
      <c r="E50" s="13">
        <v>500</v>
      </c>
      <c r="F50" s="50">
        <f t="shared" si="2"/>
        <v>5000</v>
      </c>
      <c r="G50" s="71"/>
      <c r="H50" s="71"/>
      <c r="I50" s="72"/>
      <c r="J50" s="71"/>
      <c r="K50" s="71"/>
      <c r="L50" s="71">
        <f t="shared" si="0"/>
        <v>10</v>
      </c>
      <c r="M50" s="71"/>
      <c r="N50" s="71" t="s">
        <v>946</v>
      </c>
    </row>
    <row r="51" spans="1:14" s="8" customFormat="1" ht="15.75" x14ac:dyDescent="0.25">
      <c r="A51" s="15" t="s">
        <v>39</v>
      </c>
      <c r="B51" s="16">
        <v>44678</v>
      </c>
      <c r="C51" s="26" t="s">
        <v>568</v>
      </c>
      <c r="D51" s="32">
        <v>6</v>
      </c>
      <c r="E51" s="13">
        <v>5000</v>
      </c>
      <c r="F51" s="50">
        <f t="shared" si="2"/>
        <v>30000</v>
      </c>
      <c r="G51" s="71"/>
      <c r="H51" s="71"/>
      <c r="I51" s="72"/>
      <c r="J51" s="71"/>
      <c r="K51" s="71"/>
      <c r="L51" s="71">
        <f t="shared" si="0"/>
        <v>6</v>
      </c>
      <c r="M51" s="71"/>
      <c r="N51" s="71" t="s">
        <v>946</v>
      </c>
    </row>
    <row r="52" spans="1:14" s="8" customFormat="1" ht="15.75" x14ac:dyDescent="0.25">
      <c r="A52" s="15" t="s">
        <v>40</v>
      </c>
      <c r="B52" s="16">
        <v>44193</v>
      </c>
      <c r="C52" s="26" t="s">
        <v>803</v>
      </c>
      <c r="D52" s="32">
        <v>6</v>
      </c>
      <c r="E52" s="13">
        <v>2600</v>
      </c>
      <c r="F52" s="50">
        <f t="shared" si="2"/>
        <v>15600</v>
      </c>
      <c r="G52" s="71"/>
      <c r="H52" s="71"/>
      <c r="I52" s="72"/>
      <c r="J52" s="71"/>
      <c r="K52" s="71"/>
      <c r="L52" s="71">
        <f t="shared" si="0"/>
        <v>6</v>
      </c>
      <c r="M52" s="71"/>
      <c r="N52" s="71" t="s">
        <v>946</v>
      </c>
    </row>
    <row r="53" spans="1:14" s="8" customFormat="1" ht="15.75" x14ac:dyDescent="0.25">
      <c r="A53" s="15" t="s">
        <v>132</v>
      </c>
      <c r="B53" s="16">
        <v>44193</v>
      </c>
      <c r="C53" s="25" t="s">
        <v>773</v>
      </c>
      <c r="D53" s="14">
        <v>2</v>
      </c>
      <c r="E53" s="13">
        <v>325</v>
      </c>
      <c r="F53" s="50">
        <f t="shared" si="2"/>
        <v>650</v>
      </c>
      <c r="G53" s="71"/>
      <c r="H53" s="71"/>
      <c r="I53" s="72"/>
      <c r="J53" s="71"/>
      <c r="K53" s="71"/>
      <c r="L53" s="71">
        <f t="shared" si="0"/>
        <v>2</v>
      </c>
      <c r="M53" s="71"/>
      <c r="N53" s="71" t="s">
        <v>945</v>
      </c>
    </row>
    <row r="54" spans="1:14" s="8" customFormat="1" ht="15.75" x14ac:dyDescent="0.25">
      <c r="A54" s="15" t="s">
        <v>41</v>
      </c>
      <c r="B54" s="16">
        <v>44193</v>
      </c>
      <c r="C54" s="25" t="s">
        <v>570</v>
      </c>
      <c r="D54" s="14">
        <f>(43*3)+1</f>
        <v>130</v>
      </c>
      <c r="E54" s="13">
        <v>25</v>
      </c>
      <c r="F54" s="50">
        <f t="shared" si="2"/>
        <v>3250</v>
      </c>
      <c r="G54" s="71"/>
      <c r="H54" s="71"/>
      <c r="I54" s="72"/>
      <c r="J54" s="71"/>
      <c r="K54" s="71"/>
      <c r="L54" s="71">
        <f t="shared" si="0"/>
        <v>130</v>
      </c>
      <c r="M54" s="71"/>
      <c r="N54" s="71" t="s">
        <v>945</v>
      </c>
    </row>
    <row r="55" spans="1:14" s="8" customFormat="1" ht="15.75" x14ac:dyDescent="0.25">
      <c r="A55" s="15" t="s">
        <v>133</v>
      </c>
      <c r="B55" s="16">
        <v>44677</v>
      </c>
      <c r="C55" s="25" t="s">
        <v>571</v>
      </c>
      <c r="D55" s="14">
        <v>352</v>
      </c>
      <c r="E55" s="13">
        <v>14</v>
      </c>
      <c r="F55" s="50">
        <f t="shared" si="2"/>
        <v>4928</v>
      </c>
      <c r="G55" s="71"/>
      <c r="H55" s="71"/>
      <c r="I55" s="72"/>
      <c r="J55" s="71"/>
      <c r="K55" s="71">
        <f>2+2+1+1+2+2+2+2+10+2</f>
        <v>26</v>
      </c>
      <c r="L55" s="71">
        <f t="shared" si="0"/>
        <v>326</v>
      </c>
      <c r="M55" s="71"/>
      <c r="N55" s="71" t="s">
        <v>945</v>
      </c>
    </row>
    <row r="56" spans="1:14" s="8" customFormat="1" ht="15.75" x14ac:dyDescent="0.25">
      <c r="A56" s="15" t="s">
        <v>134</v>
      </c>
      <c r="B56" s="23" t="s">
        <v>106</v>
      </c>
      <c r="C56" s="26" t="s">
        <v>572</v>
      </c>
      <c r="D56" s="32"/>
      <c r="E56" s="51">
        <v>84.75</v>
      </c>
      <c r="F56" s="50">
        <f t="shared" si="2"/>
        <v>0</v>
      </c>
      <c r="G56" s="71"/>
      <c r="H56" s="71"/>
      <c r="I56" s="72"/>
      <c r="J56" s="71"/>
      <c r="K56" s="71" t="s">
        <v>506</v>
      </c>
      <c r="L56" s="71" t="e">
        <f t="shared" si="0"/>
        <v>#VALUE!</v>
      </c>
      <c r="M56" s="71"/>
      <c r="N56" s="71" t="s">
        <v>946</v>
      </c>
    </row>
    <row r="57" spans="1:14" s="8" customFormat="1" ht="15.75" x14ac:dyDescent="0.25">
      <c r="A57" s="15" t="s">
        <v>42</v>
      </c>
      <c r="B57" s="16">
        <v>44193</v>
      </c>
      <c r="C57" s="26" t="s">
        <v>573</v>
      </c>
      <c r="D57" s="32"/>
      <c r="E57" s="13">
        <v>169.49</v>
      </c>
      <c r="F57" s="50">
        <f t="shared" si="2"/>
        <v>0</v>
      </c>
      <c r="G57" s="71"/>
      <c r="H57" s="71"/>
      <c r="I57" s="72"/>
      <c r="J57" s="71"/>
      <c r="K57" s="71"/>
      <c r="L57" s="71">
        <f t="shared" si="0"/>
        <v>0</v>
      </c>
      <c r="M57" s="71"/>
      <c r="N57" s="71" t="s">
        <v>946</v>
      </c>
    </row>
    <row r="58" spans="1:14" s="8" customFormat="1" ht="15.75" x14ac:dyDescent="0.25">
      <c r="A58" s="15" t="s">
        <v>109</v>
      </c>
      <c r="B58" s="16">
        <v>44193</v>
      </c>
      <c r="C58" s="25" t="s">
        <v>574</v>
      </c>
      <c r="D58" s="14"/>
      <c r="E58" s="13">
        <v>76.27</v>
      </c>
      <c r="F58" s="50">
        <f t="shared" si="2"/>
        <v>0</v>
      </c>
      <c r="G58" s="71"/>
      <c r="H58" s="71"/>
      <c r="I58" s="72"/>
      <c r="J58" s="71"/>
      <c r="K58" s="71"/>
      <c r="L58" s="71">
        <f t="shared" si="0"/>
        <v>0</v>
      </c>
      <c r="M58" s="71"/>
      <c r="N58" s="71" t="s">
        <v>946</v>
      </c>
    </row>
    <row r="59" spans="1:14" s="8" customFormat="1" ht="15.75" x14ac:dyDescent="0.25">
      <c r="A59" s="15" t="s">
        <v>135</v>
      </c>
      <c r="B59" s="16">
        <v>44193</v>
      </c>
      <c r="C59" s="25" t="s">
        <v>575</v>
      </c>
      <c r="D59" s="14"/>
      <c r="E59" s="13">
        <v>93.22</v>
      </c>
      <c r="F59" s="50">
        <f t="shared" si="2"/>
        <v>0</v>
      </c>
      <c r="G59" s="71"/>
      <c r="H59" s="71"/>
      <c r="I59" s="72"/>
      <c r="J59" s="71"/>
      <c r="K59" s="71"/>
      <c r="L59" s="71">
        <f t="shared" si="0"/>
        <v>0</v>
      </c>
      <c r="M59" s="71"/>
      <c r="N59" s="71" t="s">
        <v>946</v>
      </c>
    </row>
    <row r="60" spans="1:14" s="8" customFormat="1" ht="15.75" x14ac:dyDescent="0.25">
      <c r="A60" s="15" t="s">
        <v>43</v>
      </c>
      <c r="B60" s="16">
        <v>44193</v>
      </c>
      <c r="C60" s="26" t="s">
        <v>576</v>
      </c>
      <c r="D60" s="32"/>
      <c r="E60" s="13">
        <v>122.8</v>
      </c>
      <c r="F60" s="50">
        <f t="shared" si="2"/>
        <v>0</v>
      </c>
      <c r="G60" s="71"/>
      <c r="H60" s="71"/>
      <c r="I60" s="72"/>
      <c r="J60" s="71"/>
      <c r="K60" s="71"/>
      <c r="L60" s="71">
        <f t="shared" si="0"/>
        <v>0</v>
      </c>
      <c r="M60" s="71"/>
      <c r="N60" s="71" t="s">
        <v>946</v>
      </c>
    </row>
    <row r="61" spans="1:14" s="8" customFormat="1" ht="15.75" x14ac:dyDescent="0.25">
      <c r="A61" s="15" t="s">
        <v>45</v>
      </c>
      <c r="B61" s="16">
        <v>44453</v>
      </c>
      <c r="C61" s="9" t="s">
        <v>577</v>
      </c>
      <c r="D61" s="48">
        <v>0</v>
      </c>
      <c r="E61" s="13">
        <v>3000</v>
      </c>
      <c r="F61" s="50">
        <f t="shared" si="2"/>
        <v>0</v>
      </c>
      <c r="G61" s="71"/>
      <c r="H61" s="71"/>
      <c r="I61" s="72"/>
      <c r="J61" s="71"/>
      <c r="K61" s="71"/>
      <c r="L61" s="71">
        <f t="shared" si="0"/>
        <v>0</v>
      </c>
      <c r="M61" s="71"/>
      <c r="N61" s="71" t="s">
        <v>946</v>
      </c>
    </row>
    <row r="62" spans="1:14" s="8" customFormat="1" ht="15.75" x14ac:dyDescent="0.25">
      <c r="A62" s="15" t="s">
        <v>46</v>
      </c>
      <c r="B62" s="16">
        <v>44193</v>
      </c>
      <c r="C62" s="26" t="s">
        <v>578</v>
      </c>
      <c r="D62" s="32">
        <v>0</v>
      </c>
      <c r="E62" s="13">
        <v>63.56</v>
      </c>
      <c r="F62" s="50">
        <f t="shared" si="2"/>
        <v>0</v>
      </c>
      <c r="G62" s="71"/>
      <c r="H62" s="71"/>
      <c r="I62" s="72"/>
      <c r="J62" s="71"/>
      <c r="K62" s="71"/>
      <c r="L62" s="71">
        <f t="shared" si="0"/>
        <v>0</v>
      </c>
      <c r="M62" s="71"/>
      <c r="N62" s="71" t="s">
        <v>946</v>
      </c>
    </row>
    <row r="63" spans="1:14" s="8" customFormat="1" ht="15.75" x14ac:dyDescent="0.25">
      <c r="A63" s="15" t="s">
        <v>47</v>
      </c>
      <c r="B63" s="16">
        <v>44193</v>
      </c>
      <c r="C63" s="26" t="s">
        <v>819</v>
      </c>
      <c r="D63" s="32">
        <v>2</v>
      </c>
      <c r="E63" s="13"/>
      <c r="F63" s="50"/>
      <c r="G63" s="71"/>
      <c r="H63" s="71"/>
      <c r="I63" s="72"/>
      <c r="J63" s="71"/>
      <c r="K63" s="71"/>
      <c r="L63" s="71">
        <f t="shared" si="0"/>
        <v>2</v>
      </c>
      <c r="M63" s="71"/>
      <c r="N63" s="71" t="s">
        <v>946</v>
      </c>
    </row>
    <row r="64" spans="1:14" s="8" customFormat="1" ht="15.75" x14ac:dyDescent="0.25">
      <c r="A64" s="15" t="s">
        <v>48</v>
      </c>
      <c r="B64" s="16">
        <v>44193</v>
      </c>
      <c r="C64" s="26" t="s">
        <v>817</v>
      </c>
      <c r="D64" s="32">
        <v>7</v>
      </c>
      <c r="E64" s="13"/>
      <c r="F64" s="50"/>
      <c r="G64" s="71"/>
      <c r="H64" s="71"/>
      <c r="I64" s="72"/>
      <c r="J64" s="71"/>
      <c r="K64" s="71"/>
      <c r="L64" s="71">
        <f t="shared" si="0"/>
        <v>7</v>
      </c>
      <c r="M64" s="71"/>
      <c r="N64" s="71" t="s">
        <v>946</v>
      </c>
    </row>
    <row r="65" spans="1:14" s="8" customFormat="1" ht="15.75" x14ac:dyDescent="0.25">
      <c r="A65" s="15" t="s">
        <v>49</v>
      </c>
      <c r="B65" s="16">
        <v>44193</v>
      </c>
      <c r="C65" s="26" t="s">
        <v>818</v>
      </c>
      <c r="D65" s="32">
        <v>8</v>
      </c>
      <c r="E65" s="13"/>
      <c r="F65" s="50"/>
      <c r="G65" s="71"/>
      <c r="H65" s="71"/>
      <c r="I65" s="72"/>
      <c r="J65" s="71"/>
      <c r="K65" s="71"/>
      <c r="L65" s="71">
        <f t="shared" si="0"/>
        <v>8</v>
      </c>
      <c r="M65" s="71"/>
      <c r="N65" s="71" t="s">
        <v>946</v>
      </c>
    </row>
    <row r="66" spans="1:14" s="8" customFormat="1" ht="15.75" x14ac:dyDescent="0.25">
      <c r="A66" s="15" t="s">
        <v>50</v>
      </c>
      <c r="B66" s="23" t="s">
        <v>116</v>
      </c>
      <c r="C66" s="25" t="s">
        <v>720</v>
      </c>
      <c r="D66" s="32">
        <v>1</v>
      </c>
      <c r="E66" s="51">
        <v>3000</v>
      </c>
      <c r="F66" s="50">
        <f>D66*E66</f>
        <v>3000</v>
      </c>
      <c r="G66" s="71"/>
      <c r="H66" s="71"/>
      <c r="I66" s="72"/>
      <c r="J66" s="71"/>
      <c r="K66" s="71"/>
      <c r="L66" s="71">
        <f t="shared" si="0"/>
        <v>1</v>
      </c>
      <c r="M66" s="71"/>
      <c r="N66" s="71" t="s">
        <v>947</v>
      </c>
    </row>
    <row r="67" spans="1:14" s="8" customFormat="1" ht="15.75" x14ac:dyDescent="0.25">
      <c r="A67" s="15" t="s">
        <v>51</v>
      </c>
      <c r="B67" s="16">
        <v>44193</v>
      </c>
      <c r="C67" s="26" t="s">
        <v>579</v>
      </c>
      <c r="D67" s="32">
        <v>0</v>
      </c>
      <c r="E67" s="13">
        <v>35</v>
      </c>
      <c r="F67" s="50">
        <f t="shared" ref="F67:F88" si="3">D67*E67</f>
        <v>0</v>
      </c>
      <c r="G67" s="71"/>
      <c r="H67" s="71"/>
      <c r="I67" s="72"/>
      <c r="J67" s="71"/>
      <c r="K67" s="71"/>
      <c r="L67" s="71">
        <f t="shared" si="0"/>
        <v>0</v>
      </c>
      <c r="M67" s="71"/>
      <c r="N67" s="71" t="s">
        <v>946</v>
      </c>
    </row>
    <row r="68" spans="1:14" s="8" customFormat="1" ht="15.75" x14ac:dyDescent="0.25">
      <c r="A68" s="15" t="s">
        <v>52</v>
      </c>
      <c r="B68" s="16">
        <v>44193</v>
      </c>
      <c r="C68" s="25" t="s">
        <v>794</v>
      </c>
      <c r="D68" s="38">
        <v>1</v>
      </c>
      <c r="E68" s="13">
        <v>97.96</v>
      </c>
      <c r="F68" s="50">
        <f t="shared" si="3"/>
        <v>97.96</v>
      </c>
      <c r="G68" s="71"/>
      <c r="H68" s="71"/>
      <c r="I68" s="72"/>
      <c r="J68" s="71"/>
      <c r="K68" s="71"/>
      <c r="L68" s="71">
        <f t="shared" si="0"/>
        <v>1</v>
      </c>
      <c r="M68" s="71"/>
      <c r="N68" s="71" t="s">
        <v>946</v>
      </c>
    </row>
    <row r="69" spans="1:14" s="8" customFormat="1" ht="15.75" x14ac:dyDescent="0.25">
      <c r="A69" s="15" t="s">
        <v>53</v>
      </c>
      <c r="B69" s="16">
        <v>44193</v>
      </c>
      <c r="C69" s="9" t="s">
        <v>580</v>
      </c>
      <c r="D69" s="58">
        <v>22</v>
      </c>
      <c r="E69" s="13">
        <v>18</v>
      </c>
      <c r="F69" s="50">
        <f t="shared" si="3"/>
        <v>396</v>
      </c>
      <c r="G69" s="71"/>
      <c r="H69" s="71"/>
      <c r="I69" s="72"/>
      <c r="J69" s="71"/>
      <c r="K69" s="71"/>
      <c r="L69" s="71">
        <f t="shared" si="0"/>
        <v>22</v>
      </c>
      <c r="M69" s="71"/>
      <c r="N69" s="71" t="s">
        <v>947</v>
      </c>
    </row>
    <row r="70" spans="1:14" s="8" customFormat="1" ht="15.75" x14ac:dyDescent="0.25">
      <c r="A70" s="15" t="s">
        <v>44</v>
      </c>
      <c r="B70" s="16">
        <v>44193</v>
      </c>
      <c r="C70" s="9" t="s">
        <v>581</v>
      </c>
      <c r="D70" s="48">
        <v>0</v>
      </c>
      <c r="E70" s="13">
        <v>114</v>
      </c>
      <c r="F70" s="50">
        <f t="shared" si="3"/>
        <v>0</v>
      </c>
      <c r="G70" s="71"/>
      <c r="H70" s="71"/>
      <c r="I70" s="72"/>
      <c r="J70" s="71"/>
      <c r="K70" s="71"/>
      <c r="L70" s="71">
        <f t="shared" si="0"/>
        <v>0</v>
      </c>
      <c r="M70" s="71"/>
      <c r="N70" s="71" t="s">
        <v>947</v>
      </c>
    </row>
    <row r="71" spans="1:14" s="8" customFormat="1" ht="15.75" x14ac:dyDescent="0.25">
      <c r="A71" s="15" t="s">
        <v>113</v>
      </c>
      <c r="B71" s="16">
        <v>44193</v>
      </c>
      <c r="C71" s="9" t="s">
        <v>582</v>
      </c>
      <c r="D71" s="48">
        <v>50</v>
      </c>
      <c r="E71" s="13">
        <v>150</v>
      </c>
      <c r="F71" s="50">
        <f t="shared" si="3"/>
        <v>7500</v>
      </c>
      <c r="G71" s="71"/>
      <c r="H71" s="71"/>
      <c r="I71" s="72"/>
      <c r="J71" s="71"/>
      <c r="K71" s="71"/>
      <c r="L71" s="71">
        <f t="shared" si="0"/>
        <v>50</v>
      </c>
      <c r="M71" s="71"/>
      <c r="N71" s="71" t="s">
        <v>947</v>
      </c>
    </row>
    <row r="72" spans="1:14" s="8" customFormat="1" ht="15.75" x14ac:dyDescent="0.25">
      <c r="A72" s="15" t="s">
        <v>136</v>
      </c>
      <c r="B72" s="16">
        <v>44193</v>
      </c>
      <c r="C72" s="26" t="s">
        <v>583</v>
      </c>
      <c r="D72" s="14">
        <v>0</v>
      </c>
      <c r="E72" s="13">
        <v>105.93</v>
      </c>
      <c r="F72" s="50">
        <f t="shared" si="3"/>
        <v>0</v>
      </c>
      <c r="G72" s="71"/>
      <c r="H72" s="71"/>
      <c r="I72" s="72"/>
      <c r="J72" s="71"/>
      <c r="K72" s="71"/>
      <c r="L72" s="71">
        <f t="shared" si="0"/>
        <v>0</v>
      </c>
      <c r="M72" s="71"/>
      <c r="N72" s="71" t="s">
        <v>946</v>
      </c>
    </row>
    <row r="73" spans="1:14" s="8" customFormat="1" ht="15.75" x14ac:dyDescent="0.25">
      <c r="A73" s="15" t="s">
        <v>137</v>
      </c>
      <c r="B73" s="16">
        <v>44193</v>
      </c>
      <c r="C73" s="26" t="s">
        <v>584</v>
      </c>
      <c r="D73" s="14">
        <v>1</v>
      </c>
      <c r="E73" s="13">
        <v>762.71</v>
      </c>
      <c r="F73" s="50">
        <f t="shared" si="3"/>
        <v>762.71</v>
      </c>
      <c r="G73" s="71"/>
      <c r="H73" s="71"/>
      <c r="I73" s="72"/>
      <c r="J73" s="71"/>
      <c r="K73" s="71"/>
      <c r="L73" s="71">
        <f t="shared" si="0"/>
        <v>1</v>
      </c>
      <c r="M73" s="71"/>
      <c r="N73" s="71" t="s">
        <v>946</v>
      </c>
    </row>
    <row r="74" spans="1:14" s="8" customFormat="1" ht="15.75" x14ac:dyDescent="0.25">
      <c r="A74" s="15" t="s">
        <v>138</v>
      </c>
      <c r="B74" s="16">
        <v>44193</v>
      </c>
      <c r="C74" s="26" t="s">
        <v>585</v>
      </c>
      <c r="D74" s="14">
        <v>0</v>
      </c>
      <c r="E74" s="13">
        <v>338.98</v>
      </c>
      <c r="F74" s="50">
        <f t="shared" si="3"/>
        <v>0</v>
      </c>
      <c r="G74" s="71"/>
      <c r="H74" s="71"/>
      <c r="I74" s="72"/>
      <c r="J74" s="71"/>
      <c r="K74" s="71"/>
      <c r="L74" s="71">
        <f t="shared" ref="L74:L137" si="4">+D74+H74-K74</f>
        <v>0</v>
      </c>
      <c r="M74" s="71"/>
      <c r="N74" s="71" t="s">
        <v>946</v>
      </c>
    </row>
    <row r="75" spans="1:14" s="8" customFormat="1" ht="15.75" x14ac:dyDescent="0.25">
      <c r="A75" s="15" t="s">
        <v>54</v>
      </c>
      <c r="B75" s="16">
        <v>44193</v>
      </c>
      <c r="C75" s="9" t="s">
        <v>586</v>
      </c>
      <c r="D75" s="30">
        <v>8</v>
      </c>
      <c r="E75" s="13">
        <v>17.07</v>
      </c>
      <c r="F75" s="50">
        <f t="shared" si="3"/>
        <v>136.56</v>
      </c>
      <c r="G75" s="71"/>
      <c r="H75" s="71"/>
      <c r="I75" s="72"/>
      <c r="J75" s="71"/>
      <c r="K75" s="71"/>
      <c r="L75" s="71">
        <f t="shared" si="4"/>
        <v>8</v>
      </c>
      <c r="M75" s="71"/>
      <c r="N75" s="71" t="s">
        <v>947</v>
      </c>
    </row>
    <row r="76" spans="1:14" s="8" customFormat="1" ht="15.75" x14ac:dyDescent="0.25">
      <c r="A76" s="15" t="s">
        <v>55</v>
      </c>
      <c r="B76" s="16">
        <v>44193</v>
      </c>
      <c r="C76" s="26" t="s">
        <v>587</v>
      </c>
      <c r="D76" s="30">
        <v>129</v>
      </c>
      <c r="E76" s="13">
        <v>134</v>
      </c>
      <c r="F76" s="50">
        <f t="shared" si="3"/>
        <v>17286</v>
      </c>
      <c r="G76" s="71"/>
      <c r="H76" s="71"/>
      <c r="I76" s="72"/>
      <c r="J76" s="71"/>
      <c r="K76" s="71">
        <f>1+2+2</f>
        <v>5</v>
      </c>
      <c r="L76" s="71">
        <f t="shared" si="4"/>
        <v>124</v>
      </c>
      <c r="M76" s="71"/>
      <c r="N76" s="71" t="s">
        <v>945</v>
      </c>
    </row>
    <row r="77" spans="1:14" s="8" customFormat="1" ht="15.75" x14ac:dyDescent="0.25">
      <c r="A77" s="15" t="s">
        <v>56</v>
      </c>
      <c r="B77" s="23" t="s">
        <v>106</v>
      </c>
      <c r="C77" s="26" t="s">
        <v>774</v>
      </c>
      <c r="D77" s="30">
        <v>67</v>
      </c>
      <c r="E77" s="51">
        <v>50</v>
      </c>
      <c r="F77" s="50">
        <f t="shared" si="3"/>
        <v>3350</v>
      </c>
      <c r="G77" s="71"/>
      <c r="H77" s="71"/>
      <c r="I77" s="72"/>
      <c r="J77" s="71"/>
      <c r="K77" s="71">
        <f>2+4+1+2+1</f>
        <v>10</v>
      </c>
      <c r="L77" s="71">
        <f t="shared" si="4"/>
        <v>57</v>
      </c>
      <c r="M77" s="71"/>
      <c r="N77" s="71" t="s">
        <v>945</v>
      </c>
    </row>
    <row r="78" spans="1:14" s="8" customFormat="1" ht="15.75" x14ac:dyDescent="0.25">
      <c r="A78" s="15" t="s">
        <v>100</v>
      </c>
      <c r="B78" s="16">
        <v>44488</v>
      </c>
      <c r="C78" s="26" t="s">
        <v>589</v>
      </c>
      <c r="D78" s="30">
        <v>3</v>
      </c>
      <c r="E78" s="13">
        <v>2200</v>
      </c>
      <c r="F78" s="50">
        <f t="shared" si="3"/>
        <v>6600</v>
      </c>
      <c r="G78" s="71"/>
      <c r="H78" s="71"/>
      <c r="I78" s="72"/>
      <c r="J78" s="71"/>
      <c r="K78" s="71"/>
      <c r="L78" s="71">
        <f t="shared" si="4"/>
        <v>3</v>
      </c>
      <c r="M78" s="71"/>
      <c r="N78" s="71" t="s">
        <v>945</v>
      </c>
    </row>
    <row r="79" spans="1:14" s="8" customFormat="1" ht="15.75" x14ac:dyDescent="0.25">
      <c r="A79" s="15" t="s">
        <v>57</v>
      </c>
      <c r="B79" s="16">
        <v>44193</v>
      </c>
      <c r="C79" s="9" t="s">
        <v>590</v>
      </c>
      <c r="D79" s="30">
        <v>0</v>
      </c>
      <c r="E79" s="13">
        <v>402.54</v>
      </c>
      <c r="F79" s="50">
        <f t="shared" si="3"/>
        <v>0</v>
      </c>
      <c r="G79" s="71"/>
      <c r="H79" s="71"/>
      <c r="I79" s="72"/>
      <c r="J79" s="71"/>
      <c r="K79" s="71"/>
      <c r="L79" s="71">
        <f t="shared" si="4"/>
        <v>0</v>
      </c>
      <c r="M79" s="71"/>
      <c r="N79" s="71" t="s">
        <v>946</v>
      </c>
    </row>
    <row r="80" spans="1:14" s="8" customFormat="1" ht="15.75" x14ac:dyDescent="0.25">
      <c r="A80" s="15" t="s">
        <v>139</v>
      </c>
      <c r="B80" s="16">
        <v>44193</v>
      </c>
      <c r="C80" s="9" t="s">
        <v>591</v>
      </c>
      <c r="D80" s="30">
        <v>11</v>
      </c>
      <c r="E80" s="13">
        <v>37.74</v>
      </c>
      <c r="F80" s="50">
        <f t="shared" si="3"/>
        <v>415.14000000000004</v>
      </c>
      <c r="G80" s="71"/>
      <c r="H80" s="71"/>
      <c r="I80" s="72"/>
      <c r="J80" s="71"/>
      <c r="K80" s="71"/>
      <c r="L80" s="71">
        <f t="shared" si="4"/>
        <v>11</v>
      </c>
      <c r="M80" s="71"/>
      <c r="N80" s="71" t="s">
        <v>946</v>
      </c>
    </row>
    <row r="81" spans="1:14" s="8" customFormat="1" ht="15.75" x14ac:dyDescent="0.25">
      <c r="A81" s="15" t="s">
        <v>140</v>
      </c>
      <c r="B81" s="16">
        <v>44193</v>
      </c>
      <c r="C81" s="9" t="s">
        <v>592</v>
      </c>
      <c r="D81" s="30">
        <v>0</v>
      </c>
      <c r="E81" s="13">
        <v>55</v>
      </c>
      <c r="F81" s="50">
        <f t="shared" si="3"/>
        <v>0</v>
      </c>
      <c r="G81" s="71"/>
      <c r="H81" s="71"/>
      <c r="I81" s="72"/>
      <c r="J81" s="71"/>
      <c r="K81" s="71"/>
      <c r="L81" s="71">
        <f t="shared" si="4"/>
        <v>0</v>
      </c>
      <c r="M81" s="71"/>
      <c r="N81" s="71" t="s">
        <v>947</v>
      </c>
    </row>
    <row r="82" spans="1:14" s="8" customFormat="1" ht="15.75" x14ac:dyDescent="0.25">
      <c r="A82" s="15" t="s">
        <v>141</v>
      </c>
      <c r="B82" s="16">
        <v>44193</v>
      </c>
      <c r="C82" s="9" t="s">
        <v>593</v>
      </c>
      <c r="D82" s="30">
        <v>6</v>
      </c>
      <c r="E82" s="13">
        <v>4740</v>
      </c>
      <c r="F82" s="50">
        <f t="shared" si="3"/>
        <v>28440</v>
      </c>
      <c r="G82" s="71"/>
      <c r="H82" s="71"/>
      <c r="I82" s="72"/>
      <c r="J82" s="71"/>
      <c r="K82" s="71"/>
      <c r="L82" s="71">
        <f t="shared" si="4"/>
        <v>6</v>
      </c>
      <c r="M82" s="71"/>
      <c r="N82" s="71" t="s">
        <v>947</v>
      </c>
    </row>
    <row r="83" spans="1:14" s="8" customFormat="1" ht="15.75" x14ac:dyDescent="0.25">
      <c r="A83" s="15" t="s">
        <v>58</v>
      </c>
      <c r="B83" s="16">
        <v>44193</v>
      </c>
      <c r="C83" s="9" t="s">
        <v>594</v>
      </c>
      <c r="D83" s="30">
        <v>1</v>
      </c>
      <c r="E83" s="13">
        <v>2535</v>
      </c>
      <c r="F83" s="50">
        <f t="shared" si="3"/>
        <v>2535</v>
      </c>
      <c r="G83" s="71"/>
      <c r="H83" s="71"/>
      <c r="I83" s="72"/>
      <c r="J83" s="71"/>
      <c r="K83" s="71"/>
      <c r="L83" s="71">
        <f t="shared" si="4"/>
        <v>1</v>
      </c>
      <c r="M83" s="71"/>
      <c r="N83" s="71" t="s">
        <v>947</v>
      </c>
    </row>
    <row r="84" spans="1:14" s="8" customFormat="1" ht="15.75" x14ac:dyDescent="0.25">
      <c r="A84" s="15" t="s">
        <v>59</v>
      </c>
      <c r="B84" s="16">
        <v>44193</v>
      </c>
      <c r="C84" s="9" t="s">
        <v>595</v>
      </c>
      <c r="D84" s="30">
        <v>0</v>
      </c>
      <c r="E84" s="13">
        <v>211.86</v>
      </c>
      <c r="F84" s="50">
        <f t="shared" si="3"/>
        <v>0</v>
      </c>
      <c r="G84" s="71"/>
      <c r="H84" s="71"/>
      <c r="I84" s="72"/>
      <c r="J84" s="71"/>
      <c r="K84" s="71"/>
      <c r="L84" s="71">
        <f t="shared" si="4"/>
        <v>0</v>
      </c>
      <c r="M84" s="71"/>
      <c r="N84" s="71" t="s">
        <v>947</v>
      </c>
    </row>
    <row r="85" spans="1:14" s="8" customFormat="1" ht="15.75" x14ac:dyDescent="0.25">
      <c r="A85" s="15" t="s">
        <v>60</v>
      </c>
      <c r="B85" s="16">
        <v>44193</v>
      </c>
      <c r="C85" s="9" t="s">
        <v>596</v>
      </c>
      <c r="D85" s="30">
        <v>0</v>
      </c>
      <c r="E85" s="13">
        <v>70</v>
      </c>
      <c r="F85" s="50">
        <f t="shared" si="3"/>
        <v>0</v>
      </c>
      <c r="G85" s="71"/>
      <c r="H85" s="71"/>
      <c r="I85" s="72"/>
      <c r="J85" s="71"/>
      <c r="K85" s="71"/>
      <c r="L85" s="71">
        <f t="shared" si="4"/>
        <v>0</v>
      </c>
      <c r="M85" s="71"/>
      <c r="N85" s="71" t="s">
        <v>947</v>
      </c>
    </row>
    <row r="86" spans="1:14" s="8" customFormat="1" ht="15.75" x14ac:dyDescent="0.25">
      <c r="A86" s="15" t="s">
        <v>61</v>
      </c>
      <c r="B86" s="16">
        <v>44193</v>
      </c>
      <c r="C86" s="26" t="s">
        <v>597</v>
      </c>
      <c r="D86" s="30">
        <v>2</v>
      </c>
      <c r="E86" s="13">
        <v>148.31</v>
      </c>
      <c r="F86" s="50">
        <f t="shared" si="3"/>
        <v>296.62</v>
      </c>
      <c r="G86" s="71"/>
      <c r="H86" s="71"/>
      <c r="I86" s="72"/>
      <c r="J86" s="71"/>
      <c r="K86" s="71"/>
      <c r="L86" s="71">
        <f t="shared" si="4"/>
        <v>2</v>
      </c>
      <c r="M86" s="71"/>
      <c r="N86" s="71" t="s">
        <v>947</v>
      </c>
    </row>
    <row r="87" spans="1:14" s="8" customFormat="1" ht="15.75" x14ac:dyDescent="0.25">
      <c r="A87" s="15" t="s">
        <v>62</v>
      </c>
      <c r="B87" s="16">
        <v>44547</v>
      </c>
      <c r="C87" s="9" t="s">
        <v>598</v>
      </c>
      <c r="D87" s="30">
        <v>24</v>
      </c>
      <c r="E87" s="13">
        <v>200</v>
      </c>
      <c r="F87" s="50">
        <f t="shared" si="3"/>
        <v>4800</v>
      </c>
      <c r="G87" s="71"/>
      <c r="H87" s="71"/>
      <c r="I87" s="72"/>
      <c r="J87" s="71"/>
      <c r="K87" s="71"/>
      <c r="L87" s="71">
        <f t="shared" si="4"/>
        <v>24</v>
      </c>
      <c r="M87" s="71"/>
      <c r="N87" s="71" t="s">
        <v>947</v>
      </c>
    </row>
    <row r="88" spans="1:14" s="8" customFormat="1" ht="15.75" x14ac:dyDescent="0.25">
      <c r="A88" s="15" t="s">
        <v>63</v>
      </c>
      <c r="B88" s="16">
        <v>44193</v>
      </c>
      <c r="C88" s="9" t="s">
        <v>599</v>
      </c>
      <c r="D88" s="30">
        <v>0</v>
      </c>
      <c r="E88" s="13">
        <v>65</v>
      </c>
      <c r="F88" s="50">
        <f t="shared" si="3"/>
        <v>0</v>
      </c>
      <c r="G88" s="71"/>
      <c r="H88" s="71"/>
      <c r="I88" s="72"/>
      <c r="J88" s="71"/>
      <c r="K88" s="71"/>
      <c r="L88" s="71">
        <f t="shared" si="4"/>
        <v>0</v>
      </c>
      <c r="M88" s="71"/>
      <c r="N88" s="71" t="s">
        <v>947</v>
      </c>
    </row>
    <row r="89" spans="1:14" s="8" customFormat="1" ht="15.75" x14ac:dyDescent="0.25">
      <c r="A89" s="15" t="s">
        <v>64</v>
      </c>
      <c r="B89" s="16">
        <v>44193</v>
      </c>
      <c r="C89" s="25" t="s">
        <v>850</v>
      </c>
      <c r="D89" s="38">
        <v>1</v>
      </c>
      <c r="E89" s="13"/>
      <c r="F89" s="50"/>
      <c r="G89" s="71"/>
      <c r="H89" s="71"/>
      <c r="I89" s="72"/>
      <c r="J89" s="71"/>
      <c r="K89" s="71"/>
      <c r="L89" s="71">
        <f t="shared" si="4"/>
        <v>1</v>
      </c>
      <c r="M89" s="71"/>
      <c r="N89" s="71" t="s">
        <v>945</v>
      </c>
    </row>
    <row r="90" spans="1:14" s="8" customFormat="1" ht="15.75" x14ac:dyDescent="0.25">
      <c r="A90" s="15" t="s">
        <v>65</v>
      </c>
      <c r="B90" s="16">
        <v>44193</v>
      </c>
      <c r="C90" s="9" t="s">
        <v>851</v>
      </c>
      <c r="D90" s="30">
        <v>6</v>
      </c>
      <c r="E90" s="13">
        <v>115</v>
      </c>
      <c r="F90" s="50">
        <f>D90*E90</f>
        <v>690</v>
      </c>
      <c r="G90" s="71"/>
      <c r="H90" s="71"/>
      <c r="I90" s="72"/>
      <c r="J90" s="71"/>
      <c r="K90" s="71"/>
      <c r="L90" s="71">
        <f t="shared" si="4"/>
        <v>6</v>
      </c>
      <c r="M90" s="71"/>
      <c r="N90" s="71" t="s">
        <v>947</v>
      </c>
    </row>
    <row r="91" spans="1:14" s="8" customFormat="1" ht="15.75" x14ac:dyDescent="0.25">
      <c r="A91" s="15" t="s">
        <v>66</v>
      </c>
      <c r="B91" s="16">
        <v>44547</v>
      </c>
      <c r="C91" s="9" t="s">
        <v>775</v>
      </c>
      <c r="D91" s="30">
        <v>10</v>
      </c>
      <c r="E91" s="13">
        <v>155</v>
      </c>
      <c r="F91" s="50">
        <f>D91*E91</f>
        <v>1550</v>
      </c>
      <c r="G91" s="71"/>
      <c r="H91" s="71"/>
      <c r="I91" s="72"/>
      <c r="J91" s="71"/>
      <c r="K91" s="71"/>
      <c r="L91" s="71">
        <f t="shared" si="4"/>
        <v>10</v>
      </c>
      <c r="M91" s="71"/>
      <c r="N91" s="71" t="s">
        <v>947</v>
      </c>
    </row>
    <row r="92" spans="1:14" s="8" customFormat="1" ht="15.75" x14ac:dyDescent="0.25">
      <c r="A92" s="15" t="s">
        <v>68</v>
      </c>
      <c r="B92" s="16">
        <v>44453</v>
      </c>
      <c r="C92" s="25" t="s">
        <v>603</v>
      </c>
      <c r="D92" s="14">
        <v>4</v>
      </c>
      <c r="E92" s="13">
        <v>7500</v>
      </c>
      <c r="F92" s="50">
        <f>D92*E92</f>
        <v>30000</v>
      </c>
      <c r="G92" s="71"/>
      <c r="H92" s="71"/>
      <c r="I92" s="72"/>
      <c r="J92" s="71"/>
      <c r="K92" s="71"/>
      <c r="L92" s="71">
        <f t="shared" si="4"/>
        <v>4</v>
      </c>
      <c r="M92" s="71"/>
      <c r="N92" s="71" t="s">
        <v>945</v>
      </c>
    </row>
    <row r="93" spans="1:14" s="8" customFormat="1" ht="15.75" x14ac:dyDescent="0.25">
      <c r="A93" s="15" t="s">
        <v>67</v>
      </c>
      <c r="B93" s="16">
        <v>44659</v>
      </c>
      <c r="C93" s="25" t="s">
        <v>776</v>
      </c>
      <c r="D93" s="14">
        <v>108</v>
      </c>
      <c r="E93" s="13">
        <v>156.66667000000001</v>
      </c>
      <c r="F93" s="50">
        <f>D93*E93</f>
        <v>16920.000360000002</v>
      </c>
      <c r="G93" s="71"/>
      <c r="H93" s="71"/>
      <c r="I93" s="72"/>
      <c r="J93" s="71"/>
      <c r="K93" s="71">
        <f>1+1+1+2+1+1+1+1+1+1+1+1+1+1+1+1+1+1+1+1+1</f>
        <v>22</v>
      </c>
      <c r="L93" s="71">
        <f t="shared" si="4"/>
        <v>86</v>
      </c>
      <c r="M93" s="71"/>
      <c r="N93" s="71" t="s">
        <v>945</v>
      </c>
    </row>
    <row r="94" spans="1:14" s="8" customFormat="1" ht="15.75" x14ac:dyDescent="0.25">
      <c r="A94" s="15" t="s">
        <v>69</v>
      </c>
      <c r="B94" s="16">
        <v>44193</v>
      </c>
      <c r="C94" s="25" t="s">
        <v>844</v>
      </c>
      <c r="D94" s="14">
        <v>20</v>
      </c>
      <c r="E94" s="13">
        <v>30.5</v>
      </c>
      <c r="F94" s="50">
        <f>D94*E94</f>
        <v>610</v>
      </c>
      <c r="G94" s="71"/>
      <c r="H94" s="71"/>
      <c r="I94" s="72"/>
      <c r="J94" s="71"/>
      <c r="K94" s="71"/>
      <c r="L94" s="71">
        <f t="shared" si="4"/>
        <v>20</v>
      </c>
      <c r="M94" s="71"/>
      <c r="N94" s="71" t="s">
        <v>946</v>
      </c>
    </row>
    <row r="95" spans="1:14" s="8" customFormat="1" ht="15.75" x14ac:dyDescent="0.25">
      <c r="A95" s="15" t="s">
        <v>103</v>
      </c>
      <c r="B95" s="16">
        <v>44193</v>
      </c>
      <c r="C95" s="25" t="s">
        <v>789</v>
      </c>
      <c r="D95" s="14">
        <f>21+8+14</f>
        <v>43</v>
      </c>
      <c r="E95" s="13">
        <v>11.24</v>
      </c>
      <c r="F95" s="50">
        <f t="shared" ref="F95:F133" si="5">D95*E95</f>
        <v>483.32</v>
      </c>
      <c r="G95" s="71"/>
      <c r="H95" s="71"/>
      <c r="I95" s="72"/>
      <c r="J95" s="71"/>
      <c r="K95" s="71">
        <v>1</v>
      </c>
      <c r="L95" s="71">
        <f t="shared" si="4"/>
        <v>42</v>
      </c>
      <c r="M95" s="71"/>
      <c r="N95" s="71" t="s">
        <v>946</v>
      </c>
    </row>
    <row r="96" spans="1:14" s="8" customFormat="1" ht="15.75" x14ac:dyDescent="0.25">
      <c r="A96" s="15" t="s">
        <v>104</v>
      </c>
      <c r="B96" s="16">
        <v>44193</v>
      </c>
      <c r="C96" s="25" t="s">
        <v>788</v>
      </c>
      <c r="D96" s="14">
        <f>16+6+7+2</f>
        <v>31</v>
      </c>
      <c r="E96" s="13">
        <v>11.24</v>
      </c>
      <c r="F96" s="50">
        <f t="shared" si="5"/>
        <v>348.44</v>
      </c>
      <c r="G96" s="71"/>
      <c r="H96" s="71"/>
      <c r="I96" s="72"/>
      <c r="J96" s="71"/>
      <c r="K96" s="71"/>
      <c r="L96" s="71">
        <f t="shared" si="4"/>
        <v>31</v>
      </c>
      <c r="M96" s="71"/>
      <c r="N96" s="71" t="s">
        <v>946</v>
      </c>
    </row>
    <row r="97" spans="1:14" s="8" customFormat="1" ht="15.75" x14ac:dyDescent="0.25">
      <c r="A97" s="15" t="s">
        <v>142</v>
      </c>
      <c r="B97" s="16">
        <v>44193</v>
      </c>
      <c r="C97" s="25" t="s">
        <v>604</v>
      </c>
      <c r="D97" s="14">
        <v>28</v>
      </c>
      <c r="E97" s="13">
        <v>45</v>
      </c>
      <c r="F97" s="50">
        <f t="shared" si="5"/>
        <v>1260</v>
      </c>
      <c r="G97" s="71"/>
      <c r="H97" s="71"/>
      <c r="I97" s="72"/>
      <c r="J97" s="71"/>
      <c r="K97" s="71"/>
      <c r="L97" s="71">
        <f t="shared" si="4"/>
        <v>28</v>
      </c>
      <c r="M97" s="71"/>
      <c r="N97" s="71" t="s">
        <v>946</v>
      </c>
    </row>
    <row r="98" spans="1:14" s="8" customFormat="1" ht="15.75" x14ac:dyDescent="0.25">
      <c r="A98" s="15" t="s">
        <v>70</v>
      </c>
      <c r="B98" s="16">
        <v>44193</v>
      </c>
      <c r="C98" s="25" t="s">
        <v>605</v>
      </c>
      <c r="D98" s="14">
        <v>4</v>
      </c>
      <c r="E98" s="13">
        <v>40</v>
      </c>
      <c r="F98" s="50">
        <f t="shared" si="5"/>
        <v>160</v>
      </c>
      <c r="G98" s="71"/>
      <c r="H98" s="71"/>
      <c r="I98" s="72"/>
      <c r="J98" s="71"/>
      <c r="K98" s="71"/>
      <c r="L98" s="71">
        <f t="shared" si="4"/>
        <v>4</v>
      </c>
      <c r="M98" s="71"/>
      <c r="N98" s="71" t="s">
        <v>946</v>
      </c>
    </row>
    <row r="99" spans="1:14" s="8" customFormat="1" ht="15.75" x14ac:dyDescent="0.25">
      <c r="A99" s="15" t="s">
        <v>71</v>
      </c>
      <c r="B99" s="16">
        <v>44193</v>
      </c>
      <c r="C99" s="25" t="s">
        <v>606</v>
      </c>
      <c r="D99" s="14">
        <v>39</v>
      </c>
      <c r="E99" s="13">
        <v>45</v>
      </c>
      <c r="F99" s="50">
        <f t="shared" si="5"/>
        <v>1755</v>
      </c>
      <c r="G99" s="71"/>
      <c r="H99" s="71"/>
      <c r="I99" s="72"/>
      <c r="J99" s="71"/>
      <c r="K99" s="71"/>
      <c r="L99" s="71">
        <f t="shared" si="4"/>
        <v>39</v>
      </c>
      <c r="M99" s="71"/>
      <c r="N99" s="71" t="s">
        <v>946</v>
      </c>
    </row>
    <row r="100" spans="1:14" s="8" customFormat="1" ht="15.75" x14ac:dyDescent="0.25">
      <c r="A100" s="15" t="s">
        <v>72</v>
      </c>
      <c r="B100" s="16">
        <v>44193</v>
      </c>
      <c r="C100" s="25" t="s">
        <v>846</v>
      </c>
      <c r="D100" s="14">
        <v>1</v>
      </c>
      <c r="E100" s="13">
        <v>47</v>
      </c>
      <c r="F100" s="50">
        <f t="shared" si="5"/>
        <v>47</v>
      </c>
      <c r="G100" s="71"/>
      <c r="H100" s="71"/>
      <c r="I100" s="72"/>
      <c r="J100" s="71"/>
      <c r="K100" s="71"/>
      <c r="L100" s="71">
        <f t="shared" si="4"/>
        <v>1</v>
      </c>
      <c r="M100" s="71"/>
      <c r="N100" s="71" t="s">
        <v>946</v>
      </c>
    </row>
    <row r="101" spans="1:14" s="8" customFormat="1" ht="15.75" x14ac:dyDescent="0.25">
      <c r="A101" s="15" t="s">
        <v>73</v>
      </c>
      <c r="B101" s="16">
        <v>44193</v>
      </c>
      <c r="C101" s="25" t="s">
        <v>607</v>
      </c>
      <c r="D101" s="14">
        <v>1</v>
      </c>
      <c r="E101" s="13">
        <v>40</v>
      </c>
      <c r="F101" s="50">
        <f t="shared" si="5"/>
        <v>40</v>
      </c>
      <c r="G101" s="71"/>
      <c r="H101" s="71"/>
      <c r="I101" s="72"/>
      <c r="J101" s="71"/>
      <c r="K101" s="71"/>
      <c r="L101" s="71">
        <f t="shared" si="4"/>
        <v>1</v>
      </c>
      <c r="M101" s="71"/>
      <c r="N101" s="71" t="s">
        <v>946</v>
      </c>
    </row>
    <row r="102" spans="1:14" s="8" customFormat="1" ht="15.75" x14ac:dyDescent="0.25">
      <c r="A102" s="15" t="s">
        <v>74</v>
      </c>
      <c r="B102" s="16">
        <v>44193</v>
      </c>
      <c r="C102" s="25" t="s">
        <v>608</v>
      </c>
      <c r="D102" s="32">
        <v>2</v>
      </c>
      <c r="E102" s="13">
        <v>12.21</v>
      </c>
      <c r="F102" s="50">
        <f t="shared" si="5"/>
        <v>24.42</v>
      </c>
      <c r="G102" s="71"/>
      <c r="H102" s="71"/>
      <c r="I102" s="72"/>
      <c r="J102" s="71"/>
      <c r="K102" s="71"/>
      <c r="L102" s="71">
        <f t="shared" si="4"/>
        <v>2</v>
      </c>
      <c r="M102" s="71"/>
      <c r="N102" s="71" t="s">
        <v>946</v>
      </c>
    </row>
    <row r="103" spans="1:14" s="8" customFormat="1" ht="15.75" x14ac:dyDescent="0.25">
      <c r="A103" s="15" t="s">
        <v>101</v>
      </c>
      <c r="B103" s="16">
        <v>44193</v>
      </c>
      <c r="C103" s="25" t="s">
        <v>609</v>
      </c>
      <c r="D103" s="32">
        <v>0</v>
      </c>
      <c r="E103" s="13">
        <v>4</v>
      </c>
      <c r="F103" s="50">
        <f t="shared" si="5"/>
        <v>0</v>
      </c>
      <c r="G103" s="71"/>
      <c r="H103" s="71"/>
      <c r="I103" s="72"/>
      <c r="J103" s="71"/>
      <c r="K103" s="71"/>
      <c r="L103" s="71">
        <f t="shared" si="4"/>
        <v>0</v>
      </c>
      <c r="M103" s="71"/>
      <c r="N103" s="71" t="s">
        <v>946</v>
      </c>
    </row>
    <row r="104" spans="1:14" s="8" customFormat="1" ht="15.75" x14ac:dyDescent="0.25">
      <c r="A104" s="15" t="s">
        <v>75</v>
      </c>
      <c r="B104" s="16">
        <v>44193</v>
      </c>
      <c r="C104" s="25" t="s">
        <v>610</v>
      </c>
      <c r="D104" s="32">
        <f>13+7+29</f>
        <v>49</v>
      </c>
      <c r="E104" s="13">
        <v>5.05</v>
      </c>
      <c r="F104" s="50">
        <f t="shared" si="5"/>
        <v>247.45</v>
      </c>
      <c r="G104" s="71"/>
      <c r="H104" s="71"/>
      <c r="I104" s="72"/>
      <c r="J104" s="71"/>
      <c r="K104" s="71"/>
      <c r="L104" s="71">
        <f t="shared" si="4"/>
        <v>49</v>
      </c>
      <c r="M104" s="71"/>
      <c r="N104" s="71" t="s">
        <v>946</v>
      </c>
    </row>
    <row r="105" spans="1:14" s="8" customFormat="1" ht="15.75" x14ac:dyDescent="0.25">
      <c r="A105" s="15" t="s">
        <v>102</v>
      </c>
      <c r="B105" s="16">
        <v>44193</v>
      </c>
      <c r="C105" s="25" t="s">
        <v>611</v>
      </c>
      <c r="D105" s="32">
        <v>0</v>
      </c>
      <c r="E105" s="13">
        <v>42.95</v>
      </c>
      <c r="F105" s="50">
        <f t="shared" si="5"/>
        <v>0</v>
      </c>
      <c r="G105" s="71"/>
      <c r="H105" s="71"/>
      <c r="I105" s="72"/>
      <c r="J105" s="71"/>
      <c r="K105" s="71"/>
      <c r="L105" s="71">
        <f t="shared" si="4"/>
        <v>0</v>
      </c>
      <c r="M105" s="71"/>
      <c r="N105" s="71" t="s">
        <v>946</v>
      </c>
    </row>
    <row r="106" spans="1:14" s="8" customFormat="1" ht="15.75" x14ac:dyDescent="0.25">
      <c r="A106" s="15" t="s">
        <v>143</v>
      </c>
      <c r="B106" s="16">
        <v>44193</v>
      </c>
      <c r="C106" s="25" t="s">
        <v>612</v>
      </c>
      <c r="D106" s="30">
        <v>11</v>
      </c>
      <c r="E106" s="13">
        <v>19.95</v>
      </c>
      <c r="F106" s="50">
        <f t="shared" si="5"/>
        <v>219.45</v>
      </c>
      <c r="G106" s="71"/>
      <c r="H106" s="71"/>
      <c r="I106" s="72"/>
      <c r="J106" s="71"/>
      <c r="K106" s="71"/>
      <c r="L106" s="71">
        <f t="shared" si="4"/>
        <v>11</v>
      </c>
      <c r="M106" s="71"/>
      <c r="N106" s="71" t="s">
        <v>946</v>
      </c>
    </row>
    <row r="107" spans="1:14" s="8" customFormat="1" ht="15.75" x14ac:dyDescent="0.25">
      <c r="A107" s="15" t="s">
        <v>334</v>
      </c>
      <c r="B107" s="16">
        <v>44193</v>
      </c>
      <c r="C107" s="25" t="s">
        <v>613</v>
      </c>
      <c r="D107" s="30">
        <f>6+7</f>
        <v>13</v>
      </c>
      <c r="E107" s="13">
        <v>5.78</v>
      </c>
      <c r="F107" s="50">
        <f t="shared" si="5"/>
        <v>75.14</v>
      </c>
      <c r="G107" s="71"/>
      <c r="H107" s="71"/>
      <c r="I107" s="72"/>
      <c r="J107" s="71"/>
      <c r="K107" s="71"/>
      <c r="L107" s="71">
        <f t="shared" si="4"/>
        <v>13</v>
      </c>
      <c r="M107" s="71"/>
      <c r="N107" s="71" t="s">
        <v>946</v>
      </c>
    </row>
    <row r="108" spans="1:14" s="8" customFormat="1" ht="15.75" x14ac:dyDescent="0.25">
      <c r="A108" s="15" t="s">
        <v>335</v>
      </c>
      <c r="B108" s="16">
        <v>44193</v>
      </c>
      <c r="C108" s="25" t="s">
        <v>849</v>
      </c>
      <c r="D108" s="30">
        <v>1</v>
      </c>
      <c r="E108" s="13"/>
      <c r="F108" s="50">
        <f t="shared" si="5"/>
        <v>0</v>
      </c>
      <c r="G108" s="71"/>
      <c r="H108" s="71"/>
      <c r="I108" s="72"/>
      <c r="J108" s="71"/>
      <c r="K108" s="71"/>
      <c r="L108" s="71">
        <f t="shared" si="4"/>
        <v>1</v>
      </c>
      <c r="M108" s="71"/>
      <c r="N108" s="71" t="s">
        <v>946</v>
      </c>
    </row>
    <row r="109" spans="1:14" s="8" customFormat="1" ht="15.75" x14ac:dyDescent="0.25">
      <c r="A109" s="15" t="s">
        <v>336</v>
      </c>
      <c r="B109" s="16">
        <v>44193</v>
      </c>
      <c r="C109" s="26" t="s">
        <v>821</v>
      </c>
      <c r="D109" s="30">
        <v>9</v>
      </c>
      <c r="E109" s="13">
        <v>77.540000000000006</v>
      </c>
      <c r="F109" s="50">
        <f t="shared" si="5"/>
        <v>697.86</v>
      </c>
      <c r="G109" s="71"/>
      <c r="H109" s="71"/>
      <c r="I109" s="72"/>
      <c r="J109" s="71"/>
      <c r="K109" s="71"/>
      <c r="L109" s="71">
        <f t="shared" si="4"/>
        <v>9</v>
      </c>
      <c r="M109" s="71"/>
      <c r="N109" s="71" t="s">
        <v>946</v>
      </c>
    </row>
    <row r="110" spans="1:14" s="8" customFormat="1" ht="15.75" x14ac:dyDescent="0.25">
      <c r="A110" s="15" t="s">
        <v>337</v>
      </c>
      <c r="B110" s="16">
        <v>44193</v>
      </c>
      <c r="C110" s="26" t="s">
        <v>820</v>
      </c>
      <c r="D110" s="30">
        <v>21</v>
      </c>
      <c r="E110" s="13">
        <v>719.2</v>
      </c>
      <c r="F110" s="50">
        <f t="shared" si="5"/>
        <v>15103.2</v>
      </c>
      <c r="G110" s="71"/>
      <c r="H110" s="71"/>
      <c r="I110" s="72"/>
      <c r="J110" s="71"/>
      <c r="K110" s="71"/>
      <c r="L110" s="71">
        <f t="shared" si="4"/>
        <v>21</v>
      </c>
      <c r="M110" s="71"/>
      <c r="N110" s="71" t="s">
        <v>946</v>
      </c>
    </row>
    <row r="111" spans="1:14" s="8" customFormat="1" ht="15.75" x14ac:dyDescent="0.25">
      <c r="A111" s="15" t="s">
        <v>338</v>
      </c>
      <c r="B111" s="16">
        <v>44193</v>
      </c>
      <c r="C111" s="26" t="s">
        <v>823</v>
      </c>
      <c r="D111" s="30">
        <v>3</v>
      </c>
      <c r="E111" s="13">
        <v>51</v>
      </c>
      <c r="F111" s="50">
        <f t="shared" si="5"/>
        <v>153</v>
      </c>
      <c r="G111" s="71"/>
      <c r="H111" s="71"/>
      <c r="I111" s="72"/>
      <c r="J111" s="71"/>
      <c r="K111" s="71"/>
      <c r="L111" s="71">
        <f t="shared" si="4"/>
        <v>3</v>
      </c>
      <c r="M111" s="71"/>
      <c r="N111" s="71" t="s">
        <v>946</v>
      </c>
    </row>
    <row r="112" spans="1:14" s="8" customFormat="1" ht="15.75" x14ac:dyDescent="0.25">
      <c r="A112" s="15" t="s">
        <v>339</v>
      </c>
      <c r="B112" s="16">
        <v>44193</v>
      </c>
      <c r="C112" s="26" t="s">
        <v>822</v>
      </c>
      <c r="D112" s="30">
        <v>12</v>
      </c>
      <c r="E112" s="13">
        <v>66.11</v>
      </c>
      <c r="F112" s="50">
        <f t="shared" si="5"/>
        <v>793.31999999999994</v>
      </c>
      <c r="G112" s="71"/>
      <c r="H112" s="71"/>
      <c r="I112" s="72"/>
      <c r="J112" s="71"/>
      <c r="K112" s="71"/>
      <c r="L112" s="71">
        <f t="shared" si="4"/>
        <v>12</v>
      </c>
      <c r="M112" s="71"/>
      <c r="N112" s="71" t="s">
        <v>946</v>
      </c>
    </row>
    <row r="113" spans="1:14" s="8" customFormat="1" ht="15.75" x14ac:dyDescent="0.25">
      <c r="A113" s="15" t="s">
        <v>340</v>
      </c>
      <c r="B113" s="16">
        <v>44193</v>
      </c>
      <c r="C113" s="26" t="s">
        <v>802</v>
      </c>
      <c r="D113" s="30">
        <v>2</v>
      </c>
      <c r="E113" s="13">
        <v>70</v>
      </c>
      <c r="F113" s="50">
        <f t="shared" si="5"/>
        <v>140</v>
      </c>
      <c r="G113" s="71"/>
      <c r="H113" s="71"/>
      <c r="I113" s="72"/>
      <c r="J113" s="71"/>
      <c r="K113" s="71"/>
      <c r="L113" s="71">
        <f t="shared" si="4"/>
        <v>2</v>
      </c>
      <c r="M113" s="71"/>
      <c r="N113" s="71" t="s">
        <v>946</v>
      </c>
    </row>
    <row r="114" spans="1:14" s="8" customFormat="1" ht="15.75" x14ac:dyDescent="0.25">
      <c r="A114" s="15" t="s">
        <v>341</v>
      </c>
      <c r="B114" s="16">
        <v>44193</v>
      </c>
      <c r="C114" s="26" t="s">
        <v>804</v>
      </c>
      <c r="D114" s="30">
        <v>6</v>
      </c>
      <c r="E114" s="13">
        <v>450</v>
      </c>
      <c r="F114" s="50">
        <f t="shared" si="5"/>
        <v>2700</v>
      </c>
      <c r="G114" s="71"/>
      <c r="H114" s="71"/>
      <c r="I114" s="72"/>
      <c r="J114" s="71"/>
      <c r="K114" s="71"/>
      <c r="L114" s="71">
        <f t="shared" si="4"/>
        <v>6</v>
      </c>
      <c r="M114" s="71"/>
      <c r="N114" s="71" t="s">
        <v>946</v>
      </c>
    </row>
    <row r="115" spans="1:14" s="8" customFormat="1" ht="15.75" x14ac:dyDescent="0.25">
      <c r="A115" s="15" t="s">
        <v>342</v>
      </c>
      <c r="B115" s="16">
        <v>44193</v>
      </c>
      <c r="C115" s="26" t="s">
        <v>801</v>
      </c>
      <c r="D115" s="30">
        <v>2</v>
      </c>
      <c r="E115" s="13">
        <v>719.2</v>
      </c>
      <c r="F115" s="50">
        <f t="shared" si="5"/>
        <v>1438.4</v>
      </c>
      <c r="G115" s="71"/>
      <c r="H115" s="71"/>
      <c r="I115" s="72"/>
      <c r="J115" s="71"/>
      <c r="K115" s="71">
        <v>2</v>
      </c>
      <c r="L115" s="71">
        <f t="shared" si="4"/>
        <v>0</v>
      </c>
      <c r="M115" s="71"/>
      <c r="N115" s="71" t="s">
        <v>946</v>
      </c>
    </row>
    <row r="116" spans="1:14" s="8" customFormat="1" ht="15.75" x14ac:dyDescent="0.25">
      <c r="A116" s="15" t="s">
        <v>343</v>
      </c>
      <c r="B116" s="16">
        <v>44193</v>
      </c>
      <c r="C116" s="25" t="s">
        <v>616</v>
      </c>
      <c r="D116" s="32">
        <v>0</v>
      </c>
      <c r="E116" s="13">
        <v>2950</v>
      </c>
      <c r="F116" s="50">
        <f t="shared" si="5"/>
        <v>0</v>
      </c>
      <c r="G116" s="71"/>
      <c r="H116" s="71"/>
      <c r="I116" s="72"/>
      <c r="J116" s="71"/>
      <c r="K116" s="71"/>
      <c r="L116" s="71">
        <f t="shared" si="4"/>
        <v>0</v>
      </c>
      <c r="M116" s="71"/>
      <c r="N116" s="71" t="s">
        <v>946</v>
      </c>
    </row>
    <row r="117" spans="1:14" s="8" customFormat="1" ht="15.75" x14ac:dyDescent="0.25">
      <c r="A117" s="15" t="s">
        <v>344</v>
      </c>
      <c r="B117" s="16">
        <v>44193</v>
      </c>
      <c r="C117" s="25" t="s">
        <v>617</v>
      </c>
      <c r="D117" s="32">
        <v>5</v>
      </c>
      <c r="E117" s="13">
        <v>29</v>
      </c>
      <c r="F117" s="50">
        <f t="shared" si="5"/>
        <v>145</v>
      </c>
      <c r="G117" s="71"/>
      <c r="H117" s="71"/>
      <c r="I117" s="72"/>
      <c r="J117" s="71"/>
      <c r="K117" s="71"/>
      <c r="L117" s="71">
        <f t="shared" si="4"/>
        <v>5</v>
      </c>
      <c r="M117" s="71"/>
      <c r="N117" s="71" t="s">
        <v>946</v>
      </c>
    </row>
    <row r="118" spans="1:14" s="8" customFormat="1" ht="15.75" x14ac:dyDescent="0.25">
      <c r="A118" s="15" t="s">
        <v>345</v>
      </c>
      <c r="B118" s="23" t="s">
        <v>106</v>
      </c>
      <c r="C118" s="9" t="s">
        <v>618</v>
      </c>
      <c r="D118" s="30">
        <v>12</v>
      </c>
      <c r="E118" s="51">
        <v>35</v>
      </c>
      <c r="F118" s="50">
        <f t="shared" si="5"/>
        <v>420</v>
      </c>
      <c r="G118" s="71"/>
      <c r="H118" s="71"/>
      <c r="I118" s="72"/>
      <c r="J118" s="71"/>
      <c r="K118" s="71"/>
      <c r="L118" s="71">
        <f t="shared" si="4"/>
        <v>12</v>
      </c>
      <c r="M118" s="71"/>
      <c r="N118" s="71" t="s">
        <v>947</v>
      </c>
    </row>
    <row r="119" spans="1:14" s="8" customFormat="1" ht="15.75" x14ac:dyDescent="0.25">
      <c r="A119" s="15" t="s">
        <v>346</v>
      </c>
      <c r="B119" s="16">
        <v>44193</v>
      </c>
      <c r="C119" s="26" t="s">
        <v>619</v>
      </c>
      <c r="D119" s="32">
        <v>0</v>
      </c>
      <c r="E119" s="13">
        <v>155</v>
      </c>
      <c r="F119" s="50">
        <f t="shared" si="5"/>
        <v>0</v>
      </c>
      <c r="G119" s="71"/>
      <c r="H119" s="71"/>
      <c r="I119" s="72"/>
      <c r="J119" s="71"/>
      <c r="K119" s="71">
        <f>2+1+1</f>
        <v>4</v>
      </c>
      <c r="L119" s="71">
        <f t="shared" si="4"/>
        <v>-4</v>
      </c>
      <c r="M119" s="71"/>
      <c r="N119" s="71" t="s">
        <v>945</v>
      </c>
    </row>
    <row r="120" spans="1:14" s="8" customFormat="1" ht="15.75" x14ac:dyDescent="0.25">
      <c r="A120" s="15" t="s">
        <v>347</v>
      </c>
      <c r="B120" s="16">
        <v>44777</v>
      </c>
      <c r="C120" s="26" t="s">
        <v>620</v>
      </c>
      <c r="D120" s="32">
        <v>90</v>
      </c>
      <c r="E120" s="13">
        <v>71.95</v>
      </c>
      <c r="F120" s="50">
        <f t="shared" si="5"/>
        <v>6475.5</v>
      </c>
      <c r="G120" s="71"/>
      <c r="H120" s="71"/>
      <c r="I120" s="72"/>
      <c r="J120" s="71"/>
      <c r="K120" s="71">
        <f>1+1+1+1+1+1+1+1+1+1+1+1+1+1+1+1+2+1+1+1+1+1</f>
        <v>23</v>
      </c>
      <c r="L120" s="71">
        <f t="shared" si="4"/>
        <v>67</v>
      </c>
      <c r="M120" s="71"/>
      <c r="N120" s="71" t="s">
        <v>945</v>
      </c>
    </row>
    <row r="121" spans="1:14" s="8" customFormat="1" ht="15.75" x14ac:dyDescent="0.25">
      <c r="A121" s="15" t="s">
        <v>348</v>
      </c>
      <c r="B121" s="16">
        <v>44193</v>
      </c>
      <c r="C121" s="26" t="s">
        <v>626</v>
      </c>
      <c r="D121" s="32">
        <v>0</v>
      </c>
      <c r="E121" s="13">
        <v>190.68</v>
      </c>
      <c r="F121" s="50">
        <f t="shared" si="5"/>
        <v>0</v>
      </c>
      <c r="G121" s="71"/>
      <c r="H121" s="71"/>
      <c r="I121" s="72"/>
      <c r="J121" s="71"/>
      <c r="K121" s="71"/>
      <c r="L121" s="71">
        <f t="shared" si="4"/>
        <v>0</v>
      </c>
      <c r="M121" s="71"/>
      <c r="N121" s="71" t="s">
        <v>946</v>
      </c>
    </row>
    <row r="122" spans="1:14" s="8" customFormat="1" ht="15.75" x14ac:dyDescent="0.25">
      <c r="A122" s="15" t="s">
        <v>349</v>
      </c>
      <c r="B122" s="16">
        <v>44678</v>
      </c>
      <c r="C122" s="26" t="s">
        <v>621</v>
      </c>
      <c r="D122" s="32">
        <v>1</v>
      </c>
      <c r="E122" s="13">
        <v>3800</v>
      </c>
      <c r="F122" s="50">
        <f t="shared" si="5"/>
        <v>3800</v>
      </c>
      <c r="G122" s="71"/>
      <c r="H122" s="71"/>
      <c r="I122" s="72"/>
      <c r="J122" s="71"/>
      <c r="K122" s="71"/>
      <c r="L122" s="71">
        <f t="shared" si="4"/>
        <v>1</v>
      </c>
      <c r="M122" s="71"/>
      <c r="N122" s="71" t="s">
        <v>945</v>
      </c>
    </row>
    <row r="123" spans="1:14" s="8" customFormat="1" ht="15.75" x14ac:dyDescent="0.25">
      <c r="A123" s="15" t="s">
        <v>350</v>
      </c>
      <c r="B123" s="16">
        <v>44193</v>
      </c>
      <c r="C123" s="26" t="s">
        <v>622</v>
      </c>
      <c r="D123" s="32">
        <v>0</v>
      </c>
      <c r="E123" s="13">
        <v>1400</v>
      </c>
      <c r="F123" s="50">
        <f t="shared" si="5"/>
        <v>0</v>
      </c>
      <c r="G123" s="71"/>
      <c r="H123" s="71"/>
      <c r="I123" s="72"/>
      <c r="J123" s="71"/>
      <c r="K123" s="71"/>
      <c r="L123" s="71">
        <f t="shared" si="4"/>
        <v>0</v>
      </c>
      <c r="M123" s="71"/>
      <c r="N123" s="71" t="s">
        <v>945</v>
      </c>
    </row>
    <row r="124" spans="1:14" s="8" customFormat="1" ht="15.75" x14ac:dyDescent="0.25">
      <c r="A124" s="15" t="s">
        <v>351</v>
      </c>
      <c r="B124" s="16">
        <v>44456</v>
      </c>
      <c r="C124" s="26" t="s">
        <v>623</v>
      </c>
      <c r="D124" s="32">
        <v>13</v>
      </c>
      <c r="E124" s="13">
        <v>1099</v>
      </c>
      <c r="F124" s="50">
        <f t="shared" si="5"/>
        <v>14287</v>
      </c>
      <c r="G124" s="71"/>
      <c r="H124" s="71"/>
      <c r="I124" s="72"/>
      <c r="J124" s="71"/>
      <c r="K124" s="71">
        <v>1</v>
      </c>
      <c r="L124" s="71">
        <f t="shared" si="4"/>
        <v>12</v>
      </c>
      <c r="M124" s="71"/>
      <c r="N124" s="71" t="s">
        <v>945</v>
      </c>
    </row>
    <row r="125" spans="1:14" s="8" customFormat="1" ht="15.75" x14ac:dyDescent="0.25">
      <c r="A125" s="15" t="s">
        <v>352</v>
      </c>
      <c r="B125" s="16">
        <v>44456</v>
      </c>
      <c r="C125" s="26" t="s">
        <v>767</v>
      </c>
      <c r="D125" s="32">
        <v>18</v>
      </c>
      <c r="E125" s="13">
        <v>4000</v>
      </c>
      <c r="F125" s="50">
        <f t="shared" si="5"/>
        <v>72000</v>
      </c>
      <c r="G125" s="71"/>
      <c r="H125" s="71"/>
      <c r="I125" s="72"/>
      <c r="J125" s="71"/>
      <c r="K125" s="71">
        <f>4+4+3</f>
        <v>11</v>
      </c>
      <c r="L125" s="71">
        <f t="shared" si="4"/>
        <v>7</v>
      </c>
      <c r="M125" s="71"/>
      <c r="N125" s="71" t="s">
        <v>945</v>
      </c>
    </row>
    <row r="126" spans="1:14" s="8" customFormat="1" ht="15.75" x14ac:dyDescent="0.25">
      <c r="A126" s="15" t="s">
        <v>353</v>
      </c>
      <c r="B126" s="16">
        <v>44193</v>
      </c>
      <c r="C126" s="26" t="s">
        <v>625</v>
      </c>
      <c r="D126" s="32">
        <v>5</v>
      </c>
      <c r="E126" s="13">
        <v>1400</v>
      </c>
      <c r="F126" s="50">
        <f t="shared" si="5"/>
        <v>7000</v>
      </c>
      <c r="G126" s="71"/>
      <c r="H126" s="71"/>
      <c r="I126" s="72"/>
      <c r="J126" s="71"/>
      <c r="K126" s="71"/>
      <c r="L126" s="71">
        <f t="shared" si="4"/>
        <v>5</v>
      </c>
      <c r="M126" s="71"/>
      <c r="N126" s="71" t="s">
        <v>945</v>
      </c>
    </row>
    <row r="127" spans="1:14" s="8" customFormat="1" ht="15.75" x14ac:dyDescent="0.25">
      <c r="A127" s="15" t="s">
        <v>354</v>
      </c>
      <c r="B127" s="23" t="s">
        <v>106</v>
      </c>
      <c r="C127" s="28" t="s">
        <v>627</v>
      </c>
      <c r="D127" s="49">
        <v>100</v>
      </c>
      <c r="E127" s="52">
        <v>28</v>
      </c>
      <c r="F127" s="50">
        <f t="shared" si="5"/>
        <v>2800</v>
      </c>
      <c r="G127" s="71"/>
      <c r="H127" s="71"/>
      <c r="I127" s="72"/>
      <c r="J127" s="71"/>
      <c r="K127" s="71"/>
      <c r="L127" s="71">
        <f t="shared" si="4"/>
        <v>100</v>
      </c>
      <c r="M127" s="71"/>
      <c r="N127" s="71" t="s">
        <v>947</v>
      </c>
    </row>
    <row r="128" spans="1:14" s="8" customFormat="1" ht="15.75" x14ac:dyDescent="0.25">
      <c r="A128" s="15" t="s">
        <v>355</v>
      </c>
      <c r="B128" s="23" t="s">
        <v>114</v>
      </c>
      <c r="C128" s="26" t="s">
        <v>80</v>
      </c>
      <c r="D128" s="32">
        <v>0</v>
      </c>
      <c r="E128" s="51">
        <v>85</v>
      </c>
      <c r="F128" s="50">
        <f t="shared" si="5"/>
        <v>0</v>
      </c>
      <c r="G128" s="71"/>
      <c r="H128" s="71"/>
      <c r="I128" s="72"/>
      <c r="J128" s="71"/>
      <c r="K128" s="71"/>
      <c r="L128" s="71">
        <f t="shared" si="4"/>
        <v>0</v>
      </c>
      <c r="M128" s="71"/>
      <c r="N128" s="71" t="s">
        <v>946</v>
      </c>
    </row>
    <row r="129" spans="1:14" s="8" customFormat="1" ht="15.75" x14ac:dyDescent="0.25">
      <c r="A129" s="15" t="s">
        <v>356</v>
      </c>
      <c r="B129" s="16">
        <v>44193</v>
      </c>
      <c r="C129" s="9" t="s">
        <v>628</v>
      </c>
      <c r="D129" s="58">
        <v>1</v>
      </c>
      <c r="E129" s="13">
        <v>550</v>
      </c>
      <c r="F129" s="50">
        <f t="shared" si="5"/>
        <v>550</v>
      </c>
      <c r="G129" s="71"/>
      <c r="H129" s="71"/>
      <c r="I129" s="72"/>
      <c r="J129" s="71"/>
      <c r="K129" s="71"/>
      <c r="L129" s="71">
        <f t="shared" si="4"/>
        <v>1</v>
      </c>
      <c r="M129" s="71"/>
      <c r="N129" s="71" t="s">
        <v>946</v>
      </c>
    </row>
    <row r="130" spans="1:14" s="8" customFormat="1" ht="15.75" x14ac:dyDescent="0.25">
      <c r="A130" s="15" t="s">
        <v>357</v>
      </c>
      <c r="B130" s="16">
        <v>44193</v>
      </c>
      <c r="C130" s="9" t="s">
        <v>629</v>
      </c>
      <c r="D130" s="48">
        <v>0</v>
      </c>
      <c r="E130" s="13">
        <v>60</v>
      </c>
      <c r="F130" s="50">
        <f t="shared" si="5"/>
        <v>0</v>
      </c>
      <c r="G130" s="71"/>
      <c r="H130" s="71"/>
      <c r="I130" s="72"/>
      <c r="J130" s="71"/>
      <c r="K130" s="71"/>
      <c r="L130" s="71">
        <f t="shared" si="4"/>
        <v>0</v>
      </c>
      <c r="M130" s="71"/>
      <c r="N130" s="71" t="s">
        <v>945</v>
      </c>
    </row>
    <row r="131" spans="1:14" s="8" customFormat="1" ht="15.75" x14ac:dyDescent="0.25">
      <c r="A131" s="15" t="s">
        <v>358</v>
      </c>
      <c r="B131" s="16">
        <v>44656</v>
      </c>
      <c r="C131" s="25" t="s">
        <v>631</v>
      </c>
      <c r="D131" s="32">
        <v>40</v>
      </c>
      <c r="E131" s="13">
        <v>115.53</v>
      </c>
      <c r="F131" s="50">
        <f t="shared" si="5"/>
        <v>4621.2</v>
      </c>
      <c r="G131" s="71"/>
      <c r="H131" s="71"/>
      <c r="I131" s="72"/>
      <c r="J131" s="71"/>
      <c r="K131" s="71">
        <f>2+1+2+1+1</f>
        <v>7</v>
      </c>
      <c r="L131" s="71">
        <f t="shared" si="4"/>
        <v>33</v>
      </c>
      <c r="M131" s="71"/>
      <c r="N131" s="71" t="s">
        <v>945</v>
      </c>
    </row>
    <row r="132" spans="1:14" s="8" customFormat="1" ht="15.75" x14ac:dyDescent="0.25">
      <c r="A132" s="15" t="s">
        <v>359</v>
      </c>
      <c r="B132" s="16">
        <v>44656</v>
      </c>
      <c r="C132" s="26" t="s">
        <v>632</v>
      </c>
      <c r="D132" s="32">
        <v>12</v>
      </c>
      <c r="E132" s="13">
        <v>128.62</v>
      </c>
      <c r="F132" s="50">
        <f t="shared" si="5"/>
        <v>1543.44</v>
      </c>
      <c r="G132" s="71"/>
      <c r="H132" s="71"/>
      <c r="I132" s="72"/>
      <c r="J132" s="71"/>
      <c r="K132" s="71"/>
      <c r="L132" s="71">
        <f t="shared" si="4"/>
        <v>12</v>
      </c>
      <c r="M132" s="71"/>
      <c r="N132" s="71" t="s">
        <v>945</v>
      </c>
    </row>
    <row r="133" spans="1:14" s="8" customFormat="1" ht="15.75" x14ac:dyDescent="0.25">
      <c r="A133" s="15" t="s">
        <v>360</v>
      </c>
      <c r="B133" s="16">
        <v>44659</v>
      </c>
      <c r="C133" s="26" t="s">
        <v>633</v>
      </c>
      <c r="D133" s="14">
        <v>41</v>
      </c>
      <c r="E133" s="13">
        <v>325</v>
      </c>
      <c r="F133" s="50">
        <f t="shared" si="5"/>
        <v>13325</v>
      </c>
      <c r="G133" s="71"/>
      <c r="H133" s="71"/>
      <c r="I133" s="72"/>
      <c r="J133" s="71"/>
      <c r="K133" s="71"/>
      <c r="L133" s="71">
        <f t="shared" si="4"/>
        <v>41</v>
      </c>
      <c r="M133" s="71"/>
      <c r="N133" s="71" t="s">
        <v>945</v>
      </c>
    </row>
    <row r="134" spans="1:14" s="8" customFormat="1" ht="15.75" x14ac:dyDescent="0.25">
      <c r="A134" s="15" t="s">
        <v>361</v>
      </c>
      <c r="B134" s="16"/>
      <c r="C134" s="25" t="s">
        <v>861</v>
      </c>
      <c r="D134" s="38">
        <f>8+48</f>
        <v>56</v>
      </c>
      <c r="E134" s="13"/>
      <c r="F134" s="50">
        <f t="shared" ref="F134:F139" si="6">+D134*E134</f>
        <v>0</v>
      </c>
      <c r="G134" s="71"/>
      <c r="H134" s="71"/>
      <c r="I134" s="72"/>
      <c r="J134" s="71"/>
      <c r="K134" s="71"/>
      <c r="L134" s="71">
        <f t="shared" si="4"/>
        <v>56</v>
      </c>
      <c r="M134" s="71"/>
      <c r="N134" s="71" t="s">
        <v>947</v>
      </c>
    </row>
    <row r="135" spans="1:14" s="8" customFormat="1" ht="15.75" x14ac:dyDescent="0.25">
      <c r="A135" s="15" t="s">
        <v>362</v>
      </c>
      <c r="B135" s="16"/>
      <c r="C135" s="25" t="s">
        <v>862</v>
      </c>
      <c r="D135" s="38">
        <v>74</v>
      </c>
      <c r="E135" s="13"/>
      <c r="F135" s="50">
        <f t="shared" si="6"/>
        <v>0</v>
      </c>
      <c r="G135" s="71"/>
      <c r="H135" s="71"/>
      <c r="I135" s="72"/>
      <c r="J135" s="71"/>
      <c r="K135" s="71"/>
      <c r="L135" s="71">
        <f t="shared" si="4"/>
        <v>74</v>
      </c>
      <c r="M135" s="71"/>
      <c r="N135" s="71" t="s">
        <v>947</v>
      </c>
    </row>
    <row r="136" spans="1:14" s="8" customFormat="1" ht="15.75" x14ac:dyDescent="0.25">
      <c r="A136" s="15" t="s">
        <v>363</v>
      </c>
      <c r="B136" s="16"/>
      <c r="C136" s="25" t="s">
        <v>863</v>
      </c>
      <c r="D136" s="38">
        <f>79+33+106</f>
        <v>218</v>
      </c>
      <c r="E136" s="13"/>
      <c r="F136" s="50">
        <f t="shared" si="6"/>
        <v>0</v>
      </c>
      <c r="G136" s="71"/>
      <c r="H136" s="71"/>
      <c r="I136" s="72"/>
      <c r="J136" s="71"/>
      <c r="K136" s="71"/>
      <c r="L136" s="71">
        <f t="shared" si="4"/>
        <v>218</v>
      </c>
      <c r="M136" s="71"/>
      <c r="N136" s="71" t="s">
        <v>947</v>
      </c>
    </row>
    <row r="137" spans="1:14" s="8" customFormat="1" ht="15.75" x14ac:dyDescent="0.25">
      <c r="A137" s="15" t="s">
        <v>364</v>
      </c>
      <c r="B137" s="16"/>
      <c r="C137" s="25" t="s">
        <v>864</v>
      </c>
      <c r="D137" s="38">
        <v>46</v>
      </c>
      <c r="E137" s="13"/>
      <c r="F137" s="50">
        <f t="shared" si="6"/>
        <v>0</v>
      </c>
      <c r="G137" s="71"/>
      <c r="H137" s="71"/>
      <c r="I137" s="72"/>
      <c r="J137" s="71"/>
      <c r="K137" s="71"/>
      <c r="L137" s="71">
        <f t="shared" si="4"/>
        <v>46</v>
      </c>
      <c r="M137" s="71"/>
      <c r="N137" s="71" t="s">
        <v>947</v>
      </c>
    </row>
    <row r="138" spans="1:14" s="8" customFormat="1" ht="15.75" x14ac:dyDescent="0.25">
      <c r="A138" s="15" t="s">
        <v>365</v>
      </c>
      <c r="B138" s="16"/>
      <c r="C138" s="25" t="s">
        <v>865</v>
      </c>
      <c r="D138" s="38">
        <v>41</v>
      </c>
      <c r="E138" s="13"/>
      <c r="F138" s="50">
        <f t="shared" si="6"/>
        <v>0</v>
      </c>
      <c r="G138" s="71"/>
      <c r="H138" s="71"/>
      <c r="I138" s="72"/>
      <c r="J138" s="71"/>
      <c r="K138" s="71"/>
      <c r="L138" s="71">
        <f t="shared" ref="L138:L201" si="7">+D138+H138-K138</f>
        <v>41</v>
      </c>
      <c r="M138" s="71"/>
      <c r="N138" s="71" t="s">
        <v>947</v>
      </c>
    </row>
    <row r="139" spans="1:14" s="8" customFormat="1" ht="15.75" x14ac:dyDescent="0.25">
      <c r="A139" s="15" t="s">
        <v>366</v>
      </c>
      <c r="B139" s="16"/>
      <c r="C139" s="25" t="s">
        <v>866</v>
      </c>
      <c r="D139" s="38">
        <f>34+1</f>
        <v>35</v>
      </c>
      <c r="E139" s="13"/>
      <c r="F139" s="50">
        <f t="shared" si="6"/>
        <v>0</v>
      </c>
      <c r="G139" s="71"/>
      <c r="H139" s="71"/>
      <c r="I139" s="72"/>
      <c r="J139" s="71"/>
      <c r="K139" s="71"/>
      <c r="L139" s="71">
        <f t="shared" si="7"/>
        <v>35</v>
      </c>
      <c r="M139" s="71"/>
      <c r="N139" s="71" t="s">
        <v>947</v>
      </c>
    </row>
    <row r="140" spans="1:14" s="8" customFormat="1" ht="15.75" x14ac:dyDescent="0.25">
      <c r="A140" s="15" t="s">
        <v>367</v>
      </c>
      <c r="B140" s="23" t="s">
        <v>116</v>
      </c>
      <c r="C140" s="25" t="s">
        <v>719</v>
      </c>
      <c r="D140" s="32"/>
      <c r="E140" s="51">
        <v>529</v>
      </c>
      <c r="F140" s="50">
        <f>D140*E140</f>
        <v>0</v>
      </c>
      <c r="G140" s="73">
        <v>44748</v>
      </c>
      <c r="H140" s="72">
        <f>3*6</f>
        <v>18</v>
      </c>
      <c r="I140" s="72">
        <v>161.66666666666666</v>
      </c>
      <c r="J140" s="74">
        <f>+H140*I140</f>
        <v>2910</v>
      </c>
      <c r="K140" s="71">
        <f>12+3+2+1</f>
        <v>18</v>
      </c>
      <c r="L140" s="71">
        <f t="shared" si="7"/>
        <v>0</v>
      </c>
      <c r="M140" s="71"/>
      <c r="N140" s="71" t="s">
        <v>945</v>
      </c>
    </row>
    <row r="141" spans="1:14" s="8" customFormat="1" ht="15.75" x14ac:dyDescent="0.25">
      <c r="A141" s="15" t="s">
        <v>368</v>
      </c>
      <c r="B141" s="16">
        <v>44193</v>
      </c>
      <c r="C141" s="25" t="s">
        <v>813</v>
      </c>
      <c r="D141" s="32">
        <v>8</v>
      </c>
      <c r="E141" s="13">
        <v>1375</v>
      </c>
      <c r="F141" s="50">
        <f>D141*E141</f>
        <v>11000</v>
      </c>
      <c r="G141" s="71"/>
      <c r="H141" s="71"/>
      <c r="I141" s="72"/>
      <c r="J141" s="71"/>
      <c r="K141" s="71"/>
      <c r="L141" s="71">
        <f t="shared" si="7"/>
        <v>8</v>
      </c>
      <c r="M141" s="71"/>
      <c r="N141" s="71" t="s">
        <v>946</v>
      </c>
    </row>
    <row r="142" spans="1:14" s="8" customFormat="1" ht="15.75" x14ac:dyDescent="0.25">
      <c r="A142" s="15" t="s">
        <v>369</v>
      </c>
      <c r="B142" s="23" t="s">
        <v>114</v>
      </c>
      <c r="C142" s="25" t="s">
        <v>642</v>
      </c>
      <c r="D142" s="32">
        <v>8</v>
      </c>
      <c r="E142" s="13">
        <v>1375</v>
      </c>
      <c r="F142" s="50">
        <f>D142*E142</f>
        <v>11000</v>
      </c>
      <c r="G142" s="71"/>
      <c r="H142" s="71"/>
      <c r="I142" s="72"/>
      <c r="J142" s="71"/>
      <c r="K142" s="71"/>
      <c r="L142" s="71">
        <f t="shared" si="7"/>
        <v>8</v>
      </c>
      <c r="M142" s="71"/>
      <c r="N142" s="71" t="s">
        <v>946</v>
      </c>
    </row>
    <row r="143" spans="1:14" s="8" customFormat="1" ht="15.75" x14ac:dyDescent="0.25">
      <c r="A143" s="15" t="s">
        <v>370</v>
      </c>
      <c r="B143" s="16"/>
      <c r="C143" s="25" t="s">
        <v>833</v>
      </c>
      <c r="D143" s="32">
        <v>7</v>
      </c>
      <c r="E143" s="13"/>
      <c r="F143" s="50"/>
      <c r="G143" s="71"/>
      <c r="H143" s="71"/>
      <c r="I143" s="72"/>
      <c r="J143" s="71"/>
      <c r="K143" s="71"/>
      <c r="L143" s="71">
        <f t="shared" si="7"/>
        <v>7</v>
      </c>
      <c r="M143" s="71"/>
      <c r="N143" s="71" t="s">
        <v>946</v>
      </c>
    </row>
    <row r="144" spans="1:14" s="8" customFormat="1" ht="15.75" x14ac:dyDescent="0.25">
      <c r="A144" s="15" t="s">
        <v>371</v>
      </c>
      <c r="B144" s="16">
        <v>44193</v>
      </c>
      <c r="C144" s="25" t="s">
        <v>643</v>
      </c>
      <c r="D144" s="32">
        <v>4</v>
      </c>
      <c r="E144" s="13">
        <v>1375</v>
      </c>
      <c r="F144" s="50">
        <f>D144*E144</f>
        <v>5500</v>
      </c>
      <c r="G144" s="71"/>
      <c r="H144" s="71"/>
      <c r="I144" s="72"/>
      <c r="J144" s="71"/>
      <c r="K144" s="71"/>
      <c r="L144" s="71">
        <f t="shared" si="7"/>
        <v>4</v>
      </c>
      <c r="M144" s="71"/>
      <c r="N144" s="71" t="s">
        <v>946</v>
      </c>
    </row>
    <row r="145" spans="1:14" s="8" customFormat="1" ht="15.75" x14ac:dyDescent="0.25">
      <c r="A145" s="15" t="s">
        <v>372</v>
      </c>
      <c r="B145" s="23"/>
      <c r="C145" s="25" t="s">
        <v>816</v>
      </c>
      <c r="D145" s="32">
        <v>2</v>
      </c>
      <c r="E145" s="13"/>
      <c r="F145" s="50"/>
      <c r="G145" s="71"/>
      <c r="H145" s="71"/>
      <c r="I145" s="72"/>
      <c r="J145" s="71"/>
      <c r="K145" s="71"/>
      <c r="L145" s="71">
        <f t="shared" si="7"/>
        <v>2</v>
      </c>
      <c r="M145" s="71"/>
      <c r="N145" s="71" t="s">
        <v>946</v>
      </c>
    </row>
    <row r="146" spans="1:14" s="8" customFormat="1" ht="15.75" x14ac:dyDescent="0.25">
      <c r="A146" s="15" t="s">
        <v>373</v>
      </c>
      <c r="B146" s="16"/>
      <c r="C146" s="25" t="s">
        <v>829</v>
      </c>
      <c r="D146" s="32">
        <v>2</v>
      </c>
      <c r="E146" s="13"/>
      <c r="F146" s="50"/>
      <c r="G146" s="71"/>
      <c r="H146" s="71"/>
      <c r="I146" s="72"/>
      <c r="J146" s="71"/>
      <c r="K146" s="71"/>
      <c r="L146" s="71">
        <f t="shared" si="7"/>
        <v>2</v>
      </c>
      <c r="M146" s="71"/>
      <c r="N146" s="71" t="s">
        <v>946</v>
      </c>
    </row>
    <row r="147" spans="1:14" s="8" customFormat="1" ht="15.75" x14ac:dyDescent="0.25">
      <c r="A147" s="15" t="s">
        <v>374</v>
      </c>
      <c r="B147" s="23" t="s">
        <v>106</v>
      </c>
      <c r="C147" s="25" t="s">
        <v>635</v>
      </c>
      <c r="D147" s="32">
        <v>8</v>
      </c>
      <c r="E147" s="13">
        <v>1375</v>
      </c>
      <c r="F147" s="50">
        <f>D147*E147</f>
        <v>11000</v>
      </c>
      <c r="G147" s="71"/>
      <c r="H147" s="71"/>
      <c r="I147" s="72"/>
      <c r="J147" s="71"/>
      <c r="K147" s="71">
        <v>1</v>
      </c>
      <c r="L147" s="71">
        <f t="shared" si="7"/>
        <v>7</v>
      </c>
      <c r="M147" s="71"/>
      <c r="N147" s="71" t="s">
        <v>946</v>
      </c>
    </row>
    <row r="148" spans="1:14" s="8" customFormat="1" ht="15.75" x14ac:dyDescent="0.25">
      <c r="A148" s="15" t="s">
        <v>375</v>
      </c>
      <c r="B148" s="23" t="s">
        <v>106</v>
      </c>
      <c r="C148" s="25" t="s">
        <v>636</v>
      </c>
      <c r="D148" s="55">
        <v>60</v>
      </c>
      <c r="E148" s="13">
        <v>1375</v>
      </c>
      <c r="F148" s="50">
        <f>D148*E148</f>
        <v>82500</v>
      </c>
      <c r="G148" s="71"/>
      <c r="H148" s="71"/>
      <c r="I148" s="72"/>
      <c r="J148" s="71"/>
      <c r="K148" s="71"/>
      <c r="L148" s="71">
        <f t="shared" si="7"/>
        <v>60</v>
      </c>
      <c r="M148" s="71"/>
      <c r="N148" s="71" t="s">
        <v>946</v>
      </c>
    </row>
    <row r="149" spans="1:14" s="8" customFormat="1" ht="15.75" x14ac:dyDescent="0.25">
      <c r="A149" s="15" t="s">
        <v>376</v>
      </c>
      <c r="B149" s="16"/>
      <c r="C149" s="25" t="s">
        <v>831</v>
      </c>
      <c r="D149" s="32">
        <f>25+28</f>
        <v>53</v>
      </c>
      <c r="E149" s="13"/>
      <c r="F149" s="50"/>
      <c r="G149" s="71"/>
      <c r="H149" s="71"/>
      <c r="I149" s="72"/>
      <c r="J149" s="71"/>
      <c r="K149" s="71"/>
      <c r="L149" s="71">
        <f t="shared" si="7"/>
        <v>53</v>
      </c>
      <c r="M149" s="71"/>
      <c r="N149" s="71" t="s">
        <v>946</v>
      </c>
    </row>
    <row r="150" spans="1:14" s="8" customFormat="1" ht="15.75" x14ac:dyDescent="0.25">
      <c r="A150" s="15" t="s">
        <v>377</v>
      </c>
      <c r="B150" s="16"/>
      <c r="C150" s="25" t="s">
        <v>832</v>
      </c>
      <c r="D150" s="32">
        <v>5</v>
      </c>
      <c r="E150" s="13"/>
      <c r="F150" s="50"/>
      <c r="G150" s="71"/>
      <c r="H150" s="71"/>
      <c r="I150" s="72"/>
      <c r="J150" s="71"/>
      <c r="K150" s="71"/>
      <c r="L150" s="71">
        <f t="shared" si="7"/>
        <v>5</v>
      </c>
      <c r="M150" s="71"/>
      <c r="N150" s="71" t="s">
        <v>946</v>
      </c>
    </row>
    <row r="151" spans="1:14" s="8" customFormat="1" ht="15.75" x14ac:dyDescent="0.25">
      <c r="A151" s="15" t="s">
        <v>378</v>
      </c>
      <c r="B151" s="23" t="s">
        <v>106</v>
      </c>
      <c r="C151" s="25" t="s">
        <v>812</v>
      </c>
      <c r="D151" s="32">
        <v>3</v>
      </c>
      <c r="E151" s="13">
        <v>1180</v>
      </c>
      <c r="F151" s="50">
        <f>D151*E151</f>
        <v>3540</v>
      </c>
      <c r="G151" s="71"/>
      <c r="H151" s="71"/>
      <c r="I151" s="72"/>
      <c r="J151" s="71"/>
      <c r="K151" s="71"/>
      <c r="L151" s="71">
        <f t="shared" si="7"/>
        <v>3</v>
      </c>
      <c r="M151" s="71"/>
      <c r="N151" s="71" t="s">
        <v>946</v>
      </c>
    </row>
    <row r="152" spans="1:14" s="8" customFormat="1" ht="15.75" x14ac:dyDescent="0.25">
      <c r="A152" s="15" t="s">
        <v>379</v>
      </c>
      <c r="B152" s="16">
        <v>44193</v>
      </c>
      <c r="C152" s="25" t="s">
        <v>637</v>
      </c>
      <c r="D152" s="55">
        <v>9</v>
      </c>
      <c r="E152" s="13">
        <v>1180</v>
      </c>
      <c r="F152" s="50">
        <f>D152*E152</f>
        <v>10620</v>
      </c>
      <c r="G152" s="71"/>
      <c r="H152" s="71"/>
      <c r="I152" s="72"/>
      <c r="J152" s="71"/>
      <c r="K152" s="71"/>
      <c r="L152" s="71">
        <f t="shared" si="7"/>
        <v>9</v>
      </c>
      <c r="M152" s="71"/>
      <c r="N152" s="71" t="s">
        <v>946</v>
      </c>
    </row>
    <row r="153" spans="1:14" s="8" customFormat="1" ht="15.75" x14ac:dyDescent="0.25">
      <c r="A153" s="15" t="s">
        <v>380</v>
      </c>
      <c r="B153" s="16"/>
      <c r="C153" s="25" t="s">
        <v>834</v>
      </c>
      <c r="D153" s="32">
        <v>1</v>
      </c>
      <c r="E153" s="13"/>
      <c r="F153" s="50"/>
      <c r="G153" s="71"/>
      <c r="H153" s="71"/>
      <c r="I153" s="72"/>
      <c r="J153" s="71"/>
      <c r="K153" s="71"/>
      <c r="L153" s="71">
        <f t="shared" si="7"/>
        <v>1</v>
      </c>
      <c r="M153" s="71"/>
      <c r="N153" s="71" t="s">
        <v>946</v>
      </c>
    </row>
    <row r="154" spans="1:14" s="8" customFormat="1" ht="15.75" x14ac:dyDescent="0.25">
      <c r="A154" s="15" t="s">
        <v>381</v>
      </c>
      <c r="B154" s="23" t="s">
        <v>106</v>
      </c>
      <c r="C154" s="25" t="s">
        <v>639</v>
      </c>
      <c r="D154" s="32">
        <v>8</v>
      </c>
      <c r="E154" s="51">
        <v>1375</v>
      </c>
      <c r="F154" s="50">
        <f t="shared" ref="F154:F166" si="8">D154*E154</f>
        <v>11000</v>
      </c>
      <c r="G154" s="71"/>
      <c r="H154" s="71"/>
      <c r="I154" s="72"/>
      <c r="J154" s="71"/>
      <c r="K154" s="71"/>
      <c r="L154" s="71">
        <f t="shared" si="7"/>
        <v>8</v>
      </c>
      <c r="M154" s="71"/>
      <c r="N154" s="71" t="s">
        <v>946</v>
      </c>
    </row>
    <row r="155" spans="1:14" s="8" customFormat="1" ht="15.75" x14ac:dyDescent="0.25">
      <c r="A155" s="15" t="s">
        <v>382</v>
      </c>
      <c r="B155" s="16">
        <v>44193</v>
      </c>
      <c r="C155" s="25" t="s">
        <v>638</v>
      </c>
      <c r="D155" s="32">
        <v>4</v>
      </c>
      <c r="E155" s="13">
        <v>1294.3699999999999</v>
      </c>
      <c r="F155" s="50">
        <f t="shared" si="8"/>
        <v>5177.4799999999996</v>
      </c>
      <c r="G155" s="71"/>
      <c r="H155" s="71"/>
      <c r="I155" s="72"/>
      <c r="J155" s="71"/>
      <c r="K155" s="71"/>
      <c r="L155" s="71">
        <f t="shared" si="7"/>
        <v>4</v>
      </c>
      <c r="M155" s="71"/>
      <c r="N155" s="71" t="s">
        <v>946</v>
      </c>
    </row>
    <row r="156" spans="1:14" s="8" customFormat="1" ht="15.75" x14ac:dyDescent="0.25">
      <c r="A156" s="15" t="s">
        <v>383</v>
      </c>
      <c r="B156" s="23" t="s">
        <v>114</v>
      </c>
      <c r="C156" s="25" t="s">
        <v>640</v>
      </c>
      <c r="D156" s="32">
        <v>4</v>
      </c>
      <c r="E156" s="52">
        <v>2600</v>
      </c>
      <c r="F156" s="50">
        <f t="shared" si="8"/>
        <v>10400</v>
      </c>
      <c r="G156" s="71"/>
      <c r="H156" s="71"/>
      <c r="I156" s="72"/>
      <c r="J156" s="71"/>
      <c r="K156" s="71"/>
      <c r="L156" s="71">
        <f t="shared" si="7"/>
        <v>4</v>
      </c>
      <c r="M156" s="71"/>
      <c r="N156" s="71" t="s">
        <v>946</v>
      </c>
    </row>
    <row r="157" spans="1:14" s="8" customFormat="1" ht="15.75" x14ac:dyDescent="0.25">
      <c r="A157" s="15" t="s">
        <v>384</v>
      </c>
      <c r="B157" s="16">
        <v>44193</v>
      </c>
      <c r="C157" s="25" t="s">
        <v>830</v>
      </c>
      <c r="D157" s="32">
        <v>2</v>
      </c>
      <c r="E157" s="13">
        <v>2600</v>
      </c>
      <c r="F157" s="50">
        <f t="shared" si="8"/>
        <v>5200</v>
      </c>
      <c r="G157" s="71"/>
      <c r="H157" s="71"/>
      <c r="I157" s="72"/>
      <c r="J157" s="71"/>
      <c r="K157" s="71">
        <v>1</v>
      </c>
      <c r="L157" s="71">
        <f t="shared" si="7"/>
        <v>1</v>
      </c>
      <c r="M157" s="71"/>
      <c r="N157" s="71" t="s">
        <v>946</v>
      </c>
    </row>
    <row r="158" spans="1:14" s="8" customFormat="1" ht="15.75" x14ac:dyDescent="0.25">
      <c r="A158" s="15" t="s">
        <v>385</v>
      </c>
      <c r="B158" s="16">
        <v>44193</v>
      </c>
      <c r="C158" s="9" t="s">
        <v>951</v>
      </c>
      <c r="D158" s="58">
        <v>46</v>
      </c>
      <c r="E158" s="13">
        <v>4.55</v>
      </c>
      <c r="F158" s="50">
        <f t="shared" si="8"/>
        <v>209.29999999999998</v>
      </c>
      <c r="G158" s="71"/>
      <c r="H158" s="71"/>
      <c r="I158" s="72"/>
      <c r="J158" s="71"/>
      <c r="K158" s="71">
        <v>12</v>
      </c>
      <c r="L158" s="71">
        <f t="shared" si="7"/>
        <v>34</v>
      </c>
      <c r="M158" s="71"/>
      <c r="N158" s="71" t="s">
        <v>947</v>
      </c>
    </row>
    <row r="159" spans="1:14" s="8" customFormat="1" ht="15.75" x14ac:dyDescent="0.25">
      <c r="A159" s="15" t="s">
        <v>386</v>
      </c>
      <c r="B159" s="16">
        <v>44193</v>
      </c>
      <c r="C159" s="9" t="s">
        <v>647</v>
      </c>
      <c r="D159" s="58">
        <v>15</v>
      </c>
      <c r="E159" s="13">
        <v>4.55</v>
      </c>
      <c r="F159" s="50">
        <f t="shared" si="8"/>
        <v>68.25</v>
      </c>
      <c r="G159" s="71"/>
      <c r="H159" s="71"/>
      <c r="I159" s="72"/>
      <c r="J159" s="71"/>
      <c r="K159" s="71"/>
      <c r="L159" s="71">
        <f t="shared" si="7"/>
        <v>15</v>
      </c>
      <c r="M159" s="71"/>
      <c r="N159" s="71" t="s">
        <v>947</v>
      </c>
    </row>
    <row r="160" spans="1:14" s="8" customFormat="1" ht="15.75" x14ac:dyDescent="0.25">
      <c r="A160" s="15" t="s">
        <v>387</v>
      </c>
      <c r="B160" s="16">
        <v>44193</v>
      </c>
      <c r="C160" s="26" t="s">
        <v>645</v>
      </c>
      <c r="D160" s="58">
        <v>820</v>
      </c>
      <c r="E160" s="13">
        <v>7.5</v>
      </c>
      <c r="F160" s="50">
        <f t="shared" si="8"/>
        <v>6150</v>
      </c>
      <c r="G160" s="71"/>
      <c r="H160" s="71"/>
      <c r="I160" s="72"/>
      <c r="J160" s="71"/>
      <c r="K160" s="71"/>
      <c r="L160" s="71">
        <f t="shared" si="7"/>
        <v>820</v>
      </c>
      <c r="M160" s="71"/>
      <c r="N160" s="71" t="s">
        <v>947</v>
      </c>
    </row>
    <row r="161" spans="1:14" s="8" customFormat="1" ht="15.75" x14ac:dyDescent="0.25">
      <c r="A161" s="15" t="s">
        <v>388</v>
      </c>
      <c r="B161" s="16">
        <v>44659</v>
      </c>
      <c r="C161" s="26" t="s">
        <v>854</v>
      </c>
      <c r="D161" s="30">
        <f>30*100</f>
        <v>3000</v>
      </c>
      <c r="E161" s="13">
        <v>3.4</v>
      </c>
      <c r="F161" s="50">
        <f t="shared" si="8"/>
        <v>10200</v>
      </c>
      <c r="G161" s="71"/>
      <c r="H161" s="71"/>
      <c r="I161" s="72"/>
      <c r="J161" s="71"/>
      <c r="K161" s="71"/>
      <c r="L161" s="71">
        <f t="shared" si="7"/>
        <v>3000</v>
      </c>
      <c r="M161" s="71"/>
      <c r="N161" s="71" t="s">
        <v>945</v>
      </c>
    </row>
    <row r="162" spans="1:14" s="8" customFormat="1" ht="15.75" x14ac:dyDescent="0.25">
      <c r="A162" s="15" t="s">
        <v>389</v>
      </c>
      <c r="B162" s="16">
        <v>44453</v>
      </c>
      <c r="C162" s="9" t="s">
        <v>648</v>
      </c>
      <c r="D162" s="30">
        <v>1100</v>
      </c>
      <c r="E162" s="13">
        <v>2.59</v>
      </c>
      <c r="F162" s="50">
        <f t="shared" si="8"/>
        <v>2849</v>
      </c>
      <c r="G162" s="73">
        <v>44778</v>
      </c>
      <c r="H162" s="75">
        <f>20*100</f>
        <v>2000</v>
      </c>
      <c r="I162" s="72">
        <f>3.4+0.612</f>
        <v>4.0119999999999996</v>
      </c>
      <c r="J162" s="74">
        <f>+H162*I162</f>
        <v>8023.9999999999991</v>
      </c>
      <c r="K162" s="71">
        <v>100</v>
      </c>
      <c r="L162" s="71">
        <f t="shared" si="7"/>
        <v>3000</v>
      </c>
      <c r="M162" s="71" t="s">
        <v>943</v>
      </c>
      <c r="N162" s="71" t="s">
        <v>945</v>
      </c>
    </row>
    <row r="163" spans="1:14" s="8" customFormat="1" ht="15.75" x14ac:dyDescent="0.25">
      <c r="A163" s="15" t="s">
        <v>390</v>
      </c>
      <c r="B163" s="16">
        <v>44659</v>
      </c>
      <c r="C163" s="25" t="s">
        <v>855</v>
      </c>
      <c r="D163" s="38">
        <f>25*100</f>
        <v>2500</v>
      </c>
      <c r="E163" s="13">
        <v>4.3499999999999996</v>
      </c>
      <c r="F163" s="50">
        <f t="shared" si="8"/>
        <v>10875</v>
      </c>
      <c r="G163" s="73">
        <v>44778</v>
      </c>
      <c r="H163" s="75">
        <f>10*100</f>
        <v>1000</v>
      </c>
      <c r="I163" s="72">
        <v>4.8899999999999997</v>
      </c>
      <c r="J163" s="74">
        <f>+H163*I163</f>
        <v>4890</v>
      </c>
      <c r="K163" s="71"/>
      <c r="L163" s="71">
        <f t="shared" si="7"/>
        <v>3500</v>
      </c>
      <c r="M163" s="71" t="s">
        <v>943</v>
      </c>
      <c r="N163" s="71" t="s">
        <v>945</v>
      </c>
    </row>
    <row r="164" spans="1:14" s="8" customFormat="1" ht="15.75" x14ac:dyDescent="0.25">
      <c r="A164" s="15" t="s">
        <v>391</v>
      </c>
      <c r="B164" s="16">
        <v>44659</v>
      </c>
      <c r="C164" s="25" t="s">
        <v>651</v>
      </c>
      <c r="D164" s="38">
        <f>60*100</f>
        <v>6000</v>
      </c>
      <c r="E164" s="13">
        <v>6.95</v>
      </c>
      <c r="F164" s="50">
        <f t="shared" si="8"/>
        <v>41700</v>
      </c>
      <c r="G164" s="71"/>
      <c r="H164" s="71"/>
      <c r="I164" s="72"/>
      <c r="J164" s="71"/>
      <c r="K164" s="71">
        <v>100</v>
      </c>
      <c r="L164" s="71">
        <f t="shared" si="7"/>
        <v>5900</v>
      </c>
      <c r="M164" s="71"/>
      <c r="N164" s="71" t="s">
        <v>945</v>
      </c>
    </row>
    <row r="165" spans="1:14" s="8" customFormat="1" ht="15.75" x14ac:dyDescent="0.25">
      <c r="A165" s="15" t="s">
        <v>392</v>
      </c>
      <c r="B165" s="16">
        <v>44659</v>
      </c>
      <c r="C165" s="25" t="s">
        <v>652</v>
      </c>
      <c r="D165" s="38">
        <f>30*100</f>
        <v>3000</v>
      </c>
      <c r="E165" s="13">
        <v>6.5</v>
      </c>
      <c r="F165" s="50">
        <f t="shared" si="8"/>
        <v>19500</v>
      </c>
      <c r="G165" s="71"/>
      <c r="H165" s="71"/>
      <c r="I165" s="72"/>
      <c r="J165" s="71"/>
      <c r="K165" s="71">
        <f>100+100</f>
        <v>200</v>
      </c>
      <c r="L165" s="71">
        <f t="shared" si="7"/>
        <v>2800</v>
      </c>
      <c r="M165" s="71"/>
      <c r="N165" s="71" t="s">
        <v>945</v>
      </c>
    </row>
    <row r="166" spans="1:14" s="8" customFormat="1" ht="15.75" x14ac:dyDescent="0.25">
      <c r="A166" s="15" t="s">
        <v>393</v>
      </c>
      <c r="B166" s="16">
        <v>44193</v>
      </c>
      <c r="C166" s="26" t="s">
        <v>786</v>
      </c>
      <c r="D166" s="32">
        <f>4+8</f>
        <v>12</v>
      </c>
      <c r="E166" s="13">
        <v>150</v>
      </c>
      <c r="F166" s="50">
        <f t="shared" si="8"/>
        <v>1800</v>
      </c>
      <c r="G166" s="71"/>
      <c r="H166" s="71"/>
      <c r="I166" s="72"/>
      <c r="J166" s="71"/>
      <c r="K166" s="71"/>
      <c r="L166" s="71">
        <f t="shared" si="7"/>
        <v>12</v>
      </c>
      <c r="M166" s="71"/>
      <c r="N166" s="71" t="s">
        <v>945</v>
      </c>
    </row>
    <row r="167" spans="1:14" s="8" customFormat="1" ht="15.75" x14ac:dyDescent="0.25">
      <c r="A167" s="15" t="s">
        <v>394</v>
      </c>
      <c r="B167" s="16"/>
      <c r="C167" s="25" t="s">
        <v>827</v>
      </c>
      <c r="D167" s="38">
        <v>2</v>
      </c>
      <c r="E167" s="13"/>
      <c r="F167" s="50"/>
      <c r="G167" s="71"/>
      <c r="H167" s="71"/>
      <c r="I167" s="72"/>
      <c r="J167" s="71"/>
      <c r="K167" s="71"/>
      <c r="L167" s="71">
        <f t="shared" si="7"/>
        <v>2</v>
      </c>
      <c r="M167" s="71"/>
      <c r="N167" s="71" t="s">
        <v>946</v>
      </c>
    </row>
    <row r="168" spans="1:14" s="8" customFormat="1" ht="15.75" x14ac:dyDescent="0.25">
      <c r="A168" s="15" t="s">
        <v>395</v>
      </c>
      <c r="B168" s="16"/>
      <c r="C168" s="25" t="s">
        <v>828</v>
      </c>
      <c r="D168" s="38">
        <v>1</v>
      </c>
      <c r="E168" s="13"/>
      <c r="F168" s="50"/>
      <c r="G168" s="71"/>
      <c r="H168" s="71"/>
      <c r="I168" s="72"/>
      <c r="J168" s="71"/>
      <c r="K168" s="71"/>
      <c r="L168" s="71">
        <f t="shared" si="7"/>
        <v>1</v>
      </c>
      <c r="M168" s="71"/>
      <c r="N168" s="71" t="s">
        <v>946</v>
      </c>
    </row>
    <row r="169" spans="1:14" s="8" customFormat="1" ht="15.75" x14ac:dyDescent="0.25">
      <c r="A169" s="15" t="s">
        <v>396</v>
      </c>
      <c r="B169" s="16">
        <v>44193</v>
      </c>
      <c r="C169" s="25" t="s">
        <v>653</v>
      </c>
      <c r="D169" s="38">
        <v>50</v>
      </c>
      <c r="E169" s="13">
        <v>575</v>
      </c>
      <c r="F169" s="50">
        <f t="shared" ref="F169:F199" si="9">D169*E169</f>
        <v>28750</v>
      </c>
      <c r="G169" s="71"/>
      <c r="H169" s="71"/>
      <c r="I169" s="72"/>
      <c r="J169" s="71"/>
      <c r="K169" s="71">
        <f>1+1</f>
        <v>2</v>
      </c>
      <c r="L169" s="71">
        <f t="shared" si="7"/>
        <v>48</v>
      </c>
      <c r="M169" s="71"/>
      <c r="N169" s="71" t="s">
        <v>945</v>
      </c>
    </row>
    <row r="170" spans="1:14" s="8" customFormat="1" ht="15.75" x14ac:dyDescent="0.25">
      <c r="A170" s="15" t="s">
        <v>397</v>
      </c>
      <c r="B170" s="16">
        <v>44193</v>
      </c>
      <c r="C170" s="26" t="s">
        <v>655</v>
      </c>
      <c r="D170" s="32">
        <v>20</v>
      </c>
      <c r="E170" s="13">
        <v>25</v>
      </c>
      <c r="F170" s="50">
        <f t="shared" si="9"/>
        <v>500</v>
      </c>
      <c r="G170" s="71"/>
      <c r="H170" s="71"/>
      <c r="I170" s="72"/>
      <c r="J170" s="71"/>
      <c r="K170" s="71"/>
      <c r="L170" s="71">
        <f t="shared" si="7"/>
        <v>20</v>
      </c>
      <c r="M170" s="71"/>
      <c r="N170" s="71" t="s">
        <v>947</v>
      </c>
    </row>
    <row r="171" spans="1:14" s="8" customFormat="1" ht="15.75" x14ac:dyDescent="0.25">
      <c r="A171" s="15" t="s">
        <v>398</v>
      </c>
      <c r="B171" s="16">
        <v>44193</v>
      </c>
      <c r="C171" s="9" t="s">
        <v>656</v>
      </c>
      <c r="D171" s="32">
        <v>15</v>
      </c>
      <c r="E171" s="13">
        <v>275</v>
      </c>
      <c r="F171" s="50">
        <f t="shared" si="9"/>
        <v>4125</v>
      </c>
      <c r="G171" s="71"/>
      <c r="H171" s="71"/>
      <c r="I171" s="72"/>
      <c r="J171" s="71"/>
      <c r="K171" s="71">
        <v>1</v>
      </c>
      <c r="L171" s="71">
        <f t="shared" si="7"/>
        <v>14</v>
      </c>
      <c r="M171" s="71"/>
      <c r="N171" s="71" t="s">
        <v>947</v>
      </c>
    </row>
    <row r="172" spans="1:14" s="8" customFormat="1" ht="15.75" x14ac:dyDescent="0.25">
      <c r="A172" s="15" t="s">
        <v>399</v>
      </c>
      <c r="B172" s="16">
        <v>44193</v>
      </c>
      <c r="C172" s="9" t="s">
        <v>658</v>
      </c>
      <c r="D172" s="30">
        <v>2</v>
      </c>
      <c r="E172" s="13">
        <v>50</v>
      </c>
      <c r="F172" s="50">
        <f t="shared" si="9"/>
        <v>100</v>
      </c>
      <c r="G172" s="71"/>
      <c r="H172" s="71"/>
      <c r="I172" s="72"/>
      <c r="J172" s="71"/>
      <c r="K172" s="71"/>
      <c r="L172" s="71">
        <f t="shared" si="7"/>
        <v>2</v>
      </c>
      <c r="M172" s="71"/>
      <c r="N172" s="71" t="s">
        <v>947</v>
      </c>
    </row>
    <row r="173" spans="1:14" s="8" customFormat="1" ht="15.75" x14ac:dyDescent="0.25">
      <c r="A173" s="15" t="s">
        <v>400</v>
      </c>
      <c r="B173" s="16">
        <v>44193</v>
      </c>
      <c r="C173" s="9" t="s">
        <v>657</v>
      </c>
      <c r="D173" s="30">
        <f>20+9</f>
        <v>29</v>
      </c>
      <c r="E173" s="13">
        <v>50</v>
      </c>
      <c r="F173" s="50">
        <f t="shared" si="9"/>
        <v>1450</v>
      </c>
      <c r="G173" s="71"/>
      <c r="H173" s="71"/>
      <c r="I173" s="72"/>
      <c r="J173" s="71"/>
      <c r="K173" s="71">
        <v>1</v>
      </c>
      <c r="L173" s="71">
        <f t="shared" si="7"/>
        <v>28</v>
      </c>
      <c r="M173" s="71"/>
      <c r="N173" s="71" t="s">
        <v>947</v>
      </c>
    </row>
    <row r="174" spans="1:14" s="8" customFormat="1" ht="15.75" x14ac:dyDescent="0.25">
      <c r="A174" s="15" t="s">
        <v>401</v>
      </c>
      <c r="B174" s="16">
        <v>44193</v>
      </c>
      <c r="C174" s="26" t="s">
        <v>660</v>
      </c>
      <c r="D174" s="30">
        <v>35</v>
      </c>
      <c r="E174" s="13">
        <v>7</v>
      </c>
      <c r="F174" s="50">
        <f t="shared" si="9"/>
        <v>245</v>
      </c>
      <c r="G174" s="71"/>
      <c r="H174" s="71"/>
      <c r="I174" s="72"/>
      <c r="J174" s="71"/>
      <c r="K174" s="71"/>
      <c r="L174" s="71">
        <f t="shared" si="7"/>
        <v>35</v>
      </c>
      <c r="M174" s="71"/>
      <c r="N174" s="71" t="s">
        <v>945</v>
      </c>
    </row>
    <row r="175" spans="1:14" s="8" customFormat="1" ht="15.75" x14ac:dyDescent="0.25">
      <c r="A175" s="15" t="s">
        <v>402</v>
      </c>
      <c r="B175" s="16">
        <v>44193</v>
      </c>
      <c r="C175" s="26" t="s">
        <v>659</v>
      </c>
      <c r="D175" s="30">
        <v>34</v>
      </c>
      <c r="E175" s="13">
        <v>125</v>
      </c>
      <c r="F175" s="50">
        <f t="shared" si="9"/>
        <v>4250</v>
      </c>
      <c r="G175" s="71"/>
      <c r="H175" s="71"/>
      <c r="I175" s="72"/>
      <c r="J175" s="71"/>
      <c r="K175" s="71">
        <v>1</v>
      </c>
      <c r="L175" s="71">
        <f t="shared" si="7"/>
        <v>33</v>
      </c>
      <c r="M175" s="71"/>
      <c r="N175" s="71" t="s">
        <v>945</v>
      </c>
    </row>
    <row r="176" spans="1:14" s="8" customFormat="1" ht="15.75" x14ac:dyDescent="0.25">
      <c r="A176" s="15" t="s">
        <v>403</v>
      </c>
      <c r="B176" s="16">
        <v>44193</v>
      </c>
      <c r="C176" s="26" t="s">
        <v>661</v>
      </c>
      <c r="D176" s="30">
        <v>106</v>
      </c>
      <c r="E176" s="13">
        <v>7</v>
      </c>
      <c r="F176" s="50">
        <f t="shared" si="9"/>
        <v>742</v>
      </c>
      <c r="G176" s="71"/>
      <c r="H176" s="71"/>
      <c r="I176" s="72"/>
      <c r="J176" s="71"/>
      <c r="K176" s="71">
        <v>3</v>
      </c>
      <c r="L176" s="71">
        <f t="shared" si="7"/>
        <v>103</v>
      </c>
      <c r="M176" s="71"/>
      <c r="N176" s="71" t="s">
        <v>945</v>
      </c>
    </row>
    <row r="177" spans="1:14" s="8" customFormat="1" ht="15.75" x14ac:dyDescent="0.25">
      <c r="A177" s="15" t="s">
        <v>404</v>
      </c>
      <c r="B177" s="16">
        <v>44456</v>
      </c>
      <c r="C177" s="26" t="s">
        <v>662</v>
      </c>
      <c r="D177" s="30">
        <v>27</v>
      </c>
      <c r="E177" s="13">
        <v>7</v>
      </c>
      <c r="F177" s="50">
        <f t="shared" si="9"/>
        <v>189</v>
      </c>
      <c r="G177" s="71"/>
      <c r="H177" s="71"/>
      <c r="I177" s="72"/>
      <c r="J177" s="71"/>
      <c r="K177" s="71"/>
      <c r="L177" s="71">
        <f t="shared" si="7"/>
        <v>27</v>
      </c>
      <c r="M177" s="71"/>
      <c r="N177" s="71" t="s">
        <v>945</v>
      </c>
    </row>
    <row r="178" spans="1:14" s="8" customFormat="1" ht="15.75" x14ac:dyDescent="0.25">
      <c r="A178" s="15" t="s">
        <v>405</v>
      </c>
      <c r="B178" s="16">
        <v>44193</v>
      </c>
      <c r="C178" s="26" t="s">
        <v>800</v>
      </c>
      <c r="D178" s="32">
        <f>6+6</f>
        <v>12</v>
      </c>
      <c r="E178" s="13">
        <v>135</v>
      </c>
      <c r="F178" s="50">
        <f t="shared" si="9"/>
        <v>1620</v>
      </c>
      <c r="G178" s="71"/>
      <c r="H178" s="71"/>
      <c r="I178" s="72"/>
      <c r="J178" s="71"/>
      <c r="K178" s="71"/>
      <c r="L178" s="71">
        <f t="shared" si="7"/>
        <v>12</v>
      </c>
      <c r="M178" s="71"/>
      <c r="N178" s="71" t="s">
        <v>946</v>
      </c>
    </row>
    <row r="179" spans="1:14" s="8" customFormat="1" ht="15.75" x14ac:dyDescent="0.25">
      <c r="A179" s="15" t="s">
        <v>406</v>
      </c>
      <c r="B179" s="16">
        <v>44193</v>
      </c>
      <c r="C179" s="26" t="s">
        <v>663</v>
      </c>
      <c r="D179" s="55">
        <v>42</v>
      </c>
      <c r="E179" s="13">
        <v>115</v>
      </c>
      <c r="F179" s="50">
        <f t="shared" si="9"/>
        <v>4830</v>
      </c>
      <c r="G179" s="71"/>
      <c r="H179" s="71"/>
      <c r="I179" s="72"/>
      <c r="J179" s="71"/>
      <c r="K179" s="71"/>
      <c r="L179" s="71">
        <f t="shared" si="7"/>
        <v>42</v>
      </c>
      <c r="M179" s="71"/>
      <c r="N179" s="71" t="s">
        <v>946</v>
      </c>
    </row>
    <row r="180" spans="1:14" s="8" customFormat="1" ht="15.75" x14ac:dyDescent="0.25">
      <c r="A180" s="15" t="s">
        <v>407</v>
      </c>
      <c r="B180" s="16">
        <v>44656</v>
      </c>
      <c r="C180" s="26" t="s">
        <v>768</v>
      </c>
      <c r="D180" s="32">
        <v>104</v>
      </c>
      <c r="E180" s="13">
        <v>636.6</v>
      </c>
      <c r="F180" s="50">
        <f t="shared" si="9"/>
        <v>66206.400000000009</v>
      </c>
      <c r="G180" s="71"/>
      <c r="H180" s="71"/>
      <c r="I180" s="72"/>
      <c r="J180" s="71"/>
      <c r="K180" s="71">
        <f>1+1+1+1</f>
        <v>4</v>
      </c>
      <c r="L180" s="71">
        <f t="shared" si="7"/>
        <v>100</v>
      </c>
      <c r="M180" s="71"/>
      <c r="N180" s="71" t="s">
        <v>945</v>
      </c>
    </row>
    <row r="181" spans="1:14" s="8" customFormat="1" ht="15.75" x14ac:dyDescent="0.25">
      <c r="A181" s="15" t="s">
        <v>408</v>
      </c>
      <c r="B181" s="16">
        <v>44656</v>
      </c>
      <c r="C181" s="25" t="s">
        <v>769</v>
      </c>
      <c r="D181" s="32">
        <v>74</v>
      </c>
      <c r="E181" s="13">
        <v>115.48</v>
      </c>
      <c r="F181" s="50">
        <f t="shared" si="9"/>
        <v>8545.52</v>
      </c>
      <c r="G181" s="71"/>
      <c r="H181" s="71"/>
      <c r="I181" s="72"/>
      <c r="J181" s="71"/>
      <c r="K181" s="71">
        <f>1+2+1+1+1+1</f>
        <v>7</v>
      </c>
      <c r="L181" s="71">
        <f t="shared" si="7"/>
        <v>67</v>
      </c>
      <c r="M181" s="71"/>
      <c r="N181" s="71" t="s">
        <v>945</v>
      </c>
    </row>
    <row r="182" spans="1:14" s="8" customFormat="1" ht="15.75" x14ac:dyDescent="0.25">
      <c r="A182" s="15" t="s">
        <v>409</v>
      </c>
      <c r="B182" s="16">
        <v>44193</v>
      </c>
      <c r="C182" s="25" t="s">
        <v>796</v>
      </c>
      <c r="D182" s="38">
        <v>3</v>
      </c>
      <c r="E182" s="13">
        <v>352</v>
      </c>
      <c r="F182" s="50">
        <f t="shared" si="9"/>
        <v>1056</v>
      </c>
      <c r="G182" s="71"/>
      <c r="H182" s="71"/>
      <c r="I182" s="72"/>
      <c r="J182" s="71"/>
      <c r="K182" s="71"/>
      <c r="L182" s="71">
        <f t="shared" si="7"/>
        <v>3</v>
      </c>
      <c r="M182" s="71"/>
      <c r="N182" s="71" t="s">
        <v>946</v>
      </c>
    </row>
    <row r="183" spans="1:14" s="8" customFormat="1" ht="15.75" x14ac:dyDescent="0.25">
      <c r="A183" s="15" t="s">
        <v>410</v>
      </c>
      <c r="B183" s="16">
        <v>44193</v>
      </c>
      <c r="C183" s="25" t="s">
        <v>670</v>
      </c>
      <c r="D183" s="55">
        <f>38+19</f>
        <v>57</v>
      </c>
      <c r="E183" s="13">
        <v>67.8</v>
      </c>
      <c r="F183" s="50">
        <f t="shared" si="9"/>
        <v>3864.6</v>
      </c>
      <c r="G183" s="71"/>
      <c r="H183" s="71"/>
      <c r="I183" s="72"/>
      <c r="J183" s="71"/>
      <c r="K183" s="71"/>
      <c r="L183" s="71">
        <f t="shared" si="7"/>
        <v>57</v>
      </c>
      <c r="M183" s="71"/>
      <c r="N183" s="71" t="s">
        <v>946</v>
      </c>
    </row>
    <row r="184" spans="1:14" s="8" customFormat="1" ht="15.75" x14ac:dyDescent="0.25">
      <c r="A184" s="15" t="s">
        <v>411</v>
      </c>
      <c r="B184" s="16">
        <v>44193</v>
      </c>
      <c r="C184" s="25" t="s">
        <v>671</v>
      </c>
      <c r="D184" s="55">
        <f>19+19</f>
        <v>38</v>
      </c>
      <c r="E184" s="13">
        <v>67.8</v>
      </c>
      <c r="F184" s="50">
        <f t="shared" si="9"/>
        <v>2576.4</v>
      </c>
      <c r="G184" s="71"/>
      <c r="H184" s="71"/>
      <c r="I184" s="72"/>
      <c r="J184" s="71"/>
      <c r="K184" s="71"/>
      <c r="L184" s="71">
        <f t="shared" si="7"/>
        <v>38</v>
      </c>
      <c r="M184" s="71"/>
      <c r="N184" s="71" t="s">
        <v>946</v>
      </c>
    </row>
    <row r="185" spans="1:14" s="8" customFormat="1" ht="15.75" x14ac:dyDescent="0.25">
      <c r="A185" s="15" t="s">
        <v>412</v>
      </c>
      <c r="B185" s="16">
        <v>44193</v>
      </c>
      <c r="C185" s="25" t="s">
        <v>669</v>
      </c>
      <c r="D185" s="32">
        <v>0</v>
      </c>
      <c r="E185" s="13">
        <v>67.8</v>
      </c>
      <c r="F185" s="50">
        <f t="shared" si="9"/>
        <v>0</v>
      </c>
      <c r="G185" s="71"/>
      <c r="H185" s="71"/>
      <c r="I185" s="72"/>
      <c r="J185" s="71"/>
      <c r="K185" s="71"/>
      <c r="L185" s="71">
        <f t="shared" si="7"/>
        <v>0</v>
      </c>
      <c r="M185" s="71"/>
      <c r="N185" s="71" t="s">
        <v>946</v>
      </c>
    </row>
    <row r="186" spans="1:14" s="8" customFormat="1" ht="15.75" x14ac:dyDescent="0.25">
      <c r="A186" s="15" t="s">
        <v>413</v>
      </c>
      <c r="B186" s="16">
        <v>44193</v>
      </c>
      <c r="C186" s="9" t="s">
        <v>672</v>
      </c>
      <c r="D186" s="55">
        <v>50</v>
      </c>
      <c r="E186" s="13">
        <v>170.69</v>
      </c>
      <c r="F186" s="50">
        <f t="shared" si="9"/>
        <v>8534.5</v>
      </c>
      <c r="G186" s="71"/>
      <c r="H186" s="71"/>
      <c r="I186" s="72"/>
      <c r="J186" s="71"/>
      <c r="K186" s="71"/>
      <c r="L186" s="71">
        <f t="shared" si="7"/>
        <v>50</v>
      </c>
      <c r="M186" s="71"/>
      <c r="N186" s="71" t="s">
        <v>947</v>
      </c>
    </row>
    <row r="187" spans="1:14" s="8" customFormat="1" ht="15.75" x14ac:dyDescent="0.25">
      <c r="A187" s="15" t="s">
        <v>414</v>
      </c>
      <c r="B187" s="16">
        <v>44193</v>
      </c>
      <c r="C187" s="9" t="s">
        <v>673</v>
      </c>
      <c r="D187" s="55">
        <v>1040</v>
      </c>
      <c r="E187" s="13">
        <v>170.69</v>
      </c>
      <c r="F187" s="50">
        <f t="shared" si="9"/>
        <v>177517.6</v>
      </c>
      <c r="G187" s="71"/>
      <c r="H187" s="71"/>
      <c r="I187" s="72"/>
      <c r="J187" s="71"/>
      <c r="K187" s="71"/>
      <c r="L187" s="71">
        <f t="shared" si="7"/>
        <v>1040</v>
      </c>
      <c r="M187" s="71"/>
      <c r="N187" s="71" t="s">
        <v>947</v>
      </c>
    </row>
    <row r="188" spans="1:14" s="8" customFormat="1" ht="15.75" x14ac:dyDescent="0.25">
      <c r="A188" s="15" t="s">
        <v>415</v>
      </c>
      <c r="B188" s="16">
        <v>44193</v>
      </c>
      <c r="C188" s="9" t="s">
        <v>674</v>
      </c>
      <c r="D188" s="56">
        <v>1</v>
      </c>
      <c r="E188" s="13">
        <v>170.69</v>
      </c>
      <c r="F188" s="50">
        <f t="shared" si="9"/>
        <v>170.69</v>
      </c>
      <c r="G188" s="71"/>
      <c r="H188" s="71"/>
      <c r="I188" s="72"/>
      <c r="J188" s="71"/>
      <c r="K188" s="71"/>
      <c r="L188" s="71">
        <f t="shared" si="7"/>
        <v>1</v>
      </c>
      <c r="M188" s="71"/>
      <c r="N188" s="71" t="s">
        <v>947</v>
      </c>
    </row>
    <row r="189" spans="1:14" s="8" customFormat="1" ht="15.75" x14ac:dyDescent="0.25">
      <c r="A189" s="15" t="s">
        <v>416</v>
      </c>
      <c r="B189" s="16">
        <v>44193</v>
      </c>
      <c r="C189" s="9" t="s">
        <v>675</v>
      </c>
      <c r="D189" s="30">
        <v>300</v>
      </c>
      <c r="E189" s="13">
        <v>6.5</v>
      </c>
      <c r="F189" s="50">
        <f t="shared" si="9"/>
        <v>1950</v>
      </c>
      <c r="G189" s="71"/>
      <c r="H189" s="71"/>
      <c r="I189" s="72"/>
      <c r="J189" s="71"/>
      <c r="K189" s="71"/>
      <c r="L189" s="71">
        <f t="shared" si="7"/>
        <v>300</v>
      </c>
      <c r="M189" s="71"/>
      <c r="N189" s="71" t="s">
        <v>947</v>
      </c>
    </row>
    <row r="190" spans="1:14" s="8" customFormat="1" ht="15.75" x14ac:dyDescent="0.25">
      <c r="A190" s="15" t="s">
        <v>417</v>
      </c>
      <c r="B190" s="16">
        <v>44193</v>
      </c>
      <c r="C190" s="9" t="s">
        <v>676</v>
      </c>
      <c r="D190" s="30">
        <v>2</v>
      </c>
      <c r="E190" s="13">
        <v>3.5</v>
      </c>
      <c r="F190" s="50">
        <f t="shared" si="9"/>
        <v>7</v>
      </c>
      <c r="G190" s="71"/>
      <c r="H190" s="71"/>
      <c r="I190" s="72"/>
      <c r="J190" s="71"/>
      <c r="K190" s="71"/>
      <c r="L190" s="71">
        <f t="shared" si="7"/>
        <v>2</v>
      </c>
      <c r="M190" s="71"/>
      <c r="N190" s="71" t="s">
        <v>947</v>
      </c>
    </row>
    <row r="191" spans="1:14" s="8" customFormat="1" ht="15.75" x14ac:dyDescent="0.25">
      <c r="A191" s="15" t="s">
        <v>418</v>
      </c>
      <c r="B191" s="16">
        <v>44193</v>
      </c>
      <c r="C191" s="26" t="s">
        <v>678</v>
      </c>
      <c r="D191" s="30">
        <v>5</v>
      </c>
      <c r="E191" s="13">
        <v>5000</v>
      </c>
      <c r="F191" s="50">
        <f t="shared" si="9"/>
        <v>25000</v>
      </c>
      <c r="G191" s="71"/>
      <c r="H191" s="71"/>
      <c r="I191" s="72"/>
      <c r="J191" s="71"/>
      <c r="K191" s="71"/>
      <c r="L191" s="71">
        <f t="shared" si="7"/>
        <v>5</v>
      </c>
      <c r="M191" s="71"/>
      <c r="N191" s="71" t="s">
        <v>946</v>
      </c>
    </row>
    <row r="192" spans="1:14" s="8" customFormat="1" ht="15.75" x14ac:dyDescent="0.25">
      <c r="A192" s="15" t="s">
        <v>419</v>
      </c>
      <c r="B192" s="16">
        <v>44193</v>
      </c>
      <c r="C192" s="26" t="s">
        <v>677</v>
      </c>
      <c r="D192" s="30">
        <v>2</v>
      </c>
      <c r="E192" s="13">
        <v>10800</v>
      </c>
      <c r="F192" s="50">
        <f t="shared" si="9"/>
        <v>21600</v>
      </c>
      <c r="G192" s="71"/>
      <c r="H192" s="71"/>
      <c r="I192" s="72"/>
      <c r="J192" s="71"/>
      <c r="K192" s="71"/>
      <c r="L192" s="71">
        <f t="shared" si="7"/>
        <v>2</v>
      </c>
      <c r="M192" s="71"/>
      <c r="N192" s="71" t="s">
        <v>946</v>
      </c>
    </row>
    <row r="193" spans="1:14" s="8" customFormat="1" ht="15.75" x14ac:dyDescent="0.25">
      <c r="A193" s="15" t="s">
        <v>420</v>
      </c>
      <c r="B193" s="16">
        <v>44193</v>
      </c>
      <c r="C193" s="9" t="s">
        <v>679</v>
      </c>
      <c r="D193" s="38">
        <v>29</v>
      </c>
      <c r="E193" s="13">
        <v>33</v>
      </c>
      <c r="F193" s="50">
        <f t="shared" si="9"/>
        <v>957</v>
      </c>
      <c r="G193" s="71"/>
      <c r="H193" s="71"/>
      <c r="I193" s="72"/>
      <c r="J193" s="71"/>
      <c r="K193" s="71"/>
      <c r="L193" s="71">
        <f t="shared" si="7"/>
        <v>29</v>
      </c>
      <c r="M193" s="71"/>
      <c r="N193" s="71" t="s">
        <v>947</v>
      </c>
    </row>
    <row r="194" spans="1:14" s="8" customFormat="1" ht="15.75" x14ac:dyDescent="0.25">
      <c r="A194" s="15" t="s">
        <v>421</v>
      </c>
      <c r="B194" s="16">
        <v>44193</v>
      </c>
      <c r="C194" s="9" t="s">
        <v>779</v>
      </c>
      <c r="D194" s="30">
        <v>8</v>
      </c>
      <c r="E194" s="13">
        <v>15</v>
      </c>
      <c r="F194" s="50">
        <f t="shared" si="9"/>
        <v>120</v>
      </c>
      <c r="G194" s="71"/>
      <c r="H194" s="71"/>
      <c r="I194" s="72"/>
      <c r="J194" s="71"/>
      <c r="K194" s="71"/>
      <c r="L194" s="71">
        <f t="shared" si="7"/>
        <v>8</v>
      </c>
      <c r="M194" s="71"/>
      <c r="N194" s="71" t="s">
        <v>947</v>
      </c>
    </row>
    <row r="195" spans="1:14" s="8" customFormat="1" ht="15.75" x14ac:dyDescent="0.25">
      <c r="A195" s="15" t="s">
        <v>422</v>
      </c>
      <c r="B195" s="16">
        <v>44547</v>
      </c>
      <c r="C195" s="9" t="s">
        <v>777</v>
      </c>
      <c r="D195" s="30">
        <v>27</v>
      </c>
      <c r="E195" s="13">
        <v>8.34</v>
      </c>
      <c r="F195" s="50">
        <f t="shared" si="9"/>
        <v>225.18</v>
      </c>
      <c r="G195" s="71"/>
      <c r="H195" s="71"/>
      <c r="I195" s="72"/>
      <c r="J195" s="71"/>
      <c r="K195" s="71"/>
      <c r="L195" s="71">
        <f t="shared" si="7"/>
        <v>27</v>
      </c>
      <c r="M195" s="71"/>
      <c r="N195" s="71" t="s">
        <v>947</v>
      </c>
    </row>
    <row r="196" spans="1:14" s="8" customFormat="1" ht="15.75" x14ac:dyDescent="0.25">
      <c r="A196" s="15" t="s">
        <v>423</v>
      </c>
      <c r="B196" s="16">
        <v>44193</v>
      </c>
      <c r="C196" s="9" t="s">
        <v>778</v>
      </c>
      <c r="D196" s="30">
        <v>12</v>
      </c>
      <c r="E196" s="13">
        <v>8.34</v>
      </c>
      <c r="F196" s="50">
        <f t="shared" si="9"/>
        <v>100.08</v>
      </c>
      <c r="G196" s="71"/>
      <c r="H196" s="71"/>
      <c r="I196" s="72"/>
      <c r="J196" s="71"/>
      <c r="K196" s="71"/>
      <c r="L196" s="71">
        <f t="shared" si="7"/>
        <v>12</v>
      </c>
      <c r="M196" s="71"/>
      <c r="N196" s="71" t="s">
        <v>947</v>
      </c>
    </row>
    <row r="197" spans="1:14" s="8" customFormat="1" ht="15.75" x14ac:dyDescent="0.25">
      <c r="A197" s="15" t="s">
        <v>424</v>
      </c>
      <c r="B197" s="16">
        <v>44193</v>
      </c>
      <c r="C197" s="9" t="s">
        <v>681</v>
      </c>
      <c r="D197" s="30">
        <v>139</v>
      </c>
      <c r="E197" s="13">
        <v>5.6</v>
      </c>
      <c r="F197" s="50">
        <f t="shared" si="9"/>
        <v>778.4</v>
      </c>
      <c r="G197" s="71"/>
      <c r="H197" s="71"/>
      <c r="I197" s="72"/>
      <c r="J197" s="71"/>
      <c r="K197" s="71"/>
      <c r="L197" s="71">
        <f t="shared" si="7"/>
        <v>139</v>
      </c>
      <c r="M197" s="71"/>
      <c r="N197" s="71" t="s">
        <v>947</v>
      </c>
    </row>
    <row r="198" spans="1:14" s="8" customFormat="1" ht="15.75" x14ac:dyDescent="0.25">
      <c r="A198" s="15" t="s">
        <v>425</v>
      </c>
      <c r="B198" s="16">
        <v>44193</v>
      </c>
      <c r="C198" s="9" t="s">
        <v>684</v>
      </c>
      <c r="D198" s="30">
        <v>79</v>
      </c>
      <c r="E198" s="13">
        <v>160</v>
      </c>
      <c r="F198" s="50">
        <f t="shared" si="9"/>
        <v>12640</v>
      </c>
      <c r="G198" s="71"/>
      <c r="H198" s="71"/>
      <c r="I198" s="72"/>
      <c r="J198" s="71"/>
      <c r="K198" s="71"/>
      <c r="L198" s="71">
        <f t="shared" si="7"/>
        <v>79</v>
      </c>
      <c r="M198" s="71"/>
      <c r="N198" s="71" t="s">
        <v>945</v>
      </c>
    </row>
    <row r="199" spans="1:14" s="8" customFormat="1" ht="15.75" x14ac:dyDescent="0.25">
      <c r="A199" s="15" t="s">
        <v>426</v>
      </c>
      <c r="B199" s="16">
        <v>44193</v>
      </c>
      <c r="C199" s="9" t="s">
        <v>787</v>
      </c>
      <c r="D199" s="30">
        <v>11</v>
      </c>
      <c r="E199" s="13">
        <v>35</v>
      </c>
      <c r="F199" s="50">
        <f t="shared" si="9"/>
        <v>385</v>
      </c>
      <c r="G199" s="71"/>
      <c r="H199" s="71"/>
      <c r="I199" s="72"/>
      <c r="J199" s="71"/>
      <c r="K199" s="71"/>
      <c r="L199" s="71">
        <f t="shared" si="7"/>
        <v>11</v>
      </c>
      <c r="M199" s="71"/>
      <c r="N199" s="71" t="s">
        <v>947</v>
      </c>
    </row>
    <row r="200" spans="1:14" s="8" customFormat="1" ht="15.75" x14ac:dyDescent="0.25">
      <c r="A200" s="15" t="s">
        <v>427</v>
      </c>
      <c r="B200" s="16"/>
      <c r="C200" s="25" t="s">
        <v>782</v>
      </c>
      <c r="D200" s="38">
        <v>38</v>
      </c>
      <c r="E200" s="13"/>
      <c r="F200" s="50"/>
      <c r="G200" s="71"/>
      <c r="H200" s="71"/>
      <c r="I200" s="72"/>
      <c r="J200" s="71"/>
      <c r="K200" s="71"/>
      <c r="L200" s="71">
        <f t="shared" si="7"/>
        <v>38</v>
      </c>
      <c r="M200" s="71"/>
      <c r="N200" s="71" t="s">
        <v>947</v>
      </c>
    </row>
    <row r="201" spans="1:14" s="8" customFormat="1" ht="15.75" x14ac:dyDescent="0.25">
      <c r="A201" s="15" t="s">
        <v>428</v>
      </c>
      <c r="B201" s="23" t="s">
        <v>106</v>
      </c>
      <c r="C201" s="9" t="s">
        <v>780</v>
      </c>
      <c r="D201" s="30">
        <v>2</v>
      </c>
      <c r="E201" s="51">
        <v>325</v>
      </c>
      <c r="F201" s="50">
        <f>D201*E201</f>
        <v>650</v>
      </c>
      <c r="G201" s="71"/>
      <c r="H201" s="71"/>
      <c r="I201" s="72"/>
      <c r="J201" s="71"/>
      <c r="K201" s="71"/>
      <c r="L201" s="71">
        <f t="shared" si="7"/>
        <v>2</v>
      </c>
      <c r="M201" s="71"/>
      <c r="N201" s="71" t="s">
        <v>947</v>
      </c>
    </row>
    <row r="202" spans="1:14" s="8" customFormat="1" ht="15.75" x14ac:dyDescent="0.25">
      <c r="A202" s="15" t="s">
        <v>429</v>
      </c>
      <c r="B202" s="16"/>
      <c r="C202" s="25" t="s">
        <v>783</v>
      </c>
      <c r="D202" s="38">
        <v>15</v>
      </c>
      <c r="E202" s="13"/>
      <c r="F202" s="50"/>
      <c r="G202" s="71"/>
      <c r="H202" s="71"/>
      <c r="I202" s="72"/>
      <c r="J202" s="71"/>
      <c r="K202" s="71"/>
      <c r="L202" s="71">
        <f t="shared" ref="L202:L265" si="10">+D202+H202-K202</f>
        <v>15</v>
      </c>
      <c r="M202" s="71"/>
      <c r="N202" s="71" t="s">
        <v>947</v>
      </c>
    </row>
    <row r="203" spans="1:14" s="8" customFormat="1" ht="15.75" x14ac:dyDescent="0.25">
      <c r="A203" s="15" t="s">
        <v>430</v>
      </c>
      <c r="B203" s="16">
        <v>44193</v>
      </c>
      <c r="C203" s="9" t="s">
        <v>687</v>
      </c>
      <c r="D203" s="32">
        <v>2</v>
      </c>
      <c r="E203" s="13">
        <v>175</v>
      </c>
      <c r="F203" s="50">
        <f t="shared" ref="F203:F261" si="11">D203*E203</f>
        <v>350</v>
      </c>
      <c r="G203" s="71"/>
      <c r="H203" s="71"/>
      <c r="I203" s="72"/>
      <c r="J203" s="71"/>
      <c r="K203" s="71"/>
      <c r="L203" s="71">
        <f t="shared" si="10"/>
        <v>2</v>
      </c>
      <c r="M203" s="71"/>
      <c r="N203" s="71" t="s">
        <v>947</v>
      </c>
    </row>
    <row r="204" spans="1:14" s="8" customFormat="1" ht="15.75" x14ac:dyDescent="0.25">
      <c r="A204" s="15" t="s">
        <v>431</v>
      </c>
      <c r="B204" s="16">
        <v>44193</v>
      </c>
      <c r="C204" s="26" t="s">
        <v>695</v>
      </c>
      <c r="D204" s="38">
        <v>1</v>
      </c>
      <c r="E204" s="13">
        <v>270.55</v>
      </c>
      <c r="F204" s="50">
        <f t="shared" si="11"/>
        <v>270.55</v>
      </c>
      <c r="G204" s="71"/>
      <c r="H204" s="71"/>
      <c r="I204" s="72"/>
      <c r="J204" s="71"/>
      <c r="K204" s="71"/>
      <c r="L204" s="71">
        <f t="shared" si="10"/>
        <v>1</v>
      </c>
      <c r="M204" s="71"/>
      <c r="N204" s="71" t="s">
        <v>946</v>
      </c>
    </row>
    <row r="205" spans="1:14" s="8" customFormat="1" ht="15.75" x14ac:dyDescent="0.25">
      <c r="A205" s="15" t="s">
        <v>432</v>
      </c>
      <c r="B205" s="16">
        <v>44193</v>
      </c>
      <c r="C205" s="25" t="s">
        <v>688</v>
      </c>
      <c r="D205" s="58">
        <v>3</v>
      </c>
      <c r="E205" s="13">
        <v>79.8</v>
      </c>
      <c r="F205" s="50">
        <f t="shared" si="11"/>
        <v>239.39999999999998</v>
      </c>
      <c r="G205" s="71"/>
      <c r="H205" s="71"/>
      <c r="I205" s="72"/>
      <c r="J205" s="71"/>
      <c r="K205" s="71"/>
      <c r="L205" s="71">
        <f t="shared" si="10"/>
        <v>3</v>
      </c>
      <c r="M205" s="71"/>
      <c r="N205" s="71" t="s">
        <v>946</v>
      </c>
    </row>
    <row r="206" spans="1:14" s="8" customFormat="1" ht="15.75" x14ac:dyDescent="0.25">
      <c r="A206" s="15" t="s">
        <v>433</v>
      </c>
      <c r="B206" s="16">
        <v>44193</v>
      </c>
      <c r="C206" s="25" t="s">
        <v>689</v>
      </c>
      <c r="D206" s="55">
        <v>7</v>
      </c>
      <c r="E206" s="13">
        <v>79.8</v>
      </c>
      <c r="F206" s="50">
        <f t="shared" si="11"/>
        <v>558.6</v>
      </c>
      <c r="G206" s="71"/>
      <c r="H206" s="71"/>
      <c r="I206" s="72"/>
      <c r="J206" s="71"/>
      <c r="K206" s="71"/>
      <c r="L206" s="71">
        <f t="shared" si="10"/>
        <v>7</v>
      </c>
      <c r="M206" s="71"/>
      <c r="N206" s="71" t="s">
        <v>946</v>
      </c>
    </row>
    <row r="207" spans="1:14" s="8" customFormat="1" ht="15.75" x14ac:dyDescent="0.25">
      <c r="A207" s="15" t="s">
        <v>434</v>
      </c>
      <c r="B207" s="16">
        <v>44193</v>
      </c>
      <c r="C207" s="25" t="s">
        <v>690</v>
      </c>
      <c r="D207" s="57">
        <v>7</v>
      </c>
      <c r="E207" s="13">
        <v>62.93</v>
      </c>
      <c r="F207" s="50">
        <f t="shared" si="11"/>
        <v>440.51</v>
      </c>
      <c r="G207" s="71"/>
      <c r="H207" s="71"/>
      <c r="I207" s="72"/>
      <c r="J207" s="71"/>
      <c r="K207" s="71"/>
      <c r="L207" s="71">
        <f t="shared" si="10"/>
        <v>7</v>
      </c>
      <c r="M207" s="71"/>
      <c r="N207" s="71" t="s">
        <v>946</v>
      </c>
    </row>
    <row r="208" spans="1:14" s="8" customFormat="1" ht="15.75" x14ac:dyDescent="0.25">
      <c r="A208" s="15" t="s">
        <v>435</v>
      </c>
      <c r="B208" s="16">
        <v>44193</v>
      </c>
      <c r="C208" s="26" t="s">
        <v>691</v>
      </c>
      <c r="D208" s="57">
        <v>21</v>
      </c>
      <c r="E208" s="13">
        <v>165</v>
      </c>
      <c r="F208" s="50">
        <f t="shared" si="11"/>
        <v>3465</v>
      </c>
      <c r="G208" s="71"/>
      <c r="H208" s="71"/>
      <c r="I208" s="72"/>
      <c r="J208" s="71"/>
      <c r="K208" s="71"/>
      <c r="L208" s="71">
        <f t="shared" si="10"/>
        <v>21</v>
      </c>
      <c r="M208" s="71"/>
      <c r="N208" s="71" t="s">
        <v>946</v>
      </c>
    </row>
    <row r="209" spans="1:14" s="8" customFormat="1" ht="15.75" x14ac:dyDescent="0.25">
      <c r="A209" s="15" t="s">
        <v>436</v>
      </c>
      <c r="B209" s="16">
        <v>44193</v>
      </c>
      <c r="C209" s="26" t="s">
        <v>791</v>
      </c>
      <c r="D209" s="38">
        <v>18</v>
      </c>
      <c r="E209" s="13">
        <v>52</v>
      </c>
      <c r="F209" s="50">
        <f t="shared" si="11"/>
        <v>936</v>
      </c>
      <c r="G209" s="71"/>
      <c r="H209" s="71"/>
      <c r="I209" s="72"/>
      <c r="J209" s="71"/>
      <c r="K209" s="71"/>
      <c r="L209" s="71">
        <f t="shared" si="10"/>
        <v>18</v>
      </c>
      <c r="M209" s="71"/>
      <c r="N209" s="71" t="s">
        <v>946</v>
      </c>
    </row>
    <row r="210" spans="1:14" s="8" customFormat="1" ht="15.75" x14ac:dyDescent="0.25">
      <c r="A210" s="15" t="s">
        <v>437</v>
      </c>
      <c r="B210" s="16">
        <v>44193</v>
      </c>
      <c r="C210" s="26" t="s">
        <v>790</v>
      </c>
      <c r="D210" s="38">
        <v>11</v>
      </c>
      <c r="E210" s="13">
        <v>79.8</v>
      </c>
      <c r="F210" s="50">
        <f t="shared" si="11"/>
        <v>877.8</v>
      </c>
      <c r="G210" s="71"/>
      <c r="H210" s="71"/>
      <c r="I210" s="72"/>
      <c r="J210" s="71"/>
      <c r="K210" s="71"/>
      <c r="L210" s="71">
        <f t="shared" si="10"/>
        <v>11</v>
      </c>
      <c r="M210" s="71"/>
      <c r="N210" s="71" t="s">
        <v>946</v>
      </c>
    </row>
    <row r="211" spans="1:14" s="8" customFormat="1" ht="15.75" x14ac:dyDescent="0.25">
      <c r="A211" s="15" t="s">
        <v>438</v>
      </c>
      <c r="B211" s="16">
        <v>44193</v>
      </c>
      <c r="C211" s="26" t="s">
        <v>693</v>
      </c>
      <c r="D211" s="38">
        <v>1</v>
      </c>
      <c r="E211" s="13">
        <v>2075</v>
      </c>
      <c r="F211" s="50">
        <f t="shared" si="11"/>
        <v>2075</v>
      </c>
      <c r="G211" s="71"/>
      <c r="H211" s="71"/>
      <c r="I211" s="72"/>
      <c r="J211" s="71"/>
      <c r="K211" s="71"/>
      <c r="L211" s="71">
        <f t="shared" si="10"/>
        <v>1</v>
      </c>
      <c r="M211" s="71"/>
      <c r="N211" s="71" t="s">
        <v>946</v>
      </c>
    </row>
    <row r="212" spans="1:14" s="8" customFormat="1" ht="15.75" x14ac:dyDescent="0.25">
      <c r="A212" s="15" t="s">
        <v>439</v>
      </c>
      <c r="B212" s="16">
        <v>44193</v>
      </c>
      <c r="C212" s="26" t="s">
        <v>692</v>
      </c>
      <c r="D212" s="57">
        <v>18</v>
      </c>
      <c r="E212" s="13">
        <v>165</v>
      </c>
      <c r="F212" s="50">
        <f t="shared" si="11"/>
        <v>2970</v>
      </c>
      <c r="G212" s="71"/>
      <c r="H212" s="71"/>
      <c r="I212" s="72"/>
      <c r="J212" s="71"/>
      <c r="K212" s="71"/>
      <c r="L212" s="71">
        <f t="shared" si="10"/>
        <v>18</v>
      </c>
      <c r="M212" s="71"/>
      <c r="N212" s="71" t="s">
        <v>946</v>
      </c>
    </row>
    <row r="213" spans="1:14" s="8" customFormat="1" ht="15.75" x14ac:dyDescent="0.25">
      <c r="A213" s="15" t="s">
        <v>440</v>
      </c>
      <c r="B213" s="16">
        <v>44193</v>
      </c>
      <c r="C213" s="26" t="s">
        <v>697</v>
      </c>
      <c r="D213" s="38">
        <v>20</v>
      </c>
      <c r="E213" s="13">
        <v>79.8</v>
      </c>
      <c r="F213" s="50">
        <f t="shared" si="11"/>
        <v>1596</v>
      </c>
      <c r="G213" s="71"/>
      <c r="H213" s="71"/>
      <c r="I213" s="72"/>
      <c r="J213" s="71"/>
      <c r="K213" s="71"/>
      <c r="L213" s="71">
        <f t="shared" si="10"/>
        <v>20</v>
      </c>
      <c r="M213" s="71"/>
      <c r="N213" s="71" t="s">
        <v>946</v>
      </c>
    </row>
    <row r="214" spans="1:14" s="8" customFormat="1" ht="15.75" x14ac:dyDescent="0.25">
      <c r="A214" s="15" t="s">
        <v>441</v>
      </c>
      <c r="B214" s="16">
        <v>44193</v>
      </c>
      <c r="C214" s="26" t="s">
        <v>696</v>
      </c>
      <c r="D214" s="38">
        <v>9</v>
      </c>
      <c r="E214" s="13">
        <v>79.8</v>
      </c>
      <c r="F214" s="50">
        <f t="shared" si="11"/>
        <v>718.19999999999993</v>
      </c>
      <c r="G214" s="71"/>
      <c r="H214" s="71"/>
      <c r="I214" s="72"/>
      <c r="J214" s="71"/>
      <c r="K214" s="71"/>
      <c r="L214" s="71">
        <f t="shared" si="10"/>
        <v>9</v>
      </c>
      <c r="M214" s="71"/>
      <c r="N214" s="71" t="s">
        <v>946</v>
      </c>
    </row>
    <row r="215" spans="1:14" s="8" customFormat="1" ht="15.75" x14ac:dyDescent="0.25">
      <c r="A215" s="15" t="s">
        <v>442</v>
      </c>
      <c r="B215" s="16"/>
      <c r="C215" s="26" t="s">
        <v>808</v>
      </c>
      <c r="D215" s="38">
        <v>9</v>
      </c>
      <c r="E215" s="13">
        <v>352</v>
      </c>
      <c r="F215" s="50">
        <f t="shared" si="11"/>
        <v>3168</v>
      </c>
      <c r="G215" s="71"/>
      <c r="H215" s="71"/>
      <c r="I215" s="72"/>
      <c r="J215" s="71"/>
      <c r="K215" s="71"/>
      <c r="L215" s="71">
        <f t="shared" si="10"/>
        <v>9</v>
      </c>
      <c r="M215" s="71"/>
      <c r="N215" s="71" t="s">
        <v>946</v>
      </c>
    </row>
    <row r="216" spans="1:14" s="8" customFormat="1" ht="15.75" x14ac:dyDescent="0.25">
      <c r="A216" s="15" t="s">
        <v>443</v>
      </c>
      <c r="B216" s="16">
        <v>44456</v>
      </c>
      <c r="C216" s="26" t="s">
        <v>698</v>
      </c>
      <c r="D216" s="38">
        <v>3</v>
      </c>
      <c r="E216" s="13">
        <v>600</v>
      </c>
      <c r="F216" s="50">
        <f t="shared" si="11"/>
        <v>1800</v>
      </c>
      <c r="G216" s="71"/>
      <c r="H216" s="71"/>
      <c r="I216" s="72"/>
      <c r="J216" s="71"/>
      <c r="K216" s="71"/>
      <c r="L216" s="71">
        <f t="shared" si="10"/>
        <v>3</v>
      </c>
      <c r="M216" s="71"/>
      <c r="N216" s="71" t="s">
        <v>945</v>
      </c>
    </row>
    <row r="217" spans="1:14" s="8" customFormat="1" ht="15.75" x14ac:dyDescent="0.25">
      <c r="A217" s="15" t="s">
        <v>444</v>
      </c>
      <c r="B217" s="16">
        <v>44193</v>
      </c>
      <c r="C217" s="26" t="s">
        <v>699</v>
      </c>
      <c r="D217" s="38">
        <v>15</v>
      </c>
      <c r="E217" s="13">
        <v>140</v>
      </c>
      <c r="F217" s="50">
        <f t="shared" si="11"/>
        <v>2100</v>
      </c>
      <c r="G217" s="71"/>
      <c r="H217" s="71"/>
      <c r="I217" s="72"/>
      <c r="J217" s="71"/>
      <c r="K217" s="71"/>
      <c r="L217" s="71">
        <f t="shared" si="10"/>
        <v>15</v>
      </c>
      <c r="M217" s="71"/>
      <c r="N217" s="71" t="s">
        <v>945</v>
      </c>
    </row>
    <row r="218" spans="1:14" s="8" customFormat="1" ht="15.75" x14ac:dyDescent="0.25">
      <c r="A218" s="15" t="s">
        <v>445</v>
      </c>
      <c r="B218" s="16">
        <v>44193</v>
      </c>
      <c r="C218" s="9" t="s">
        <v>706</v>
      </c>
      <c r="D218" s="48">
        <v>1</v>
      </c>
      <c r="E218" s="13">
        <v>5250</v>
      </c>
      <c r="F218" s="50">
        <f t="shared" si="11"/>
        <v>5250</v>
      </c>
      <c r="G218" s="71"/>
      <c r="H218" s="71"/>
      <c r="I218" s="72"/>
      <c r="J218" s="71"/>
      <c r="K218" s="71"/>
      <c r="L218" s="71">
        <f t="shared" si="10"/>
        <v>1</v>
      </c>
      <c r="M218" s="71"/>
      <c r="N218" s="71" t="s">
        <v>947</v>
      </c>
    </row>
    <row r="219" spans="1:14" s="8" customFormat="1" ht="15.75" x14ac:dyDescent="0.25">
      <c r="A219" s="15" t="s">
        <v>446</v>
      </c>
      <c r="B219" s="16">
        <v>44193</v>
      </c>
      <c r="C219" s="9" t="s">
        <v>700</v>
      </c>
      <c r="D219" s="48">
        <f>9+12+12+24</f>
        <v>57</v>
      </c>
      <c r="E219" s="13">
        <v>12.93</v>
      </c>
      <c r="F219" s="50">
        <f t="shared" si="11"/>
        <v>737.01</v>
      </c>
      <c r="G219" s="71"/>
      <c r="H219" s="71"/>
      <c r="I219" s="72"/>
      <c r="J219" s="71"/>
      <c r="K219" s="71"/>
      <c r="L219" s="71">
        <f t="shared" si="10"/>
        <v>57</v>
      </c>
      <c r="M219" s="71"/>
      <c r="N219" s="71" t="s">
        <v>947</v>
      </c>
    </row>
    <row r="220" spans="1:14" s="8" customFormat="1" ht="15.75" x14ac:dyDescent="0.25">
      <c r="A220" s="15" t="s">
        <v>447</v>
      </c>
      <c r="B220" s="16">
        <v>44193</v>
      </c>
      <c r="C220" s="9" t="s">
        <v>701</v>
      </c>
      <c r="D220" s="48">
        <f>16+12+12</f>
        <v>40</v>
      </c>
      <c r="E220" s="13">
        <v>14.37</v>
      </c>
      <c r="F220" s="50">
        <f t="shared" si="11"/>
        <v>574.79999999999995</v>
      </c>
      <c r="G220" s="71"/>
      <c r="H220" s="71"/>
      <c r="I220" s="72"/>
      <c r="J220" s="71"/>
      <c r="K220" s="71"/>
      <c r="L220" s="71">
        <f t="shared" si="10"/>
        <v>40</v>
      </c>
      <c r="M220" s="71"/>
      <c r="N220" s="71" t="s">
        <v>947</v>
      </c>
    </row>
    <row r="221" spans="1:14" s="8" customFormat="1" ht="15.75" x14ac:dyDescent="0.25">
      <c r="A221" s="15" t="s">
        <v>448</v>
      </c>
      <c r="B221" s="16">
        <v>44193</v>
      </c>
      <c r="C221" s="9" t="s">
        <v>702</v>
      </c>
      <c r="D221" s="48">
        <v>6</v>
      </c>
      <c r="E221" s="13">
        <v>35</v>
      </c>
      <c r="F221" s="50">
        <f t="shared" si="11"/>
        <v>210</v>
      </c>
      <c r="G221" s="71"/>
      <c r="H221" s="71"/>
      <c r="I221" s="72"/>
      <c r="J221" s="71"/>
      <c r="K221" s="71"/>
      <c r="L221" s="71">
        <f t="shared" si="10"/>
        <v>6</v>
      </c>
      <c r="M221" s="71"/>
      <c r="N221" s="71" t="s">
        <v>947</v>
      </c>
    </row>
    <row r="222" spans="1:14" s="8" customFormat="1" ht="15.75" x14ac:dyDescent="0.25">
      <c r="A222" s="15" t="s">
        <v>449</v>
      </c>
      <c r="B222" s="16">
        <v>44193</v>
      </c>
      <c r="C222" s="9" t="s">
        <v>703</v>
      </c>
      <c r="D222" s="48"/>
      <c r="E222" s="13">
        <v>30</v>
      </c>
      <c r="F222" s="50">
        <f t="shared" si="11"/>
        <v>0</v>
      </c>
      <c r="G222" s="71"/>
      <c r="H222" s="71"/>
      <c r="I222" s="72"/>
      <c r="J222" s="71"/>
      <c r="K222" s="71"/>
      <c r="L222" s="71">
        <f t="shared" si="10"/>
        <v>0</v>
      </c>
      <c r="M222" s="71"/>
      <c r="N222" s="71" t="s">
        <v>947</v>
      </c>
    </row>
    <row r="223" spans="1:14" s="8" customFormat="1" ht="15.75" x14ac:dyDescent="0.25">
      <c r="A223" s="15" t="s">
        <v>450</v>
      </c>
      <c r="B223" s="16">
        <v>44193</v>
      </c>
      <c r="C223" s="9" t="s">
        <v>704</v>
      </c>
      <c r="D223" s="48">
        <v>1300</v>
      </c>
      <c r="E223" s="13">
        <v>2.6</v>
      </c>
      <c r="F223" s="50">
        <f t="shared" si="11"/>
        <v>3380</v>
      </c>
      <c r="G223" s="71"/>
      <c r="H223" s="71"/>
      <c r="I223" s="72"/>
      <c r="J223" s="71"/>
      <c r="K223" s="71"/>
      <c r="L223" s="71">
        <f t="shared" si="10"/>
        <v>1300</v>
      </c>
      <c r="M223" s="71"/>
      <c r="N223" s="71" t="s">
        <v>947</v>
      </c>
    </row>
    <row r="224" spans="1:14" s="8" customFormat="1" ht="15.75" x14ac:dyDescent="0.25">
      <c r="A224" s="15" t="s">
        <v>451</v>
      </c>
      <c r="B224" s="16">
        <v>44193</v>
      </c>
      <c r="C224" s="9" t="s">
        <v>705</v>
      </c>
      <c r="D224" s="48">
        <v>1</v>
      </c>
      <c r="E224" s="13">
        <v>728.81</v>
      </c>
      <c r="F224" s="50">
        <f t="shared" si="11"/>
        <v>728.81</v>
      </c>
      <c r="G224" s="71"/>
      <c r="H224" s="71"/>
      <c r="I224" s="72"/>
      <c r="J224" s="71"/>
      <c r="K224" s="71"/>
      <c r="L224" s="71">
        <f t="shared" si="10"/>
        <v>1</v>
      </c>
      <c r="M224" s="71"/>
      <c r="N224" s="71" t="s">
        <v>947</v>
      </c>
    </row>
    <row r="225" spans="1:14" s="8" customFormat="1" ht="15.75" x14ac:dyDescent="0.25">
      <c r="A225" s="15" t="s">
        <v>452</v>
      </c>
      <c r="B225" s="16">
        <v>44193</v>
      </c>
      <c r="C225" s="9" t="s">
        <v>709</v>
      </c>
      <c r="D225" s="58">
        <v>2</v>
      </c>
      <c r="E225" s="13">
        <v>350</v>
      </c>
      <c r="F225" s="50">
        <f t="shared" si="11"/>
        <v>700</v>
      </c>
      <c r="G225" s="71"/>
      <c r="H225" s="71"/>
      <c r="I225" s="72"/>
      <c r="J225" s="71"/>
      <c r="K225" s="71"/>
      <c r="L225" s="71">
        <f t="shared" si="10"/>
        <v>2</v>
      </c>
      <c r="M225" s="71"/>
      <c r="N225" s="71" t="s">
        <v>947</v>
      </c>
    </row>
    <row r="226" spans="1:14" s="8" customFormat="1" ht="15.75" x14ac:dyDescent="0.25">
      <c r="A226" s="15" t="s">
        <v>453</v>
      </c>
      <c r="B226" s="16">
        <v>44193</v>
      </c>
      <c r="C226" s="9" t="s">
        <v>707</v>
      </c>
      <c r="D226" s="48">
        <v>5</v>
      </c>
      <c r="E226" s="13">
        <v>595</v>
      </c>
      <c r="F226" s="50">
        <f t="shared" si="11"/>
        <v>2975</v>
      </c>
      <c r="G226" s="71"/>
      <c r="H226" s="71"/>
      <c r="I226" s="72"/>
      <c r="J226" s="71"/>
      <c r="K226" s="71"/>
      <c r="L226" s="71">
        <f t="shared" si="10"/>
        <v>5</v>
      </c>
      <c r="M226" s="71"/>
      <c r="N226" s="71" t="s">
        <v>947</v>
      </c>
    </row>
    <row r="227" spans="1:14" s="8" customFormat="1" ht="15.75" x14ac:dyDescent="0.25">
      <c r="A227" s="15" t="s">
        <v>454</v>
      </c>
      <c r="B227" s="16">
        <v>44193</v>
      </c>
      <c r="C227" s="9" t="s">
        <v>868</v>
      </c>
      <c r="D227" s="48">
        <v>2</v>
      </c>
      <c r="E227" s="13">
        <v>300</v>
      </c>
      <c r="F227" s="50">
        <f t="shared" si="11"/>
        <v>600</v>
      </c>
      <c r="G227" s="71"/>
      <c r="H227" s="71"/>
      <c r="I227" s="72"/>
      <c r="J227" s="71"/>
      <c r="K227" s="71"/>
      <c r="L227" s="71">
        <f t="shared" si="10"/>
        <v>2</v>
      </c>
      <c r="M227" s="71"/>
      <c r="N227" s="71" t="s">
        <v>947</v>
      </c>
    </row>
    <row r="228" spans="1:14" s="8" customFormat="1" ht="15.75" x14ac:dyDescent="0.25">
      <c r="A228" s="15" t="s">
        <v>455</v>
      </c>
      <c r="B228" s="16">
        <v>44193</v>
      </c>
      <c r="C228" s="26" t="s">
        <v>710</v>
      </c>
      <c r="D228" s="32">
        <v>0</v>
      </c>
      <c r="E228" s="13">
        <v>3950</v>
      </c>
      <c r="F228" s="50">
        <f t="shared" si="11"/>
        <v>0</v>
      </c>
      <c r="G228" s="71"/>
      <c r="H228" s="71"/>
      <c r="I228" s="72"/>
      <c r="J228" s="71"/>
      <c r="K228" s="71"/>
      <c r="L228" s="71">
        <f t="shared" si="10"/>
        <v>0</v>
      </c>
      <c r="M228" s="71"/>
      <c r="N228" s="71" t="s">
        <v>947</v>
      </c>
    </row>
    <row r="229" spans="1:14" s="8" customFormat="1" ht="15.75" x14ac:dyDescent="0.25">
      <c r="A229" s="15" t="s">
        <v>456</v>
      </c>
      <c r="B229" s="23" t="s">
        <v>108</v>
      </c>
      <c r="C229" s="26" t="s">
        <v>714</v>
      </c>
      <c r="D229" s="55">
        <v>6</v>
      </c>
      <c r="E229" s="51">
        <v>11000</v>
      </c>
      <c r="F229" s="50">
        <f t="shared" si="11"/>
        <v>66000</v>
      </c>
      <c r="G229" s="71"/>
      <c r="H229" s="71"/>
      <c r="I229" s="72"/>
      <c r="J229" s="71"/>
      <c r="K229" s="71"/>
      <c r="L229" s="71">
        <f t="shared" si="10"/>
        <v>6</v>
      </c>
      <c r="M229" s="71"/>
      <c r="N229" s="71" t="s">
        <v>947</v>
      </c>
    </row>
    <row r="230" spans="1:14" s="8" customFormat="1" ht="15.75" x14ac:dyDescent="0.25">
      <c r="A230" s="15" t="s">
        <v>457</v>
      </c>
      <c r="B230" s="16">
        <v>44652</v>
      </c>
      <c r="C230" s="26" t="s">
        <v>856</v>
      </c>
      <c r="D230" s="38">
        <v>5</v>
      </c>
      <c r="E230" s="59">
        <v>1700</v>
      </c>
      <c r="F230" s="50">
        <f t="shared" si="11"/>
        <v>8500</v>
      </c>
      <c r="G230" s="71"/>
      <c r="H230" s="71"/>
      <c r="I230" s="72"/>
      <c r="J230" s="71"/>
      <c r="K230" s="71"/>
      <c r="L230" s="71">
        <f t="shared" si="10"/>
        <v>5</v>
      </c>
      <c r="M230" s="71"/>
      <c r="N230" s="71" t="s">
        <v>946</v>
      </c>
    </row>
    <row r="231" spans="1:14" s="8" customFormat="1" ht="15.75" x14ac:dyDescent="0.25">
      <c r="A231" s="15" t="s">
        <v>458</v>
      </c>
      <c r="B231" s="16">
        <v>44193</v>
      </c>
      <c r="C231" s="26" t="s">
        <v>712</v>
      </c>
      <c r="D231" s="32">
        <v>0</v>
      </c>
      <c r="E231" s="13">
        <v>148.31</v>
      </c>
      <c r="F231" s="50">
        <f t="shared" si="11"/>
        <v>0</v>
      </c>
      <c r="G231" s="71"/>
      <c r="H231" s="71"/>
      <c r="I231" s="72"/>
      <c r="J231" s="71"/>
      <c r="K231" s="71"/>
      <c r="L231" s="71">
        <f t="shared" si="10"/>
        <v>0</v>
      </c>
      <c r="M231" s="71"/>
      <c r="N231" s="71" t="s">
        <v>946</v>
      </c>
    </row>
    <row r="232" spans="1:14" s="8" customFormat="1" ht="15.75" x14ac:dyDescent="0.25">
      <c r="A232" s="15" t="s">
        <v>459</v>
      </c>
      <c r="B232" s="16">
        <v>44193</v>
      </c>
      <c r="C232" s="26" t="s">
        <v>713</v>
      </c>
      <c r="D232" s="32">
        <v>0</v>
      </c>
      <c r="E232" s="13">
        <v>122.88</v>
      </c>
      <c r="F232" s="50">
        <f t="shared" si="11"/>
        <v>0</v>
      </c>
      <c r="G232" s="71"/>
      <c r="H232" s="71"/>
      <c r="I232" s="72"/>
      <c r="J232" s="71"/>
      <c r="K232" s="71"/>
      <c r="L232" s="71">
        <f t="shared" si="10"/>
        <v>0</v>
      </c>
      <c r="M232" s="71"/>
      <c r="N232" s="71" t="s">
        <v>946</v>
      </c>
    </row>
    <row r="233" spans="1:14" s="8" customFormat="1" ht="15.75" x14ac:dyDescent="0.25">
      <c r="A233" s="15" t="s">
        <v>460</v>
      </c>
      <c r="B233" s="16">
        <v>44193</v>
      </c>
      <c r="C233" s="26" t="s">
        <v>847</v>
      </c>
      <c r="D233" s="32">
        <v>0</v>
      </c>
      <c r="E233" s="13">
        <v>0</v>
      </c>
      <c r="F233" s="50">
        <f t="shared" si="11"/>
        <v>0</v>
      </c>
      <c r="G233" s="71"/>
      <c r="H233" s="71"/>
      <c r="I233" s="72"/>
      <c r="J233" s="71"/>
      <c r="K233" s="71"/>
      <c r="L233" s="71">
        <f t="shared" si="10"/>
        <v>0</v>
      </c>
      <c r="M233" s="71"/>
      <c r="N233" s="71" t="s">
        <v>946</v>
      </c>
    </row>
    <row r="234" spans="1:14" s="8" customFormat="1" ht="15.75" x14ac:dyDescent="0.25">
      <c r="A234" s="15" t="s">
        <v>461</v>
      </c>
      <c r="B234" s="16">
        <v>44193</v>
      </c>
      <c r="C234" s="26" t="s">
        <v>711</v>
      </c>
      <c r="D234" s="32">
        <v>0</v>
      </c>
      <c r="E234" s="13">
        <v>237.29</v>
      </c>
      <c r="F234" s="50">
        <f t="shared" si="11"/>
        <v>0</v>
      </c>
      <c r="G234" s="71"/>
      <c r="H234" s="71"/>
      <c r="I234" s="72"/>
      <c r="J234" s="71"/>
      <c r="K234" s="71">
        <v>1</v>
      </c>
      <c r="L234" s="71">
        <f t="shared" si="10"/>
        <v>-1</v>
      </c>
      <c r="M234" s="71"/>
      <c r="N234" s="71" t="s">
        <v>946</v>
      </c>
    </row>
    <row r="235" spans="1:14" s="8" customFormat="1" ht="15.75" x14ac:dyDescent="0.25">
      <c r="A235" s="15" t="s">
        <v>462</v>
      </c>
      <c r="B235" s="16">
        <v>44193</v>
      </c>
      <c r="C235" s="25" t="s">
        <v>716</v>
      </c>
      <c r="D235" s="32">
        <v>0</v>
      </c>
      <c r="E235" s="51">
        <v>82</v>
      </c>
      <c r="F235" s="50">
        <f t="shared" si="11"/>
        <v>0</v>
      </c>
      <c r="G235" s="71"/>
      <c r="H235" s="71"/>
      <c r="I235" s="72"/>
      <c r="J235" s="71"/>
      <c r="K235" s="71"/>
      <c r="L235" s="71">
        <f t="shared" si="10"/>
        <v>0</v>
      </c>
      <c r="M235" s="71"/>
      <c r="N235" s="71" t="s">
        <v>945</v>
      </c>
    </row>
    <row r="236" spans="1:14" s="8" customFormat="1" ht="15.75" x14ac:dyDescent="0.25">
      <c r="A236" s="15" t="s">
        <v>463</v>
      </c>
      <c r="B236" s="16">
        <v>44193</v>
      </c>
      <c r="C236" s="25" t="s">
        <v>717</v>
      </c>
      <c r="D236" s="32">
        <v>0</v>
      </c>
      <c r="E236" s="51">
        <v>14.29</v>
      </c>
      <c r="F236" s="50">
        <f t="shared" si="11"/>
        <v>0</v>
      </c>
      <c r="G236" s="71"/>
      <c r="H236" s="71"/>
      <c r="I236" s="72"/>
      <c r="J236" s="71"/>
      <c r="K236" s="71"/>
      <c r="L236" s="71">
        <f t="shared" si="10"/>
        <v>0</v>
      </c>
      <c r="M236" s="71"/>
      <c r="N236" s="71" t="s">
        <v>945</v>
      </c>
    </row>
    <row r="237" spans="1:14" s="8" customFormat="1" ht="15.75" x14ac:dyDescent="0.25">
      <c r="A237" s="15" t="s">
        <v>464</v>
      </c>
      <c r="B237" s="23" t="s">
        <v>770</v>
      </c>
      <c r="C237" s="25" t="s">
        <v>715</v>
      </c>
      <c r="D237" s="32">
        <v>6</v>
      </c>
      <c r="E237" s="51">
        <v>82</v>
      </c>
      <c r="F237" s="50">
        <f t="shared" si="11"/>
        <v>492</v>
      </c>
      <c r="G237" s="71"/>
      <c r="H237" s="71"/>
      <c r="I237" s="72"/>
      <c r="J237" s="71"/>
      <c r="K237" s="71"/>
      <c r="L237" s="71">
        <f t="shared" si="10"/>
        <v>6</v>
      </c>
      <c r="M237" s="71"/>
      <c r="N237" s="71" t="s">
        <v>945</v>
      </c>
    </row>
    <row r="238" spans="1:14" s="8" customFormat="1" ht="15.75" x14ac:dyDescent="0.25">
      <c r="A238" s="15" t="s">
        <v>465</v>
      </c>
      <c r="B238" s="23" t="s">
        <v>108</v>
      </c>
      <c r="C238" s="25" t="s">
        <v>718</v>
      </c>
      <c r="D238" s="32">
        <v>0</v>
      </c>
      <c r="E238" s="51">
        <v>6375</v>
      </c>
      <c r="F238" s="50">
        <f t="shared" si="11"/>
        <v>0</v>
      </c>
      <c r="G238" s="71"/>
      <c r="H238" s="71"/>
      <c r="I238" s="72"/>
      <c r="J238" s="71"/>
      <c r="K238" s="71"/>
      <c r="L238" s="71">
        <f t="shared" si="10"/>
        <v>0</v>
      </c>
      <c r="M238" s="71"/>
      <c r="N238" s="71" t="s">
        <v>946</v>
      </c>
    </row>
    <row r="239" spans="1:14" s="8" customFormat="1" ht="15.75" x14ac:dyDescent="0.25">
      <c r="A239" s="15" t="s">
        <v>466</v>
      </c>
      <c r="B239" s="16">
        <v>44193</v>
      </c>
      <c r="C239" s="9" t="s">
        <v>781</v>
      </c>
      <c r="D239" s="48">
        <v>2</v>
      </c>
      <c r="E239" s="13">
        <v>725</v>
      </c>
      <c r="F239" s="50">
        <f t="shared" si="11"/>
        <v>1450</v>
      </c>
      <c r="G239" s="71"/>
      <c r="H239" s="71"/>
      <c r="I239" s="72"/>
      <c r="J239" s="71"/>
      <c r="K239" s="71"/>
      <c r="L239" s="71">
        <f t="shared" si="10"/>
        <v>2</v>
      </c>
      <c r="M239" s="71"/>
      <c r="N239" s="71" t="s">
        <v>947</v>
      </c>
    </row>
    <row r="240" spans="1:14" s="8" customFormat="1" ht="15.75" x14ac:dyDescent="0.25">
      <c r="A240" s="15" t="s">
        <v>467</v>
      </c>
      <c r="B240" s="16">
        <v>44193</v>
      </c>
      <c r="C240" s="9" t="s">
        <v>721</v>
      </c>
      <c r="D240" s="30">
        <v>40</v>
      </c>
      <c r="E240" s="13">
        <v>230</v>
      </c>
      <c r="F240" s="50">
        <f t="shared" si="11"/>
        <v>9200</v>
      </c>
      <c r="G240" s="71"/>
      <c r="H240" s="71"/>
      <c r="I240" s="72"/>
      <c r="J240" s="71"/>
      <c r="K240" s="71">
        <v>6</v>
      </c>
      <c r="L240" s="71">
        <f t="shared" si="10"/>
        <v>34</v>
      </c>
      <c r="M240" s="71"/>
      <c r="N240" s="71" t="s">
        <v>947</v>
      </c>
    </row>
    <row r="241" spans="1:14" s="8" customFormat="1" ht="15.75" x14ac:dyDescent="0.25">
      <c r="A241" s="15" t="s">
        <v>468</v>
      </c>
      <c r="B241" s="16">
        <v>44193</v>
      </c>
      <c r="C241" s="9" t="s">
        <v>722</v>
      </c>
      <c r="D241" s="48">
        <v>100</v>
      </c>
      <c r="E241" s="13">
        <v>2.25</v>
      </c>
      <c r="F241" s="50">
        <f t="shared" si="11"/>
        <v>225</v>
      </c>
      <c r="G241" s="71"/>
      <c r="H241" s="71"/>
      <c r="I241" s="72"/>
      <c r="J241" s="71"/>
      <c r="K241" s="71">
        <v>5</v>
      </c>
      <c r="L241" s="71">
        <f t="shared" si="10"/>
        <v>95</v>
      </c>
      <c r="M241" s="71"/>
      <c r="N241" s="71" t="s">
        <v>947</v>
      </c>
    </row>
    <row r="242" spans="1:14" s="8" customFormat="1" ht="15.75" x14ac:dyDescent="0.25">
      <c r="A242" s="15" t="s">
        <v>469</v>
      </c>
      <c r="B242" s="16">
        <v>44193</v>
      </c>
      <c r="C242" s="9" t="s">
        <v>724</v>
      </c>
      <c r="D242" s="48">
        <v>7</v>
      </c>
      <c r="E242" s="13">
        <v>250</v>
      </c>
      <c r="F242" s="50">
        <f t="shared" si="11"/>
        <v>1750</v>
      </c>
      <c r="G242" s="71"/>
      <c r="H242" s="71"/>
      <c r="I242" s="72"/>
      <c r="J242" s="71"/>
      <c r="K242" s="71"/>
      <c r="L242" s="71">
        <f t="shared" si="10"/>
        <v>7</v>
      </c>
      <c r="M242" s="71"/>
      <c r="N242" s="71" t="s">
        <v>947</v>
      </c>
    </row>
    <row r="243" spans="1:14" s="8" customFormat="1" ht="15.75" x14ac:dyDescent="0.25">
      <c r="A243" s="15" t="s">
        <v>470</v>
      </c>
      <c r="B243" s="16">
        <v>44193</v>
      </c>
      <c r="C243" s="9" t="s">
        <v>725</v>
      </c>
      <c r="D243" s="48">
        <v>61</v>
      </c>
      <c r="E243" s="13">
        <v>30</v>
      </c>
      <c r="F243" s="50">
        <f t="shared" si="11"/>
        <v>1830</v>
      </c>
      <c r="G243" s="71"/>
      <c r="H243" s="71"/>
      <c r="I243" s="72"/>
      <c r="J243" s="71"/>
      <c r="K243" s="71">
        <v>15</v>
      </c>
      <c r="L243" s="71">
        <f t="shared" si="10"/>
        <v>46</v>
      </c>
      <c r="M243" s="71"/>
      <c r="N243" s="71" t="s">
        <v>947</v>
      </c>
    </row>
    <row r="244" spans="1:14" s="8" customFormat="1" ht="15.75" x14ac:dyDescent="0.25">
      <c r="A244" s="15" t="s">
        <v>471</v>
      </c>
      <c r="B244" s="16">
        <v>44193</v>
      </c>
      <c r="C244" s="9" t="s">
        <v>726</v>
      </c>
      <c r="D244" s="58">
        <v>7</v>
      </c>
      <c r="E244" s="13">
        <v>120</v>
      </c>
      <c r="F244" s="50">
        <f t="shared" si="11"/>
        <v>840</v>
      </c>
      <c r="G244" s="71"/>
      <c r="H244" s="71"/>
      <c r="I244" s="72"/>
      <c r="J244" s="71"/>
      <c r="K244" s="71"/>
      <c r="L244" s="71">
        <f t="shared" si="10"/>
        <v>7</v>
      </c>
      <c r="M244" s="71"/>
      <c r="N244" s="71" t="s">
        <v>947</v>
      </c>
    </row>
    <row r="245" spans="1:14" s="8" customFormat="1" ht="15.75" x14ac:dyDescent="0.25">
      <c r="A245" s="15" t="s">
        <v>472</v>
      </c>
      <c r="B245" s="16">
        <v>44652</v>
      </c>
      <c r="C245" s="9" t="s">
        <v>727</v>
      </c>
      <c r="D245" s="14">
        <v>190</v>
      </c>
      <c r="E245" s="13">
        <v>560</v>
      </c>
      <c r="F245" s="50">
        <f t="shared" si="11"/>
        <v>106400</v>
      </c>
      <c r="G245" s="73">
        <v>44778</v>
      </c>
      <c r="H245" s="71">
        <f>70*6</f>
        <v>420</v>
      </c>
      <c r="I245" s="72">
        <f>65254/H245</f>
        <v>155.36666666666667</v>
      </c>
      <c r="J245" s="72">
        <f>+I245*H245</f>
        <v>65254</v>
      </c>
      <c r="K245" s="71">
        <f>4+4+4+2+4+3+6+6+3+12</f>
        <v>48</v>
      </c>
      <c r="L245" s="71">
        <f>+D245+H245-K245</f>
        <v>562</v>
      </c>
      <c r="M245" s="71" t="s">
        <v>943</v>
      </c>
      <c r="N245" s="71" t="s">
        <v>947</v>
      </c>
    </row>
    <row r="246" spans="1:14" s="8" customFormat="1" ht="15.75" x14ac:dyDescent="0.25">
      <c r="A246" s="15" t="s">
        <v>473</v>
      </c>
      <c r="B246" s="23" t="s">
        <v>112</v>
      </c>
      <c r="C246" s="26" t="s">
        <v>752</v>
      </c>
      <c r="D246" s="38">
        <v>3</v>
      </c>
      <c r="E246" s="13">
        <v>135</v>
      </c>
      <c r="F246" s="50">
        <f t="shared" si="11"/>
        <v>405</v>
      </c>
      <c r="G246" s="71"/>
      <c r="H246" s="71"/>
      <c r="I246" s="72"/>
      <c r="J246" s="71"/>
      <c r="K246" s="71"/>
      <c r="L246" s="71">
        <f t="shared" si="10"/>
        <v>3</v>
      </c>
      <c r="M246" s="71"/>
      <c r="N246" s="71" t="s">
        <v>947</v>
      </c>
    </row>
    <row r="247" spans="1:14" s="8" customFormat="1" ht="15.75" x14ac:dyDescent="0.25">
      <c r="A247" s="15" t="s">
        <v>507</v>
      </c>
      <c r="B247" s="16">
        <v>44193</v>
      </c>
      <c r="C247" s="9" t="s">
        <v>728</v>
      </c>
      <c r="D247" s="30">
        <v>0</v>
      </c>
      <c r="E247" s="13">
        <v>62.5</v>
      </c>
      <c r="F247" s="50">
        <f t="shared" si="11"/>
        <v>0</v>
      </c>
      <c r="G247" s="71"/>
      <c r="H247" s="71"/>
      <c r="I247" s="72"/>
      <c r="J247" s="71"/>
      <c r="K247" s="71">
        <v>1</v>
      </c>
      <c r="L247" s="71">
        <f t="shared" si="10"/>
        <v>-1</v>
      </c>
      <c r="M247" s="71"/>
      <c r="N247" s="71" t="s">
        <v>947</v>
      </c>
    </row>
    <row r="248" spans="1:14" s="8" customFormat="1" ht="15.75" x14ac:dyDescent="0.25">
      <c r="A248" s="15" t="s">
        <v>508</v>
      </c>
      <c r="B248" s="16">
        <v>44193</v>
      </c>
      <c r="C248" s="9" t="s">
        <v>729</v>
      </c>
      <c r="D248" s="30">
        <v>226</v>
      </c>
      <c r="E248" s="13">
        <v>22.2</v>
      </c>
      <c r="F248" s="50">
        <f t="shared" si="11"/>
        <v>5017.2</v>
      </c>
      <c r="G248" s="71"/>
      <c r="H248" s="71"/>
      <c r="I248" s="72"/>
      <c r="J248" s="71"/>
      <c r="K248" s="71"/>
      <c r="L248" s="71">
        <f t="shared" si="10"/>
        <v>226</v>
      </c>
      <c r="M248" s="71"/>
      <c r="N248" s="71" t="s">
        <v>947</v>
      </c>
    </row>
    <row r="249" spans="1:14" s="8" customFormat="1" ht="15.75" x14ac:dyDescent="0.25">
      <c r="A249" s="15" t="s">
        <v>509</v>
      </c>
      <c r="B249" s="16">
        <v>44193</v>
      </c>
      <c r="C249" s="9" t="s">
        <v>730</v>
      </c>
      <c r="D249" s="30">
        <v>2</v>
      </c>
      <c r="E249" s="13">
        <v>375</v>
      </c>
      <c r="F249" s="50">
        <f t="shared" si="11"/>
        <v>750</v>
      </c>
      <c r="G249" s="71"/>
      <c r="H249" s="71"/>
      <c r="I249" s="72"/>
      <c r="J249" s="71"/>
      <c r="K249" s="71"/>
      <c r="L249" s="71">
        <f t="shared" si="10"/>
        <v>2</v>
      </c>
      <c r="M249" s="71"/>
      <c r="N249" s="71" t="s">
        <v>947</v>
      </c>
    </row>
    <row r="250" spans="1:14" s="8" customFormat="1" ht="15.75" x14ac:dyDescent="0.25">
      <c r="A250" s="15" t="s">
        <v>869</v>
      </c>
      <c r="B250" s="16">
        <v>44193</v>
      </c>
      <c r="C250" s="25" t="s">
        <v>825</v>
      </c>
      <c r="D250" s="38">
        <v>11</v>
      </c>
      <c r="E250" s="13">
        <v>301</v>
      </c>
      <c r="F250" s="50">
        <f t="shared" si="11"/>
        <v>3311</v>
      </c>
      <c r="G250" s="71"/>
      <c r="H250" s="71"/>
      <c r="I250" s="72"/>
      <c r="J250" s="71"/>
      <c r="K250" s="71"/>
      <c r="L250" s="71">
        <f t="shared" si="10"/>
        <v>11</v>
      </c>
      <c r="M250" s="71"/>
      <c r="N250" s="71" t="s">
        <v>947</v>
      </c>
    </row>
    <row r="251" spans="1:14" s="8" customFormat="1" ht="15.75" x14ac:dyDescent="0.25">
      <c r="A251" s="15" t="s">
        <v>512</v>
      </c>
      <c r="B251" s="23" t="s">
        <v>106</v>
      </c>
      <c r="C251" s="25" t="s">
        <v>731</v>
      </c>
      <c r="D251" s="30">
        <v>0</v>
      </c>
      <c r="E251" s="51">
        <v>171.6</v>
      </c>
      <c r="F251" s="50">
        <f t="shared" si="11"/>
        <v>0</v>
      </c>
      <c r="G251" s="71"/>
      <c r="H251" s="71"/>
      <c r="I251" s="72"/>
      <c r="J251" s="71"/>
      <c r="K251" s="71">
        <v>3</v>
      </c>
      <c r="L251" s="71">
        <f t="shared" si="10"/>
        <v>-3</v>
      </c>
      <c r="M251" s="71"/>
      <c r="N251" s="71" t="s">
        <v>945</v>
      </c>
    </row>
    <row r="252" spans="1:14" s="8" customFormat="1" ht="15.75" x14ac:dyDescent="0.25">
      <c r="A252" s="15" t="s">
        <v>870</v>
      </c>
      <c r="B252" s="16">
        <v>44193</v>
      </c>
      <c r="C252" s="9" t="s">
        <v>950</v>
      </c>
      <c r="D252" s="30">
        <v>12</v>
      </c>
      <c r="E252" s="13">
        <v>65</v>
      </c>
      <c r="F252" s="50">
        <f t="shared" si="11"/>
        <v>780</v>
      </c>
      <c r="G252" s="71"/>
      <c r="H252" s="71"/>
      <c r="I252" s="72"/>
      <c r="J252" s="71"/>
      <c r="K252" s="71">
        <v>4</v>
      </c>
      <c r="L252" s="71">
        <f t="shared" si="10"/>
        <v>8</v>
      </c>
      <c r="M252" s="71"/>
      <c r="N252" s="71" t="s">
        <v>945</v>
      </c>
    </row>
    <row r="253" spans="1:14" s="8" customFormat="1" ht="15.75" x14ac:dyDescent="0.25">
      <c r="A253" s="15" t="s">
        <v>513</v>
      </c>
      <c r="B253" s="16">
        <v>44678</v>
      </c>
      <c r="C253" s="25" t="s">
        <v>853</v>
      </c>
      <c r="D253" s="56">
        <v>16</v>
      </c>
      <c r="E253" s="13">
        <v>3000</v>
      </c>
      <c r="F253" s="50">
        <f t="shared" si="11"/>
        <v>48000</v>
      </c>
      <c r="G253" s="71"/>
      <c r="H253" s="71"/>
      <c r="I253" s="72"/>
      <c r="J253" s="71"/>
      <c r="K253" s="71"/>
      <c r="L253" s="71">
        <f t="shared" si="10"/>
        <v>16</v>
      </c>
      <c r="M253" s="71"/>
      <c r="N253" s="71" t="s">
        <v>945</v>
      </c>
    </row>
    <row r="254" spans="1:14" s="8" customFormat="1" ht="15.75" x14ac:dyDescent="0.25">
      <c r="A254" s="15" t="s">
        <v>514</v>
      </c>
      <c r="B254" s="16">
        <v>44193</v>
      </c>
      <c r="C254" s="25" t="s">
        <v>734</v>
      </c>
      <c r="D254" s="38">
        <v>0</v>
      </c>
      <c r="E254" s="13">
        <v>1500</v>
      </c>
      <c r="F254" s="50">
        <f t="shared" si="11"/>
        <v>0</v>
      </c>
      <c r="G254" s="71"/>
      <c r="H254" s="71"/>
      <c r="I254" s="72"/>
      <c r="J254" s="71"/>
      <c r="K254" s="71"/>
      <c r="L254" s="71">
        <f t="shared" si="10"/>
        <v>0</v>
      </c>
      <c r="M254" s="71"/>
      <c r="N254" s="71" t="s">
        <v>945</v>
      </c>
    </row>
    <row r="255" spans="1:14" s="8" customFormat="1" ht="15.75" x14ac:dyDescent="0.25">
      <c r="A255" s="15" t="s">
        <v>871</v>
      </c>
      <c r="B255" s="16">
        <v>44678</v>
      </c>
      <c r="C255" s="25" t="s">
        <v>852</v>
      </c>
      <c r="D255" s="57">
        <v>11</v>
      </c>
      <c r="E255" s="13">
        <v>1500</v>
      </c>
      <c r="F255" s="50">
        <f t="shared" si="11"/>
        <v>16500</v>
      </c>
      <c r="G255" s="71"/>
      <c r="H255" s="71"/>
      <c r="I255" s="72"/>
      <c r="J255" s="71"/>
      <c r="K255" s="71"/>
      <c r="L255" s="71">
        <f t="shared" si="10"/>
        <v>11</v>
      </c>
      <c r="M255" s="71"/>
      <c r="N255" s="71" t="s">
        <v>945</v>
      </c>
    </row>
    <row r="256" spans="1:14" s="8" customFormat="1" ht="15.75" x14ac:dyDescent="0.25">
      <c r="A256" s="15" t="s">
        <v>872</v>
      </c>
      <c r="B256" s="16">
        <v>44678</v>
      </c>
      <c r="C256" s="25" t="s">
        <v>735</v>
      </c>
      <c r="D256" s="57">
        <v>3</v>
      </c>
      <c r="E256" s="13">
        <v>3800</v>
      </c>
      <c r="F256" s="50">
        <f t="shared" si="11"/>
        <v>11400</v>
      </c>
      <c r="G256" s="71"/>
      <c r="H256" s="71"/>
      <c r="I256" s="72"/>
      <c r="J256" s="71"/>
      <c r="K256" s="71"/>
      <c r="L256" s="71">
        <f t="shared" si="10"/>
        <v>3</v>
      </c>
      <c r="M256" s="71"/>
      <c r="N256" s="71" t="s">
        <v>945</v>
      </c>
    </row>
    <row r="257" spans="1:14" s="8" customFormat="1" ht="15.75" x14ac:dyDescent="0.25">
      <c r="A257" s="15" t="s">
        <v>515</v>
      </c>
      <c r="B257" s="16">
        <v>44678</v>
      </c>
      <c r="C257" s="25" t="s">
        <v>737</v>
      </c>
      <c r="D257" s="57">
        <v>2</v>
      </c>
      <c r="E257" s="13">
        <v>1500</v>
      </c>
      <c r="F257" s="50">
        <f t="shared" si="11"/>
        <v>3000</v>
      </c>
      <c r="G257" s="71"/>
      <c r="H257" s="71"/>
      <c r="I257" s="72"/>
      <c r="J257" s="71"/>
      <c r="K257" s="71"/>
      <c r="L257" s="71">
        <f t="shared" si="10"/>
        <v>2</v>
      </c>
      <c r="M257" s="71"/>
      <c r="N257" s="71" t="s">
        <v>945</v>
      </c>
    </row>
    <row r="258" spans="1:14" s="8" customFormat="1" ht="15.75" x14ac:dyDescent="0.25">
      <c r="A258" s="15" t="s">
        <v>516</v>
      </c>
      <c r="B258" s="16">
        <v>44678</v>
      </c>
      <c r="C258" s="25" t="s">
        <v>736</v>
      </c>
      <c r="D258" s="57">
        <v>2</v>
      </c>
      <c r="E258" s="13">
        <v>3800</v>
      </c>
      <c r="F258" s="50">
        <f t="shared" si="11"/>
        <v>7600</v>
      </c>
      <c r="G258" s="71"/>
      <c r="H258" s="71"/>
      <c r="I258" s="72"/>
      <c r="J258" s="71"/>
      <c r="K258" s="71"/>
      <c r="L258" s="71">
        <f t="shared" si="10"/>
        <v>2</v>
      </c>
      <c r="M258" s="71"/>
      <c r="N258" s="71" t="s">
        <v>945</v>
      </c>
    </row>
    <row r="259" spans="1:14" s="8" customFormat="1" ht="15.75" x14ac:dyDescent="0.25">
      <c r="A259" s="15" t="s">
        <v>517</v>
      </c>
      <c r="B259" s="16">
        <v>44678</v>
      </c>
      <c r="C259" s="25" t="s">
        <v>738</v>
      </c>
      <c r="D259" s="57">
        <v>4</v>
      </c>
      <c r="E259" s="13">
        <v>3800</v>
      </c>
      <c r="F259" s="50">
        <f t="shared" si="11"/>
        <v>15200</v>
      </c>
      <c r="G259" s="71"/>
      <c r="H259" s="71"/>
      <c r="I259" s="72"/>
      <c r="J259" s="71"/>
      <c r="K259" s="71"/>
      <c r="L259" s="71">
        <f t="shared" si="10"/>
        <v>4</v>
      </c>
      <c r="M259" s="71"/>
      <c r="N259" s="71" t="s">
        <v>945</v>
      </c>
    </row>
    <row r="260" spans="1:14" s="8" customFormat="1" ht="15.75" x14ac:dyDescent="0.25">
      <c r="A260" s="15" t="s">
        <v>518</v>
      </c>
      <c r="B260" s="16">
        <v>44678</v>
      </c>
      <c r="C260" s="26" t="s">
        <v>751</v>
      </c>
      <c r="D260" s="57">
        <v>16</v>
      </c>
      <c r="E260" s="13">
        <v>3000</v>
      </c>
      <c r="F260" s="50">
        <f t="shared" si="11"/>
        <v>48000</v>
      </c>
      <c r="G260" s="71"/>
      <c r="H260" s="71"/>
      <c r="I260" s="72"/>
      <c r="J260" s="71"/>
      <c r="K260" s="71"/>
      <c r="L260" s="71">
        <f t="shared" si="10"/>
        <v>16</v>
      </c>
      <c r="M260" s="71"/>
      <c r="N260" s="71" t="s">
        <v>945</v>
      </c>
    </row>
    <row r="261" spans="1:14" s="8" customFormat="1" ht="15.75" x14ac:dyDescent="0.25">
      <c r="A261" s="15" t="s">
        <v>519</v>
      </c>
      <c r="B261" s="16">
        <v>44678</v>
      </c>
      <c r="C261" s="25" t="s">
        <v>845</v>
      </c>
      <c r="D261" s="38">
        <v>2</v>
      </c>
      <c r="E261" s="13">
        <v>200</v>
      </c>
      <c r="F261" s="50">
        <f t="shared" si="11"/>
        <v>400</v>
      </c>
      <c r="G261" s="71"/>
      <c r="H261" s="71"/>
      <c r="I261" s="72"/>
      <c r="J261" s="71"/>
      <c r="K261" s="71"/>
      <c r="L261" s="71">
        <f t="shared" si="10"/>
        <v>2</v>
      </c>
      <c r="M261" s="71"/>
      <c r="N261" s="71" t="s">
        <v>945</v>
      </c>
    </row>
    <row r="262" spans="1:14" s="8" customFormat="1" ht="15.75" x14ac:dyDescent="0.25">
      <c r="A262" s="15" t="s">
        <v>520</v>
      </c>
      <c r="B262" s="16">
        <v>44193</v>
      </c>
      <c r="C262" s="9" t="s">
        <v>740</v>
      </c>
      <c r="D262" s="30">
        <v>3</v>
      </c>
      <c r="E262" s="13">
        <v>75</v>
      </c>
      <c r="F262" s="50">
        <f>D262*E262</f>
        <v>225</v>
      </c>
      <c r="G262" s="71"/>
      <c r="H262" s="71"/>
      <c r="I262" s="72"/>
      <c r="J262" s="71"/>
      <c r="K262" s="71"/>
      <c r="L262" s="71">
        <f t="shared" si="10"/>
        <v>3</v>
      </c>
      <c r="M262" s="71"/>
      <c r="N262" s="71" t="s">
        <v>947</v>
      </c>
    </row>
    <row r="263" spans="1:14" s="8" customFormat="1" ht="15.75" x14ac:dyDescent="0.25">
      <c r="A263" s="15" t="s">
        <v>521</v>
      </c>
      <c r="B263" s="16">
        <v>44193</v>
      </c>
      <c r="C263" s="9" t="s">
        <v>739</v>
      </c>
      <c r="D263" s="30">
        <v>300</v>
      </c>
      <c r="E263" s="13">
        <v>29</v>
      </c>
      <c r="F263" s="50">
        <f>D263*E263</f>
        <v>8700</v>
      </c>
      <c r="G263" s="71"/>
      <c r="H263" s="71"/>
      <c r="I263" s="72"/>
      <c r="J263" s="71"/>
      <c r="K263" s="71"/>
      <c r="L263" s="71">
        <f t="shared" si="10"/>
        <v>300</v>
      </c>
      <c r="M263" s="71"/>
      <c r="N263" s="71" t="s">
        <v>947</v>
      </c>
    </row>
    <row r="264" spans="1:14" s="8" customFormat="1" ht="15.75" x14ac:dyDescent="0.25">
      <c r="A264" s="15" t="s">
        <v>522</v>
      </c>
      <c r="B264" s="16">
        <v>44193</v>
      </c>
      <c r="C264" s="25" t="s">
        <v>826</v>
      </c>
      <c r="D264" s="38">
        <v>16</v>
      </c>
      <c r="E264" s="13">
        <v>143</v>
      </c>
      <c r="F264" s="50">
        <f>D264*E264</f>
        <v>2288</v>
      </c>
      <c r="G264" s="71"/>
      <c r="H264" s="71"/>
      <c r="I264" s="72"/>
      <c r="J264" s="71"/>
      <c r="K264" s="71"/>
      <c r="L264" s="71">
        <f t="shared" si="10"/>
        <v>16</v>
      </c>
      <c r="M264" s="71"/>
      <c r="N264" s="71" t="s">
        <v>946</v>
      </c>
    </row>
    <row r="265" spans="1:14" s="8" customFormat="1" ht="15.75" x14ac:dyDescent="0.25">
      <c r="A265" s="15" t="s">
        <v>523</v>
      </c>
      <c r="B265" s="16">
        <v>44193</v>
      </c>
      <c r="C265" s="9" t="s">
        <v>741</v>
      </c>
      <c r="D265" s="56">
        <v>112</v>
      </c>
      <c r="E265" s="13">
        <v>8.5</v>
      </c>
      <c r="F265" s="50">
        <f t="shared" ref="F265:F272" si="12">D265*E265</f>
        <v>952</v>
      </c>
      <c r="G265" s="71"/>
      <c r="H265" s="71"/>
      <c r="I265" s="72"/>
      <c r="J265" s="71"/>
      <c r="K265" s="71"/>
      <c r="L265" s="71">
        <f t="shared" si="10"/>
        <v>112</v>
      </c>
      <c r="M265" s="71"/>
      <c r="N265" s="71" t="s">
        <v>947</v>
      </c>
    </row>
    <row r="266" spans="1:14" s="8" customFormat="1" ht="15.75" x14ac:dyDescent="0.25">
      <c r="A266" s="15" t="s">
        <v>524</v>
      </c>
      <c r="B266" s="16">
        <v>44193</v>
      </c>
      <c r="C266" s="9" t="s">
        <v>742</v>
      </c>
      <c r="D266" s="56">
        <v>24</v>
      </c>
      <c r="E266" s="13">
        <v>12</v>
      </c>
      <c r="F266" s="50">
        <f t="shared" si="12"/>
        <v>288</v>
      </c>
      <c r="G266" s="71"/>
      <c r="H266" s="71"/>
      <c r="I266" s="72"/>
      <c r="J266" s="71"/>
      <c r="K266" s="71"/>
      <c r="L266" s="71">
        <f t="shared" ref="L266:L326" si="13">+D266+H266-K266</f>
        <v>24</v>
      </c>
      <c r="M266" s="71"/>
      <c r="N266" s="71" t="s">
        <v>947</v>
      </c>
    </row>
    <row r="267" spans="1:14" s="8" customFormat="1" ht="15.75" x14ac:dyDescent="0.25">
      <c r="A267" s="15" t="s">
        <v>525</v>
      </c>
      <c r="B267" s="16">
        <v>44193</v>
      </c>
      <c r="C267" s="9" t="s">
        <v>743</v>
      </c>
      <c r="D267" s="30">
        <v>34</v>
      </c>
      <c r="E267" s="13">
        <v>8</v>
      </c>
      <c r="F267" s="50">
        <f t="shared" si="12"/>
        <v>272</v>
      </c>
      <c r="G267" s="71"/>
      <c r="H267" s="71"/>
      <c r="I267" s="72"/>
      <c r="J267" s="71"/>
      <c r="K267" s="71"/>
      <c r="L267" s="71">
        <f t="shared" si="13"/>
        <v>34</v>
      </c>
      <c r="M267" s="71"/>
      <c r="N267" s="71" t="s">
        <v>947</v>
      </c>
    </row>
    <row r="268" spans="1:14" s="8" customFormat="1" ht="15.75" x14ac:dyDescent="0.25">
      <c r="A268" s="15" t="s">
        <v>526</v>
      </c>
      <c r="B268" s="16">
        <v>44193</v>
      </c>
      <c r="C268" s="9" t="s">
        <v>744</v>
      </c>
      <c r="D268" s="30">
        <v>1</v>
      </c>
      <c r="E268" s="13">
        <v>150</v>
      </c>
      <c r="F268" s="50">
        <f t="shared" si="12"/>
        <v>150</v>
      </c>
      <c r="G268" s="71"/>
      <c r="H268" s="71"/>
      <c r="I268" s="72"/>
      <c r="J268" s="71"/>
      <c r="K268" s="71"/>
      <c r="L268" s="71">
        <f t="shared" si="13"/>
        <v>1</v>
      </c>
      <c r="M268" s="71"/>
      <c r="N268" s="71" t="s">
        <v>947</v>
      </c>
    </row>
    <row r="269" spans="1:14" s="8" customFormat="1" ht="15.75" x14ac:dyDescent="0.25">
      <c r="A269" s="15" t="s">
        <v>527</v>
      </c>
      <c r="B269" s="16">
        <v>44193</v>
      </c>
      <c r="C269" s="9" t="s">
        <v>745</v>
      </c>
      <c r="D269" s="30">
        <v>1</v>
      </c>
      <c r="E269" s="13">
        <v>211.86</v>
      </c>
      <c r="F269" s="50">
        <f t="shared" si="12"/>
        <v>211.86</v>
      </c>
      <c r="G269" s="71"/>
      <c r="H269" s="71"/>
      <c r="I269" s="72"/>
      <c r="J269" s="71"/>
      <c r="K269" s="71"/>
      <c r="L269" s="71">
        <f t="shared" si="13"/>
        <v>1</v>
      </c>
      <c r="M269" s="71"/>
      <c r="N269" s="71" t="s">
        <v>946</v>
      </c>
    </row>
    <row r="270" spans="1:14" s="8" customFormat="1" ht="15.75" x14ac:dyDescent="0.25">
      <c r="A270" s="15" t="s">
        <v>528</v>
      </c>
      <c r="B270" s="23" t="s">
        <v>105</v>
      </c>
      <c r="C270" s="9" t="s">
        <v>747</v>
      </c>
      <c r="D270" s="30">
        <f>90+44</f>
        <v>134</v>
      </c>
      <c r="E270" s="13">
        <v>25.42</v>
      </c>
      <c r="F270" s="50">
        <f t="shared" si="12"/>
        <v>3406.28</v>
      </c>
      <c r="G270" s="71"/>
      <c r="H270" s="71"/>
      <c r="I270" s="72"/>
      <c r="J270" s="71"/>
      <c r="K270" s="71"/>
      <c r="L270" s="71">
        <f t="shared" si="13"/>
        <v>134</v>
      </c>
      <c r="M270" s="71"/>
      <c r="N270" s="71" t="s">
        <v>947</v>
      </c>
    </row>
    <row r="271" spans="1:14" s="8" customFormat="1" ht="15.75" x14ac:dyDescent="0.25">
      <c r="A271" s="15" t="s">
        <v>529</v>
      </c>
      <c r="B271" s="16">
        <v>44193</v>
      </c>
      <c r="C271" s="9" t="s">
        <v>748</v>
      </c>
      <c r="D271" s="30">
        <v>31</v>
      </c>
      <c r="E271" s="13">
        <v>50</v>
      </c>
      <c r="F271" s="50">
        <f t="shared" si="12"/>
        <v>1550</v>
      </c>
      <c r="G271" s="71"/>
      <c r="H271" s="71"/>
      <c r="I271" s="72"/>
      <c r="J271" s="71"/>
      <c r="K271" s="71"/>
      <c r="L271" s="71">
        <f t="shared" si="13"/>
        <v>31</v>
      </c>
      <c r="M271" s="71"/>
      <c r="N271" s="71" t="s">
        <v>947</v>
      </c>
    </row>
    <row r="272" spans="1:14" s="8" customFormat="1" ht="15.75" x14ac:dyDescent="0.25">
      <c r="A272" s="15" t="s">
        <v>873</v>
      </c>
      <c r="B272" s="16">
        <v>44193</v>
      </c>
      <c r="C272" s="25" t="s">
        <v>785</v>
      </c>
      <c r="D272" s="38">
        <v>4</v>
      </c>
      <c r="E272" s="13">
        <v>45</v>
      </c>
      <c r="F272" s="50">
        <f t="shared" si="12"/>
        <v>180</v>
      </c>
      <c r="G272" s="71"/>
      <c r="H272" s="71"/>
      <c r="I272" s="72"/>
      <c r="J272" s="71"/>
      <c r="K272" s="71"/>
      <c r="L272" s="71">
        <f t="shared" si="13"/>
        <v>4</v>
      </c>
      <c r="M272" s="71"/>
      <c r="N272" s="71" t="s">
        <v>947</v>
      </c>
    </row>
    <row r="273" spans="1:14" s="8" customFormat="1" ht="15.75" x14ac:dyDescent="0.25">
      <c r="A273" s="15" t="s">
        <v>874</v>
      </c>
      <c r="B273" s="23" t="s">
        <v>105</v>
      </c>
      <c r="C273" s="9" t="s">
        <v>746</v>
      </c>
      <c r="D273" s="30">
        <v>7</v>
      </c>
      <c r="E273" s="51">
        <v>48</v>
      </c>
      <c r="F273" s="50">
        <f>D273*E273</f>
        <v>336</v>
      </c>
      <c r="G273" s="71"/>
      <c r="H273" s="71"/>
      <c r="I273" s="72"/>
      <c r="J273" s="71"/>
      <c r="K273" s="71"/>
      <c r="L273" s="71">
        <f t="shared" si="13"/>
        <v>7</v>
      </c>
      <c r="M273" s="71"/>
      <c r="N273" s="71" t="s">
        <v>947</v>
      </c>
    </row>
    <row r="274" spans="1:14" s="8" customFormat="1" ht="15.75" x14ac:dyDescent="0.25">
      <c r="A274" s="15" t="s">
        <v>875</v>
      </c>
      <c r="B274" s="16"/>
      <c r="C274" s="25" t="s">
        <v>815</v>
      </c>
      <c r="D274" s="38">
        <v>6</v>
      </c>
      <c r="E274" s="13"/>
      <c r="F274" s="50"/>
      <c r="G274" s="71"/>
      <c r="H274" s="71"/>
      <c r="I274" s="72"/>
      <c r="J274" s="71"/>
      <c r="K274" s="71"/>
      <c r="L274" s="71">
        <f t="shared" si="13"/>
        <v>6</v>
      </c>
      <c r="M274" s="71"/>
      <c r="N274" s="71" t="s">
        <v>946</v>
      </c>
    </row>
    <row r="275" spans="1:14" s="8" customFormat="1" ht="15.75" x14ac:dyDescent="0.25">
      <c r="A275" s="15" t="s">
        <v>876</v>
      </c>
      <c r="B275" s="16">
        <v>44193</v>
      </c>
      <c r="C275" s="26" t="s">
        <v>750</v>
      </c>
      <c r="D275" s="38">
        <v>20</v>
      </c>
      <c r="E275" s="13">
        <v>1449.14</v>
      </c>
      <c r="F275" s="50">
        <f t="shared" ref="F275:F287" si="14">D275*E275</f>
        <v>28982.800000000003</v>
      </c>
      <c r="G275" s="71"/>
      <c r="H275" s="71"/>
      <c r="I275" s="72"/>
      <c r="J275" s="71"/>
      <c r="K275" s="71"/>
      <c r="L275" s="71">
        <f t="shared" si="13"/>
        <v>20</v>
      </c>
      <c r="M275" s="71"/>
      <c r="N275" s="71" t="s">
        <v>945</v>
      </c>
    </row>
    <row r="276" spans="1:14" s="8" customFormat="1" ht="15.75" x14ac:dyDescent="0.25">
      <c r="A276" s="15" t="s">
        <v>877</v>
      </c>
      <c r="B276" s="16">
        <v>44193</v>
      </c>
      <c r="C276" s="26" t="s">
        <v>771</v>
      </c>
      <c r="D276" s="38">
        <v>3</v>
      </c>
      <c r="E276" s="13">
        <v>289</v>
      </c>
      <c r="F276" s="50">
        <f t="shared" si="14"/>
        <v>867</v>
      </c>
      <c r="G276" s="73">
        <v>44778</v>
      </c>
      <c r="H276" s="71">
        <v>10</v>
      </c>
      <c r="I276" s="72">
        <v>3481</v>
      </c>
      <c r="J276" s="71">
        <f>+I276/10</f>
        <v>348.1</v>
      </c>
      <c r="K276" s="71"/>
      <c r="L276" s="71">
        <f t="shared" si="13"/>
        <v>13</v>
      </c>
      <c r="M276" s="71" t="s">
        <v>943</v>
      </c>
      <c r="N276" s="71" t="s">
        <v>945</v>
      </c>
    </row>
    <row r="277" spans="1:14" s="8" customFormat="1" ht="15.75" x14ac:dyDescent="0.25">
      <c r="A277" s="15" t="s">
        <v>878</v>
      </c>
      <c r="B277" s="16">
        <v>44193</v>
      </c>
      <c r="C277" s="26" t="s">
        <v>754</v>
      </c>
      <c r="D277" s="38">
        <v>7</v>
      </c>
      <c r="E277" s="13">
        <v>38</v>
      </c>
      <c r="F277" s="50">
        <f t="shared" si="14"/>
        <v>266</v>
      </c>
      <c r="G277" s="71"/>
      <c r="H277" s="71"/>
      <c r="I277" s="72"/>
      <c r="J277" s="71"/>
      <c r="K277" s="71"/>
      <c r="L277" s="71">
        <f t="shared" si="13"/>
        <v>7</v>
      </c>
      <c r="M277" s="71"/>
      <c r="N277" s="71" t="s">
        <v>946</v>
      </c>
    </row>
    <row r="278" spans="1:14" s="8" customFormat="1" ht="15.75" x14ac:dyDescent="0.25">
      <c r="A278" s="15" t="s">
        <v>879</v>
      </c>
      <c r="B278" s="23" t="s">
        <v>105</v>
      </c>
      <c r="C278" s="26" t="s">
        <v>753</v>
      </c>
      <c r="D278" s="38">
        <v>12</v>
      </c>
      <c r="E278" s="13">
        <v>38</v>
      </c>
      <c r="F278" s="50">
        <f t="shared" si="14"/>
        <v>456</v>
      </c>
      <c r="G278" s="71"/>
      <c r="H278" s="71"/>
      <c r="I278" s="72"/>
      <c r="J278" s="71"/>
      <c r="K278" s="71"/>
      <c r="L278" s="71">
        <f t="shared" si="13"/>
        <v>12</v>
      </c>
      <c r="M278" s="71"/>
      <c r="N278" s="71" t="s">
        <v>946</v>
      </c>
    </row>
    <row r="279" spans="1:14" s="8" customFormat="1" ht="15.75" x14ac:dyDescent="0.25">
      <c r="A279" s="15" t="s">
        <v>880</v>
      </c>
      <c r="B279" s="16">
        <v>44193</v>
      </c>
      <c r="C279" s="26" t="s">
        <v>757</v>
      </c>
      <c r="D279" s="38">
        <v>1</v>
      </c>
      <c r="E279" s="13">
        <v>38</v>
      </c>
      <c r="F279" s="50">
        <f t="shared" si="14"/>
        <v>38</v>
      </c>
      <c r="G279" s="71"/>
      <c r="H279" s="71"/>
      <c r="I279" s="72"/>
      <c r="J279" s="71"/>
      <c r="K279" s="71"/>
      <c r="L279" s="71">
        <f t="shared" si="13"/>
        <v>1</v>
      </c>
      <c r="M279" s="71"/>
      <c r="N279" s="71" t="s">
        <v>946</v>
      </c>
    </row>
    <row r="280" spans="1:14" s="8" customFormat="1" ht="15.75" x14ac:dyDescent="0.25">
      <c r="A280" s="15" t="s">
        <v>881</v>
      </c>
      <c r="B280" s="16">
        <v>44193</v>
      </c>
      <c r="C280" s="26" t="s">
        <v>760</v>
      </c>
      <c r="D280" s="38">
        <v>1</v>
      </c>
      <c r="E280" s="13">
        <v>41</v>
      </c>
      <c r="F280" s="50">
        <f t="shared" si="14"/>
        <v>41</v>
      </c>
      <c r="G280" s="71"/>
      <c r="H280" s="71"/>
      <c r="I280" s="72"/>
      <c r="J280" s="71"/>
      <c r="K280" s="71"/>
      <c r="L280" s="71">
        <f t="shared" si="13"/>
        <v>1</v>
      </c>
      <c r="M280" s="71"/>
      <c r="N280" s="71" t="s">
        <v>946</v>
      </c>
    </row>
    <row r="281" spans="1:14" s="8" customFormat="1" ht="15.75" x14ac:dyDescent="0.25">
      <c r="A281" s="15" t="s">
        <v>882</v>
      </c>
      <c r="B281" s="16">
        <v>44193</v>
      </c>
      <c r="C281" s="26" t="s">
        <v>758</v>
      </c>
      <c r="D281" s="38">
        <v>1</v>
      </c>
      <c r="E281" s="13">
        <v>38</v>
      </c>
      <c r="F281" s="50">
        <f t="shared" si="14"/>
        <v>38</v>
      </c>
      <c r="G281" s="71"/>
      <c r="H281" s="71"/>
      <c r="I281" s="72"/>
      <c r="J281" s="71"/>
      <c r="K281" s="71"/>
      <c r="L281" s="71">
        <f t="shared" si="13"/>
        <v>1</v>
      </c>
      <c r="M281" s="71"/>
      <c r="N281" s="71" t="s">
        <v>946</v>
      </c>
    </row>
    <row r="282" spans="1:14" s="8" customFormat="1" ht="15.75" x14ac:dyDescent="0.25">
      <c r="A282" s="15" t="s">
        <v>883</v>
      </c>
      <c r="B282" s="16">
        <v>44193</v>
      </c>
      <c r="C282" s="26" t="s">
        <v>759</v>
      </c>
      <c r="D282" s="38">
        <v>1</v>
      </c>
      <c r="E282" s="13">
        <v>38</v>
      </c>
      <c r="F282" s="50">
        <f t="shared" si="14"/>
        <v>38</v>
      </c>
      <c r="G282" s="71"/>
      <c r="H282" s="71"/>
      <c r="I282" s="72"/>
      <c r="J282" s="71"/>
      <c r="K282" s="71"/>
      <c r="L282" s="71">
        <f t="shared" si="13"/>
        <v>1</v>
      </c>
      <c r="M282" s="71"/>
      <c r="N282" s="71" t="s">
        <v>946</v>
      </c>
    </row>
    <row r="283" spans="1:14" s="8" customFormat="1" ht="15.75" x14ac:dyDescent="0.25">
      <c r="A283" s="15" t="s">
        <v>884</v>
      </c>
      <c r="B283" s="23" t="s">
        <v>105</v>
      </c>
      <c r="C283" s="26" t="s">
        <v>755</v>
      </c>
      <c r="D283" s="38">
        <v>1</v>
      </c>
      <c r="E283" s="13">
        <v>38</v>
      </c>
      <c r="F283" s="50">
        <f t="shared" si="14"/>
        <v>38</v>
      </c>
      <c r="G283" s="71"/>
      <c r="H283" s="71"/>
      <c r="I283" s="72"/>
      <c r="J283" s="71"/>
      <c r="K283" s="71"/>
      <c r="L283" s="71">
        <f t="shared" si="13"/>
        <v>1</v>
      </c>
      <c r="M283" s="71"/>
      <c r="N283" s="71" t="s">
        <v>946</v>
      </c>
    </row>
    <row r="284" spans="1:14" s="8" customFormat="1" ht="15.75" x14ac:dyDescent="0.25">
      <c r="A284" s="15" t="s">
        <v>885</v>
      </c>
      <c r="B284" s="16">
        <v>44193</v>
      </c>
      <c r="C284" s="26" t="s">
        <v>756</v>
      </c>
      <c r="D284" s="38">
        <v>1</v>
      </c>
      <c r="E284" s="13">
        <v>38</v>
      </c>
      <c r="F284" s="50">
        <f t="shared" si="14"/>
        <v>38</v>
      </c>
      <c r="G284" s="71"/>
      <c r="H284" s="71"/>
      <c r="I284" s="72"/>
      <c r="J284" s="71"/>
      <c r="K284" s="71"/>
      <c r="L284" s="71">
        <f t="shared" si="13"/>
        <v>1</v>
      </c>
      <c r="M284" s="71"/>
      <c r="N284" s="71" t="s">
        <v>946</v>
      </c>
    </row>
    <row r="285" spans="1:14" s="8" customFormat="1" ht="15.75" x14ac:dyDescent="0.25">
      <c r="A285" s="15" t="s">
        <v>886</v>
      </c>
      <c r="B285" s="16">
        <v>44193</v>
      </c>
      <c r="C285" s="26" t="s">
        <v>762</v>
      </c>
      <c r="D285" s="38">
        <v>7</v>
      </c>
      <c r="E285" s="13">
        <v>537</v>
      </c>
      <c r="F285" s="50">
        <f t="shared" si="14"/>
        <v>3759</v>
      </c>
      <c r="G285" s="71"/>
      <c r="H285" s="71"/>
      <c r="I285" s="72"/>
      <c r="J285" s="71"/>
      <c r="K285" s="71"/>
      <c r="L285" s="71">
        <f t="shared" si="13"/>
        <v>7</v>
      </c>
      <c r="M285" s="71"/>
      <c r="N285" s="71" t="s">
        <v>946</v>
      </c>
    </row>
    <row r="286" spans="1:14" s="8" customFormat="1" ht="15.75" x14ac:dyDescent="0.25">
      <c r="A286" s="15" t="s">
        <v>887</v>
      </c>
      <c r="B286" s="16">
        <v>44193</v>
      </c>
      <c r="C286" s="26" t="s">
        <v>761</v>
      </c>
      <c r="D286" s="38">
        <v>3</v>
      </c>
      <c r="E286" s="13">
        <v>537</v>
      </c>
      <c r="F286" s="50">
        <f t="shared" si="14"/>
        <v>1611</v>
      </c>
      <c r="G286" s="71"/>
      <c r="H286" s="71"/>
      <c r="I286" s="72"/>
      <c r="J286" s="71"/>
      <c r="K286" s="71"/>
      <c r="L286" s="71">
        <f t="shared" si="13"/>
        <v>3</v>
      </c>
      <c r="M286" s="71"/>
      <c r="N286" s="71" t="s">
        <v>946</v>
      </c>
    </row>
    <row r="287" spans="1:14" s="8" customFormat="1" ht="15.75" x14ac:dyDescent="0.25">
      <c r="A287" s="15" t="s">
        <v>888</v>
      </c>
      <c r="B287" s="16">
        <v>44193</v>
      </c>
      <c r="C287" s="9" t="s">
        <v>763</v>
      </c>
      <c r="D287" s="30">
        <v>13</v>
      </c>
      <c r="E287" s="13">
        <v>13.87</v>
      </c>
      <c r="F287" s="50">
        <f t="shared" si="14"/>
        <v>180.31</v>
      </c>
      <c r="G287" s="71"/>
      <c r="H287" s="71"/>
      <c r="I287" s="72"/>
      <c r="J287" s="71"/>
      <c r="K287" s="71"/>
      <c r="L287" s="71">
        <f t="shared" si="13"/>
        <v>13</v>
      </c>
      <c r="M287" s="71"/>
      <c r="N287" s="71" t="s">
        <v>947</v>
      </c>
    </row>
    <row r="288" spans="1:14" s="8" customFormat="1" ht="15.75" x14ac:dyDescent="0.25">
      <c r="A288" s="15" t="s">
        <v>889</v>
      </c>
      <c r="B288" s="16"/>
      <c r="C288" s="25" t="s">
        <v>814</v>
      </c>
      <c r="D288" s="38">
        <v>5</v>
      </c>
      <c r="E288" s="13"/>
      <c r="F288" s="50"/>
      <c r="G288" s="71"/>
      <c r="H288" s="71"/>
      <c r="I288" s="72"/>
      <c r="J288" s="71"/>
      <c r="K288" s="71"/>
      <c r="L288" s="71">
        <f t="shared" si="13"/>
        <v>5</v>
      </c>
      <c r="M288" s="71"/>
      <c r="N288" s="71" t="s">
        <v>946</v>
      </c>
    </row>
    <row r="289" spans="1:14" s="8" customFormat="1" ht="15.75" x14ac:dyDescent="0.25">
      <c r="A289" s="15" t="s">
        <v>890</v>
      </c>
      <c r="B289" s="16"/>
      <c r="C289" s="25" t="s">
        <v>805</v>
      </c>
      <c r="D289" s="38">
        <v>9</v>
      </c>
      <c r="E289" s="13"/>
      <c r="F289" s="50"/>
      <c r="G289" s="71"/>
      <c r="H289" s="71"/>
      <c r="I289" s="72"/>
      <c r="J289" s="71"/>
      <c r="K289" s="71"/>
      <c r="L289" s="71">
        <f t="shared" si="13"/>
        <v>9</v>
      </c>
      <c r="M289" s="71"/>
      <c r="N289" s="71" t="s">
        <v>946</v>
      </c>
    </row>
    <row r="290" spans="1:14" s="8" customFormat="1" ht="15.75" x14ac:dyDescent="0.25">
      <c r="A290" s="15" t="s">
        <v>891</v>
      </c>
      <c r="B290" s="16"/>
      <c r="C290" s="25" t="s">
        <v>784</v>
      </c>
      <c r="D290" s="38">
        <v>29</v>
      </c>
      <c r="E290" s="13"/>
      <c r="F290" s="50"/>
      <c r="G290" s="71"/>
      <c r="H290" s="71"/>
      <c r="I290" s="72"/>
      <c r="J290" s="71"/>
      <c r="K290" s="71">
        <v>1</v>
      </c>
      <c r="L290" s="71">
        <f t="shared" si="13"/>
        <v>28</v>
      </c>
      <c r="M290" s="71"/>
      <c r="N290" s="71" t="s">
        <v>947</v>
      </c>
    </row>
    <row r="291" spans="1:14" s="8" customFormat="1" ht="15.75" x14ac:dyDescent="0.25">
      <c r="A291" s="15" t="s">
        <v>892</v>
      </c>
      <c r="B291" s="16">
        <v>44729</v>
      </c>
      <c r="C291" s="25" t="s">
        <v>860</v>
      </c>
      <c r="D291" s="38">
        <v>12</v>
      </c>
      <c r="E291" s="13">
        <v>19650</v>
      </c>
      <c r="F291" s="50">
        <f>+D291*E291</f>
        <v>235800</v>
      </c>
      <c r="G291" s="71"/>
      <c r="H291" s="71"/>
      <c r="I291" s="72"/>
      <c r="J291" s="71"/>
      <c r="K291" s="71"/>
      <c r="L291" s="71">
        <f t="shared" si="13"/>
        <v>12</v>
      </c>
      <c r="M291" s="71"/>
      <c r="N291" s="71" t="s">
        <v>946</v>
      </c>
    </row>
    <row r="292" spans="1:14" s="8" customFormat="1" ht="15.75" x14ac:dyDescent="0.25">
      <c r="A292" s="15" t="s">
        <v>893</v>
      </c>
      <c r="B292" s="16">
        <v>44652</v>
      </c>
      <c r="C292" s="25" t="s">
        <v>859</v>
      </c>
      <c r="D292" s="38">
        <f>11+6+12+11</f>
        <v>40</v>
      </c>
      <c r="E292" s="13">
        <v>159</v>
      </c>
      <c r="F292" s="50">
        <f>+D292*E292</f>
        <v>6360</v>
      </c>
      <c r="G292" s="71"/>
      <c r="H292" s="71"/>
      <c r="I292" s="72"/>
      <c r="J292" s="71"/>
      <c r="K292" s="71">
        <f>3+1+1</f>
        <v>5</v>
      </c>
      <c r="L292" s="71">
        <f t="shared" si="13"/>
        <v>35</v>
      </c>
      <c r="M292" s="71"/>
      <c r="N292" s="71" t="s">
        <v>945</v>
      </c>
    </row>
    <row r="293" spans="1:14" s="8" customFormat="1" ht="15.75" x14ac:dyDescent="0.25">
      <c r="A293" s="15" t="s">
        <v>894</v>
      </c>
      <c r="B293" s="16">
        <v>44652</v>
      </c>
      <c r="C293" s="25" t="s">
        <v>858</v>
      </c>
      <c r="D293" s="38">
        <v>11</v>
      </c>
      <c r="E293" s="13"/>
      <c r="F293" s="50">
        <f>+D293*E293</f>
        <v>0</v>
      </c>
      <c r="G293" s="71"/>
      <c r="H293" s="71"/>
      <c r="I293" s="72"/>
      <c r="J293" s="71"/>
      <c r="K293" s="71"/>
      <c r="L293" s="71">
        <f t="shared" si="13"/>
        <v>11</v>
      </c>
      <c r="M293" s="71"/>
      <c r="N293" s="71" t="s">
        <v>945</v>
      </c>
    </row>
    <row r="294" spans="1:14" s="8" customFormat="1" ht="15.75" x14ac:dyDescent="0.25">
      <c r="A294" s="15" t="s">
        <v>895</v>
      </c>
      <c r="B294" s="16">
        <v>44652</v>
      </c>
      <c r="C294" s="25" t="s">
        <v>920</v>
      </c>
      <c r="D294" s="38">
        <f>9+11+7</f>
        <v>27</v>
      </c>
      <c r="E294" s="13">
        <v>145</v>
      </c>
      <c r="F294" s="50">
        <f>+D294*E294</f>
        <v>3915</v>
      </c>
      <c r="G294" s="71"/>
      <c r="H294" s="71"/>
      <c r="I294" s="72"/>
      <c r="J294" s="71"/>
      <c r="K294" s="71"/>
      <c r="L294" s="71">
        <f t="shared" si="13"/>
        <v>27</v>
      </c>
      <c r="M294" s="71"/>
      <c r="N294" s="71" t="s">
        <v>945</v>
      </c>
    </row>
    <row r="295" spans="1:14" s="8" customFormat="1" ht="15.75" x14ac:dyDescent="0.25">
      <c r="A295" s="15" t="s">
        <v>896</v>
      </c>
      <c r="B295" s="16"/>
      <c r="C295" s="25" t="s">
        <v>795</v>
      </c>
      <c r="D295" s="38">
        <v>29</v>
      </c>
      <c r="E295" s="13">
        <v>29.35</v>
      </c>
      <c r="F295" s="50">
        <f t="shared" ref="F295:F311" si="15">+D295*E295</f>
        <v>851.15000000000009</v>
      </c>
      <c r="G295" s="71"/>
      <c r="H295" s="71"/>
      <c r="I295" s="72"/>
      <c r="J295" s="71"/>
      <c r="K295" s="71"/>
      <c r="L295" s="71">
        <f t="shared" si="13"/>
        <v>29</v>
      </c>
      <c r="M295" s="71"/>
      <c r="N295" s="71" t="s">
        <v>946</v>
      </c>
    </row>
    <row r="296" spans="1:14" s="8" customFormat="1" ht="15.75" x14ac:dyDescent="0.25">
      <c r="A296" s="15" t="s">
        <v>897</v>
      </c>
      <c r="B296" s="16"/>
      <c r="C296" s="25" t="s">
        <v>843</v>
      </c>
      <c r="D296" s="38">
        <v>8</v>
      </c>
      <c r="E296" s="13"/>
      <c r="F296" s="50">
        <f t="shared" si="15"/>
        <v>0</v>
      </c>
      <c r="G296" s="71"/>
      <c r="H296" s="71"/>
      <c r="I296" s="72"/>
      <c r="J296" s="71"/>
      <c r="K296" s="71"/>
      <c r="L296" s="71">
        <f t="shared" si="13"/>
        <v>8</v>
      </c>
      <c r="M296" s="71"/>
      <c r="N296" s="71" t="s">
        <v>946</v>
      </c>
    </row>
    <row r="297" spans="1:14" s="8" customFormat="1" ht="15.75" x14ac:dyDescent="0.25">
      <c r="A297" s="15" t="s">
        <v>898</v>
      </c>
      <c r="B297" s="16"/>
      <c r="C297" s="25" t="s">
        <v>793</v>
      </c>
      <c r="D297" s="38">
        <f>3+1</f>
        <v>4</v>
      </c>
      <c r="E297" s="13"/>
      <c r="F297" s="50">
        <f t="shared" si="15"/>
        <v>0</v>
      </c>
      <c r="G297" s="71"/>
      <c r="H297" s="71"/>
      <c r="I297" s="72"/>
      <c r="J297" s="71"/>
      <c r="K297" s="71"/>
      <c r="L297" s="71">
        <f t="shared" si="13"/>
        <v>4</v>
      </c>
      <c r="M297" s="71"/>
      <c r="N297" s="71" t="s">
        <v>946</v>
      </c>
    </row>
    <row r="298" spans="1:14" s="8" customFormat="1" ht="15.75" x14ac:dyDescent="0.25">
      <c r="A298" s="15" t="s">
        <v>899</v>
      </c>
      <c r="B298" s="16"/>
      <c r="C298" s="25" t="s">
        <v>842</v>
      </c>
      <c r="D298" s="38">
        <v>2</v>
      </c>
      <c r="E298" s="13"/>
      <c r="F298" s="50">
        <f t="shared" si="15"/>
        <v>0</v>
      </c>
      <c r="G298" s="71"/>
      <c r="H298" s="71"/>
      <c r="I298" s="72"/>
      <c r="J298" s="71"/>
      <c r="K298" s="71"/>
      <c r="L298" s="71">
        <f t="shared" si="13"/>
        <v>2</v>
      </c>
      <c r="M298" s="71"/>
      <c r="N298" s="71" t="s">
        <v>946</v>
      </c>
    </row>
    <row r="299" spans="1:14" s="8" customFormat="1" ht="15.75" x14ac:dyDescent="0.25">
      <c r="A299" s="15" t="s">
        <v>900</v>
      </c>
      <c r="B299" s="16">
        <v>44193</v>
      </c>
      <c r="C299" s="25" t="s">
        <v>841</v>
      </c>
      <c r="D299" s="38">
        <v>1</v>
      </c>
      <c r="E299" s="13">
        <v>18.86</v>
      </c>
      <c r="F299" s="50">
        <f t="shared" si="15"/>
        <v>18.86</v>
      </c>
      <c r="G299" s="71"/>
      <c r="H299" s="71"/>
      <c r="I299" s="72"/>
      <c r="J299" s="71"/>
      <c r="K299" s="71"/>
      <c r="L299" s="71">
        <f t="shared" si="13"/>
        <v>1</v>
      </c>
      <c r="M299" s="71"/>
      <c r="N299" s="71" t="s">
        <v>946</v>
      </c>
    </row>
    <row r="300" spans="1:14" s="8" customFormat="1" ht="15.75" x14ac:dyDescent="0.25">
      <c r="A300" s="15" t="s">
        <v>901</v>
      </c>
      <c r="B300" s="16">
        <v>44193</v>
      </c>
      <c r="C300" s="25" t="s">
        <v>848</v>
      </c>
      <c r="D300" s="38">
        <v>1</v>
      </c>
      <c r="E300" s="13"/>
      <c r="F300" s="50">
        <f t="shared" si="15"/>
        <v>0</v>
      </c>
      <c r="G300" s="71"/>
      <c r="H300" s="71"/>
      <c r="I300" s="72"/>
      <c r="J300" s="71"/>
      <c r="K300" s="71"/>
      <c r="L300" s="71">
        <f t="shared" si="13"/>
        <v>1</v>
      </c>
      <c r="M300" s="71"/>
      <c r="N300" s="71" t="s">
        <v>946</v>
      </c>
    </row>
    <row r="301" spans="1:14" s="8" customFormat="1" ht="15.75" x14ac:dyDescent="0.25">
      <c r="A301" s="15" t="s">
        <v>902</v>
      </c>
      <c r="B301" s="16">
        <v>44193</v>
      </c>
      <c r="C301" s="25" t="s">
        <v>839</v>
      </c>
      <c r="D301" s="38">
        <v>7</v>
      </c>
      <c r="E301" s="13"/>
      <c r="F301" s="50">
        <f t="shared" si="15"/>
        <v>0</v>
      </c>
      <c r="G301" s="71"/>
      <c r="H301" s="71"/>
      <c r="I301" s="72"/>
      <c r="J301" s="71"/>
      <c r="K301" s="71"/>
      <c r="L301" s="71">
        <f t="shared" si="13"/>
        <v>7</v>
      </c>
      <c r="M301" s="71"/>
      <c r="N301" s="71" t="s">
        <v>946</v>
      </c>
    </row>
    <row r="302" spans="1:14" s="8" customFormat="1" ht="15.75" x14ac:dyDescent="0.25">
      <c r="A302" s="15" t="s">
        <v>903</v>
      </c>
      <c r="B302" s="16">
        <v>44193</v>
      </c>
      <c r="C302" s="25" t="s">
        <v>867</v>
      </c>
      <c r="D302" s="38">
        <v>6</v>
      </c>
      <c r="E302" s="13">
        <v>176</v>
      </c>
      <c r="F302" s="50">
        <f t="shared" si="15"/>
        <v>1056</v>
      </c>
      <c r="G302" s="71"/>
      <c r="H302" s="71"/>
      <c r="I302" s="72"/>
      <c r="J302" s="71"/>
      <c r="K302" s="71"/>
      <c r="L302" s="71">
        <f t="shared" si="13"/>
        <v>6</v>
      </c>
      <c r="M302" s="71"/>
      <c r="N302" s="71" t="s">
        <v>947</v>
      </c>
    </row>
    <row r="303" spans="1:14" s="8" customFormat="1" ht="15.75" x14ac:dyDescent="0.25">
      <c r="A303" s="15" t="s">
        <v>904</v>
      </c>
      <c r="B303" s="16">
        <v>44193</v>
      </c>
      <c r="C303" s="25" t="s">
        <v>798</v>
      </c>
      <c r="D303" s="38">
        <v>3</v>
      </c>
      <c r="E303" s="13">
        <v>234</v>
      </c>
      <c r="F303" s="50">
        <f t="shared" si="15"/>
        <v>702</v>
      </c>
      <c r="G303" s="71"/>
      <c r="H303" s="71"/>
      <c r="I303" s="72"/>
      <c r="J303" s="71"/>
      <c r="K303" s="71"/>
      <c r="L303" s="71">
        <f t="shared" si="13"/>
        <v>3</v>
      </c>
      <c r="M303" s="71"/>
      <c r="N303" s="71" t="s">
        <v>946</v>
      </c>
    </row>
    <row r="304" spans="1:14" s="8" customFormat="1" ht="15.75" x14ac:dyDescent="0.25">
      <c r="A304" s="15" t="s">
        <v>905</v>
      </c>
      <c r="B304" s="16">
        <v>44193</v>
      </c>
      <c r="C304" s="25" t="s">
        <v>764</v>
      </c>
      <c r="D304" s="38">
        <v>0</v>
      </c>
      <c r="E304" s="13">
        <v>39</v>
      </c>
      <c r="F304" s="50">
        <f t="shared" si="15"/>
        <v>0</v>
      </c>
      <c r="G304" s="73">
        <v>44755</v>
      </c>
      <c r="H304" s="71">
        <v>25</v>
      </c>
      <c r="I304" s="72">
        <v>50.84</v>
      </c>
      <c r="J304" s="74">
        <f>+H304*I304</f>
        <v>1271</v>
      </c>
      <c r="K304" s="38">
        <f>1+1</f>
        <v>2</v>
      </c>
      <c r="L304" s="71">
        <f t="shared" si="13"/>
        <v>23</v>
      </c>
      <c r="M304" s="71" t="s">
        <v>928</v>
      </c>
      <c r="N304" s="71" t="s">
        <v>945</v>
      </c>
    </row>
    <row r="305" spans="1:14" s="8" customFormat="1" ht="15.75" x14ac:dyDescent="0.25">
      <c r="A305" s="15" t="s">
        <v>906</v>
      </c>
      <c r="B305" s="16"/>
      <c r="C305" s="25" t="s">
        <v>799</v>
      </c>
      <c r="D305" s="38">
        <v>120</v>
      </c>
      <c r="E305" s="13"/>
      <c r="F305" s="50">
        <f t="shared" si="15"/>
        <v>0</v>
      </c>
      <c r="G305" s="71"/>
      <c r="H305" s="71"/>
      <c r="I305" s="72"/>
      <c r="J305" s="71"/>
      <c r="K305" s="71"/>
      <c r="L305" s="71">
        <f t="shared" si="13"/>
        <v>120</v>
      </c>
      <c r="M305" s="71"/>
      <c r="N305" s="71" t="s">
        <v>946</v>
      </c>
    </row>
    <row r="306" spans="1:14" s="8" customFormat="1" ht="15.75" x14ac:dyDescent="0.25">
      <c r="A306" s="15" t="s">
        <v>907</v>
      </c>
      <c r="B306" s="16"/>
      <c r="C306" s="25" t="s">
        <v>824</v>
      </c>
      <c r="D306" s="38">
        <v>15</v>
      </c>
      <c r="E306" s="13"/>
      <c r="F306" s="50">
        <f t="shared" si="15"/>
        <v>0</v>
      </c>
      <c r="G306" s="73"/>
      <c r="H306" s="71"/>
      <c r="I306" s="72"/>
      <c r="J306" s="74"/>
      <c r="K306" s="74"/>
      <c r="L306" s="71">
        <f t="shared" si="13"/>
        <v>15</v>
      </c>
      <c r="M306" s="71"/>
      <c r="N306" s="71" t="s">
        <v>946</v>
      </c>
    </row>
    <row r="307" spans="1:14" s="8" customFormat="1" ht="15.75" x14ac:dyDescent="0.25">
      <c r="A307" s="15" t="s">
        <v>908</v>
      </c>
      <c r="B307" s="16"/>
      <c r="C307" s="25" t="s">
        <v>837</v>
      </c>
      <c r="D307" s="38">
        <v>9</v>
      </c>
      <c r="E307" s="13"/>
      <c r="F307" s="50">
        <f t="shared" si="15"/>
        <v>0</v>
      </c>
      <c r="G307" s="71"/>
      <c r="H307" s="71"/>
      <c r="I307" s="72"/>
      <c r="J307" s="71"/>
      <c r="K307" s="71"/>
      <c r="L307" s="71">
        <f t="shared" si="13"/>
        <v>9</v>
      </c>
      <c r="M307" s="71"/>
      <c r="N307" s="71" t="s">
        <v>946</v>
      </c>
    </row>
    <row r="308" spans="1:14" s="8" customFormat="1" ht="15.75" x14ac:dyDescent="0.25">
      <c r="A308" s="15" t="s">
        <v>909</v>
      </c>
      <c r="B308" s="16"/>
      <c r="C308" s="25" t="s">
        <v>792</v>
      </c>
      <c r="D308" s="38">
        <v>19</v>
      </c>
      <c r="E308" s="13"/>
      <c r="F308" s="50">
        <f t="shared" si="15"/>
        <v>0</v>
      </c>
      <c r="G308" s="71"/>
      <c r="H308" s="71"/>
      <c r="I308" s="72"/>
      <c r="J308" s="71"/>
      <c r="K308" s="71"/>
      <c r="L308" s="71">
        <f t="shared" si="13"/>
        <v>19</v>
      </c>
      <c r="M308" s="71"/>
      <c r="N308" s="71" t="s">
        <v>946</v>
      </c>
    </row>
    <row r="309" spans="1:14" s="8" customFormat="1" ht="15.75" x14ac:dyDescent="0.25">
      <c r="A309" s="15" t="s">
        <v>910</v>
      </c>
      <c r="B309" s="16"/>
      <c r="C309" s="25" t="s">
        <v>329</v>
      </c>
      <c r="D309" s="38">
        <v>21</v>
      </c>
      <c r="E309" s="13"/>
      <c r="F309" s="50">
        <f t="shared" si="15"/>
        <v>0</v>
      </c>
      <c r="G309" s="71"/>
      <c r="H309" s="71"/>
      <c r="I309" s="72"/>
      <c r="J309" s="71"/>
      <c r="K309" s="71"/>
      <c r="L309" s="71">
        <f t="shared" si="13"/>
        <v>21</v>
      </c>
      <c r="M309" s="71"/>
      <c r="N309" s="71" t="s">
        <v>946</v>
      </c>
    </row>
    <row r="310" spans="1:14" s="8" customFormat="1" ht="15.75" x14ac:dyDescent="0.25">
      <c r="A310" s="15" t="s">
        <v>911</v>
      </c>
      <c r="B310" s="16"/>
      <c r="C310" s="25" t="s">
        <v>330</v>
      </c>
      <c r="D310" s="38">
        <f>2+18</f>
        <v>20</v>
      </c>
      <c r="E310" s="13"/>
      <c r="F310" s="50">
        <f t="shared" si="15"/>
        <v>0</v>
      </c>
      <c r="G310" s="71"/>
      <c r="H310" s="71"/>
      <c r="I310" s="72"/>
      <c r="J310" s="71"/>
      <c r="K310" s="71"/>
      <c r="L310" s="71">
        <f t="shared" si="13"/>
        <v>20</v>
      </c>
      <c r="M310" s="71"/>
      <c r="N310" s="71" t="s">
        <v>946</v>
      </c>
    </row>
    <row r="311" spans="1:14" s="8" customFormat="1" ht="15.75" x14ac:dyDescent="0.25">
      <c r="A311" s="15" t="s">
        <v>912</v>
      </c>
      <c r="B311" s="16">
        <v>44193</v>
      </c>
      <c r="C311" s="25" t="s">
        <v>836</v>
      </c>
      <c r="D311" s="38">
        <v>19</v>
      </c>
      <c r="E311" s="13">
        <v>30</v>
      </c>
      <c r="F311" s="50">
        <f t="shared" si="15"/>
        <v>570</v>
      </c>
      <c r="G311" s="71"/>
      <c r="H311" s="71"/>
      <c r="I311" s="72"/>
      <c r="J311" s="71"/>
      <c r="K311" s="71"/>
      <c r="L311" s="71">
        <f t="shared" si="13"/>
        <v>19</v>
      </c>
      <c r="M311" s="71"/>
      <c r="N311" s="71" t="s">
        <v>946</v>
      </c>
    </row>
    <row r="312" spans="1:14" s="8" customFormat="1" ht="15.75" x14ac:dyDescent="0.25">
      <c r="A312" s="15" t="s">
        <v>530</v>
      </c>
      <c r="B312" s="16">
        <v>44193</v>
      </c>
      <c r="C312" s="25" t="s">
        <v>810</v>
      </c>
      <c r="D312" s="38">
        <v>6</v>
      </c>
      <c r="E312" s="13">
        <v>299.72000000000003</v>
      </c>
      <c r="F312" s="50">
        <f>+D312*E312</f>
        <v>1798.3200000000002</v>
      </c>
      <c r="G312" s="71"/>
      <c r="H312" s="71"/>
      <c r="I312" s="72"/>
      <c r="J312" s="71"/>
      <c r="K312" s="71"/>
      <c r="L312" s="71">
        <f t="shared" si="13"/>
        <v>6</v>
      </c>
      <c r="M312" s="71"/>
      <c r="N312" s="71" t="s">
        <v>946</v>
      </c>
    </row>
    <row r="313" spans="1:14" s="8" customFormat="1" ht="15.75" x14ac:dyDescent="0.25">
      <c r="A313" s="15" t="s">
        <v>916</v>
      </c>
      <c r="B313" s="16"/>
      <c r="C313" s="25" t="s">
        <v>836</v>
      </c>
      <c r="D313" s="38">
        <v>19</v>
      </c>
      <c r="E313" s="13"/>
      <c r="F313" s="50"/>
      <c r="G313" s="71"/>
      <c r="H313" s="71"/>
      <c r="I313" s="72"/>
      <c r="J313" s="71"/>
      <c r="K313" s="71"/>
      <c r="L313" s="71">
        <f t="shared" si="13"/>
        <v>19</v>
      </c>
      <c r="M313" s="71"/>
      <c r="N313" s="71" t="s">
        <v>946</v>
      </c>
    </row>
    <row r="314" spans="1:14" s="8" customFormat="1" ht="15.75" x14ac:dyDescent="0.25">
      <c r="A314" s="15" t="s">
        <v>917</v>
      </c>
      <c r="B314" s="16"/>
      <c r="C314" s="25" t="s">
        <v>918</v>
      </c>
      <c r="D314" s="38">
        <v>5</v>
      </c>
      <c r="E314" s="13"/>
      <c r="F314" s="50"/>
      <c r="G314" s="71"/>
      <c r="H314" s="71"/>
      <c r="I314" s="72"/>
      <c r="J314" s="71"/>
      <c r="K314" s="71"/>
      <c r="L314" s="71">
        <f t="shared" si="13"/>
        <v>5</v>
      </c>
      <c r="M314" s="71"/>
      <c r="N314" s="71" t="s">
        <v>945</v>
      </c>
    </row>
    <row r="315" spans="1:14" s="8" customFormat="1" ht="15.75" x14ac:dyDescent="0.25">
      <c r="A315" s="15" t="s">
        <v>921</v>
      </c>
      <c r="B315" s="16"/>
      <c r="C315" s="25" t="s">
        <v>919</v>
      </c>
      <c r="D315" s="38">
        <f>12+10+11</f>
        <v>33</v>
      </c>
      <c r="E315" s="13">
        <v>150</v>
      </c>
      <c r="F315" s="50"/>
      <c r="G315" s="71"/>
      <c r="H315" s="71"/>
      <c r="I315" s="72"/>
      <c r="J315" s="71"/>
      <c r="K315" s="71"/>
      <c r="L315" s="71">
        <f t="shared" si="13"/>
        <v>33</v>
      </c>
      <c r="M315" s="71"/>
      <c r="N315" s="71" t="s">
        <v>945</v>
      </c>
    </row>
    <row r="316" spans="1:14" s="8" customFormat="1" ht="15.75" x14ac:dyDescent="0.25">
      <c r="A316" s="15" t="s">
        <v>922</v>
      </c>
      <c r="B316" s="16"/>
      <c r="C316" s="25" t="s">
        <v>926</v>
      </c>
      <c r="D316" s="38">
        <v>1</v>
      </c>
      <c r="E316" s="13"/>
      <c r="F316" s="50"/>
      <c r="G316" s="71"/>
      <c r="H316" s="71"/>
      <c r="I316" s="72"/>
      <c r="J316" s="71"/>
      <c r="K316" s="71"/>
      <c r="L316" s="71">
        <f t="shared" si="13"/>
        <v>1</v>
      </c>
      <c r="M316" s="71"/>
      <c r="N316" s="71" t="s">
        <v>945</v>
      </c>
    </row>
    <row r="317" spans="1:14" s="8" customFormat="1" ht="15.75" x14ac:dyDescent="0.25">
      <c r="A317" s="15" t="s">
        <v>923</v>
      </c>
      <c r="B317" s="16"/>
      <c r="C317" s="25" t="s">
        <v>930</v>
      </c>
      <c r="D317" s="38"/>
      <c r="E317" s="13"/>
      <c r="F317" s="50"/>
      <c r="G317" s="71"/>
      <c r="H317" s="71"/>
      <c r="I317" s="72"/>
      <c r="J317" s="71"/>
      <c r="K317" s="71">
        <f>2+2+2</f>
        <v>6</v>
      </c>
      <c r="L317" s="71">
        <f t="shared" si="13"/>
        <v>-6</v>
      </c>
      <c r="M317" s="71"/>
      <c r="N317" s="71" t="s">
        <v>945</v>
      </c>
    </row>
    <row r="318" spans="1:14" s="8" customFormat="1" ht="15.75" x14ac:dyDescent="0.25">
      <c r="A318" s="15" t="s">
        <v>932</v>
      </c>
      <c r="B318" s="16"/>
      <c r="C318" s="25" t="s">
        <v>931</v>
      </c>
      <c r="D318" s="38"/>
      <c r="E318" s="13"/>
      <c r="F318" s="50"/>
      <c r="G318" s="71"/>
      <c r="H318" s="71"/>
      <c r="I318" s="72"/>
      <c r="J318" s="71"/>
      <c r="K318" s="71">
        <v>1</v>
      </c>
      <c r="L318" s="71">
        <f t="shared" si="13"/>
        <v>-1</v>
      </c>
      <c r="M318" s="71"/>
      <c r="N318" s="71" t="s">
        <v>947</v>
      </c>
    </row>
    <row r="319" spans="1:14" s="8" customFormat="1" ht="15.75" x14ac:dyDescent="0.25">
      <c r="A319" s="15" t="s">
        <v>933</v>
      </c>
      <c r="B319" s="16"/>
      <c r="C319" s="68" t="s">
        <v>934</v>
      </c>
      <c r="D319" s="38"/>
      <c r="E319" s="13"/>
      <c r="F319" s="50"/>
      <c r="G319" s="71"/>
      <c r="H319" s="71"/>
      <c r="I319" s="72"/>
      <c r="J319" s="71"/>
      <c r="K319" s="71">
        <f>1+1+15+1</f>
        <v>18</v>
      </c>
      <c r="L319" s="71">
        <f t="shared" si="13"/>
        <v>-18</v>
      </c>
      <c r="M319" s="71"/>
      <c r="N319" s="71" t="s">
        <v>946</v>
      </c>
    </row>
    <row r="320" spans="1:14" s="8" customFormat="1" ht="15.75" x14ac:dyDescent="0.25">
      <c r="A320" s="15" t="s">
        <v>936</v>
      </c>
      <c r="B320" s="16">
        <v>44193</v>
      </c>
      <c r="C320" s="25" t="s">
        <v>613</v>
      </c>
      <c r="D320" s="38">
        <v>25</v>
      </c>
      <c r="E320" s="13">
        <v>5.78</v>
      </c>
      <c r="F320" s="50">
        <f>+D320*E320</f>
        <v>144.5</v>
      </c>
      <c r="G320" s="71"/>
      <c r="H320" s="71"/>
      <c r="I320" s="72"/>
      <c r="J320" s="71"/>
      <c r="K320" s="71">
        <v>1</v>
      </c>
      <c r="L320" s="71">
        <f t="shared" si="13"/>
        <v>24</v>
      </c>
      <c r="M320" s="71"/>
      <c r="N320" s="71"/>
    </row>
    <row r="321" spans="1:14" s="8" customFormat="1" ht="15.75" x14ac:dyDescent="0.25">
      <c r="A321" s="15" t="s">
        <v>937</v>
      </c>
      <c r="B321" s="16"/>
      <c r="C321" s="25" t="s">
        <v>935</v>
      </c>
      <c r="D321" s="38"/>
      <c r="E321" s="13"/>
      <c r="F321" s="50"/>
      <c r="G321" s="71"/>
      <c r="H321" s="71"/>
      <c r="I321" s="72"/>
      <c r="J321" s="71"/>
      <c r="K321" s="71">
        <v>2</v>
      </c>
      <c r="L321" s="71">
        <f t="shared" si="13"/>
        <v>-2</v>
      </c>
      <c r="M321" s="71"/>
      <c r="N321" s="71"/>
    </row>
    <row r="322" spans="1:14" s="8" customFormat="1" ht="15.75" x14ac:dyDescent="0.25">
      <c r="A322" s="15" t="s">
        <v>938</v>
      </c>
      <c r="B322" s="16"/>
      <c r="C322" s="25" t="s">
        <v>939</v>
      </c>
      <c r="D322" s="38"/>
      <c r="E322" s="13"/>
      <c r="F322" s="50"/>
      <c r="G322" s="71"/>
      <c r="H322" s="71"/>
      <c r="I322" s="72"/>
      <c r="J322" s="71"/>
      <c r="K322" s="71">
        <v>1</v>
      </c>
      <c r="L322" s="71">
        <f t="shared" si="13"/>
        <v>-1</v>
      </c>
      <c r="M322" s="71"/>
      <c r="N322" s="71"/>
    </row>
    <row r="323" spans="1:14" s="8" customFormat="1" ht="15.75" x14ac:dyDescent="0.25">
      <c r="A323" s="15" t="s">
        <v>941</v>
      </c>
      <c r="B323" s="16"/>
      <c r="C323" s="25" t="s">
        <v>940</v>
      </c>
      <c r="D323" s="38"/>
      <c r="E323" s="13"/>
      <c r="F323" s="50"/>
      <c r="G323" s="71"/>
      <c r="H323" s="71"/>
      <c r="I323" s="72"/>
      <c r="J323" s="71"/>
      <c r="K323" s="71">
        <v>1</v>
      </c>
      <c r="L323" s="71">
        <f t="shared" si="13"/>
        <v>-1</v>
      </c>
      <c r="M323" s="71"/>
      <c r="N323" s="71"/>
    </row>
    <row r="324" spans="1:14" s="8" customFormat="1" ht="15.75" x14ac:dyDescent="0.25">
      <c r="A324" s="15" t="s">
        <v>948</v>
      </c>
      <c r="B324" s="16"/>
      <c r="C324" s="25" t="s">
        <v>942</v>
      </c>
      <c r="D324" s="38"/>
      <c r="E324" s="13"/>
      <c r="F324" s="50"/>
      <c r="G324" s="73">
        <v>44778</v>
      </c>
      <c r="H324" s="71">
        <f>120*12</f>
        <v>1440</v>
      </c>
      <c r="I324" s="72">
        <f>111864/H324</f>
        <v>77.683333333333337</v>
      </c>
      <c r="J324" s="72">
        <f>+I324*H324</f>
        <v>111864</v>
      </c>
      <c r="K324" s="71">
        <f>1+4+3+12+12+3+12</f>
        <v>47</v>
      </c>
      <c r="L324" s="71">
        <f t="shared" si="13"/>
        <v>1393</v>
      </c>
      <c r="M324" s="71"/>
      <c r="N324" s="71" t="s">
        <v>946</v>
      </c>
    </row>
    <row r="325" spans="1:14" s="8" customFormat="1" ht="15.75" x14ac:dyDescent="0.25">
      <c r="A325" s="15" t="s">
        <v>953</v>
      </c>
      <c r="B325" s="16"/>
      <c r="C325" s="25" t="s">
        <v>949</v>
      </c>
      <c r="D325" s="38"/>
      <c r="E325" s="13"/>
      <c r="F325" s="50"/>
      <c r="G325" s="71"/>
      <c r="H325" s="71"/>
      <c r="I325" s="72"/>
      <c r="J325" s="71"/>
      <c r="K325" s="71">
        <v>1</v>
      </c>
      <c r="L325" s="71">
        <f t="shared" si="13"/>
        <v>-1</v>
      </c>
      <c r="M325" s="71"/>
      <c r="N325" s="71" t="s">
        <v>946</v>
      </c>
    </row>
    <row r="326" spans="1:14" s="8" customFormat="1" ht="15.75" x14ac:dyDescent="0.25">
      <c r="A326" s="15" t="s">
        <v>954</v>
      </c>
      <c r="B326" s="16"/>
      <c r="C326" s="25" t="s">
        <v>952</v>
      </c>
      <c r="D326" s="38"/>
      <c r="E326" s="13"/>
      <c r="F326" s="50"/>
      <c r="G326" s="71"/>
      <c r="H326" s="71"/>
      <c r="I326" s="72"/>
      <c r="J326" s="71"/>
      <c r="K326" s="71">
        <f>1+1+2</f>
        <v>4</v>
      </c>
      <c r="L326" s="71">
        <f t="shared" si="13"/>
        <v>-4</v>
      </c>
      <c r="M326" s="71"/>
      <c r="N326" s="71" t="s">
        <v>945</v>
      </c>
    </row>
    <row r="327" spans="1:14" s="8" customFormat="1" ht="15.75" x14ac:dyDescent="0.25">
      <c r="A327" s="15"/>
      <c r="B327" s="16"/>
      <c r="C327" s="25"/>
      <c r="D327" s="38"/>
      <c r="E327" s="13"/>
      <c r="F327" s="50"/>
      <c r="G327" s="71"/>
      <c r="H327" s="71"/>
      <c r="I327" s="72"/>
      <c r="J327" s="71"/>
      <c r="K327" s="71"/>
      <c r="L327" s="71"/>
      <c r="M327" s="71"/>
      <c r="N327" s="71"/>
    </row>
    <row r="328" spans="1:14" x14ac:dyDescent="0.25">
      <c r="A328" s="69" t="s">
        <v>98</v>
      </c>
      <c r="B328" s="241"/>
      <c r="C328" s="242"/>
      <c r="D328" s="242"/>
      <c r="E328" s="243"/>
      <c r="F328" s="70">
        <f>SUM(F9:F323)</f>
        <v>1795101.9203600003</v>
      </c>
    </row>
    <row r="329" spans="1:14" s="2" customFormat="1" ht="60.75" hidden="1" customHeight="1" x14ac:dyDescent="0.25">
      <c r="C329" s="43"/>
      <c r="I329" s="65"/>
    </row>
    <row r="330" spans="1:14" ht="15.75" x14ac:dyDescent="0.25">
      <c r="C330" s="12"/>
    </row>
    <row r="331" spans="1:14" ht="23.25" customHeight="1" x14ac:dyDescent="0.25">
      <c r="A331" t="s">
        <v>7</v>
      </c>
      <c r="C331" s="12"/>
    </row>
    <row r="332" spans="1:14" ht="15.75" x14ac:dyDescent="0.25">
      <c r="C332" s="12"/>
    </row>
    <row r="333" spans="1:14" ht="23.25" customHeight="1" x14ac:dyDescent="0.25">
      <c r="B333" t="s">
        <v>531</v>
      </c>
      <c r="C333" s="12"/>
    </row>
    <row r="334" spans="1:14" ht="15.75" x14ac:dyDescent="0.25">
      <c r="C334" s="12"/>
    </row>
    <row r="335" spans="1:14" ht="15.75" x14ac:dyDescent="0.25">
      <c r="A335" s="3" t="s">
        <v>5</v>
      </c>
      <c r="C335" s="12"/>
    </row>
    <row r="336" spans="1:14" ht="15.75" x14ac:dyDescent="0.25">
      <c r="C336" s="12"/>
    </row>
    <row r="337" spans="1:3" ht="15.75" x14ac:dyDescent="0.25">
      <c r="A337" s="3"/>
      <c r="C337" s="12"/>
    </row>
    <row r="338" spans="1:3" ht="15.75" x14ac:dyDescent="0.25">
      <c r="A338" s="7" t="s">
        <v>924</v>
      </c>
      <c r="C338" s="12"/>
    </row>
    <row r="339" spans="1:3" ht="15.75" x14ac:dyDescent="0.25">
      <c r="A339" t="s">
        <v>925</v>
      </c>
      <c r="C339" s="12"/>
    </row>
    <row r="340" spans="1:3" ht="15.75" x14ac:dyDescent="0.25">
      <c r="C340" s="12" t="s">
        <v>506</v>
      </c>
    </row>
    <row r="341" spans="1:3" ht="15.75" x14ac:dyDescent="0.25">
      <c r="C341" s="12"/>
    </row>
    <row r="342" spans="1:3" ht="15.75" x14ac:dyDescent="0.25">
      <c r="C342" s="12"/>
    </row>
    <row r="343" spans="1:3" ht="15.75" x14ac:dyDescent="0.25">
      <c r="C343" s="12"/>
    </row>
    <row r="344" spans="1:3" ht="15.75" x14ac:dyDescent="0.25">
      <c r="C344" s="12"/>
    </row>
    <row r="345" spans="1:3" ht="15.75" x14ac:dyDescent="0.25">
      <c r="C345" s="12"/>
    </row>
    <row r="346" spans="1:3" ht="15.75" x14ac:dyDescent="0.25">
      <c r="C346" s="12"/>
    </row>
    <row r="347" spans="1:3" ht="15.75" x14ac:dyDescent="0.25">
      <c r="C347" s="12"/>
    </row>
  </sheetData>
  <mergeCells count="4">
    <mergeCell ref="A3:F3"/>
    <mergeCell ref="A4:F4"/>
    <mergeCell ref="A5:F5"/>
    <mergeCell ref="B328:E328"/>
  </mergeCells>
  <phoneticPr fontId="1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46"/>
  <sheetViews>
    <sheetView zoomScaleNormal="100" workbookViewId="0">
      <pane ySplit="7" topLeftCell="A8" activePane="bottomLeft" state="frozen"/>
      <selection pane="bottomLeft" activeCell="E23" sqref="E23"/>
    </sheetView>
  </sheetViews>
  <sheetFormatPr baseColWidth="10" defaultColWidth="11.42578125" defaultRowHeight="18.75" x14ac:dyDescent="0.3"/>
  <cols>
    <col min="1" max="1" width="16" style="85" customWidth="1"/>
    <col min="2" max="2" width="19.28515625" style="85" customWidth="1"/>
    <col min="3" max="3" width="51.28515625" style="85" customWidth="1"/>
    <col min="4" max="4" width="14.140625" customWidth="1"/>
    <col min="5" max="5" width="17.140625" customWidth="1"/>
    <col min="6" max="6" width="22.42578125" customWidth="1"/>
    <col min="7" max="7" width="18.5703125" customWidth="1"/>
    <col min="8" max="8" width="11.140625" customWidth="1"/>
    <col min="9" max="9" width="16.85546875" style="63" customWidth="1"/>
    <col min="10" max="11" width="13.140625" customWidth="1"/>
    <col min="12" max="12" width="11.42578125" style="85"/>
    <col min="13" max="13" width="13.42578125" customWidth="1"/>
    <col min="14" max="14" width="17.7109375" style="85" bestFit="1" customWidth="1"/>
    <col min="15" max="15" width="20.5703125" style="85" bestFit="1" customWidth="1"/>
    <col min="16" max="16384" width="11.42578125" style="85"/>
  </cols>
  <sheetData>
    <row r="3" spans="1:15" ht="26.25" x14ac:dyDescent="0.4">
      <c r="A3" s="244" t="s">
        <v>0</v>
      </c>
      <c r="B3" s="244"/>
      <c r="C3" s="244"/>
      <c r="D3" s="234"/>
      <c r="E3" s="234"/>
      <c r="F3" s="234"/>
    </row>
    <row r="4" spans="1:15" x14ac:dyDescent="0.3">
      <c r="A4" s="245" t="s">
        <v>1</v>
      </c>
      <c r="B4" s="246"/>
      <c r="C4" s="246"/>
      <c r="D4" s="236"/>
      <c r="E4" s="236"/>
      <c r="F4" s="236"/>
    </row>
    <row r="5" spans="1:15" x14ac:dyDescent="0.3">
      <c r="A5" s="237" t="s">
        <v>1113</v>
      </c>
      <c r="B5" s="237"/>
      <c r="C5" s="237"/>
      <c r="D5" s="237"/>
      <c r="E5" s="237"/>
      <c r="F5" s="237"/>
    </row>
    <row r="7" spans="1:15" ht="56.25" x14ac:dyDescent="0.3">
      <c r="A7" s="86" t="s">
        <v>118</v>
      </c>
      <c r="B7" s="86" t="s">
        <v>9</v>
      </c>
      <c r="C7" s="87" t="s">
        <v>2</v>
      </c>
      <c r="D7" s="83" t="s">
        <v>3</v>
      </c>
      <c r="E7" s="83" t="s">
        <v>117</v>
      </c>
      <c r="F7" s="83" t="s">
        <v>4</v>
      </c>
      <c r="G7" s="82" t="s">
        <v>9</v>
      </c>
      <c r="H7" s="83" t="s">
        <v>915</v>
      </c>
      <c r="I7" s="84" t="s">
        <v>117</v>
      </c>
      <c r="J7" s="83" t="s">
        <v>4</v>
      </c>
      <c r="K7" s="83" t="s">
        <v>929</v>
      </c>
      <c r="L7" s="87" t="s">
        <v>914</v>
      </c>
      <c r="M7" s="83" t="s">
        <v>927</v>
      </c>
      <c r="N7" s="87" t="s">
        <v>944</v>
      </c>
      <c r="O7" s="83" t="s">
        <v>4</v>
      </c>
    </row>
    <row r="8" spans="1:15" s="8" customFormat="1" ht="15.75" x14ac:dyDescent="0.25">
      <c r="A8" s="15" t="s">
        <v>11</v>
      </c>
      <c r="B8" s="16">
        <v>44652</v>
      </c>
      <c r="C8" s="25" t="s">
        <v>857</v>
      </c>
      <c r="D8" s="14">
        <f>18*30</f>
        <v>540</v>
      </c>
      <c r="E8" s="13">
        <v>850</v>
      </c>
      <c r="F8" s="50">
        <f>+E8*18</f>
        <v>15300</v>
      </c>
      <c r="G8" s="71"/>
      <c r="H8" s="71"/>
      <c r="I8" s="72"/>
      <c r="J8" s="71"/>
      <c r="K8" s="71">
        <f>4+2+2+2+5+4</f>
        <v>19</v>
      </c>
      <c r="L8" s="71">
        <f>+D8+H8-K8</f>
        <v>521</v>
      </c>
      <c r="M8" s="71"/>
      <c r="N8" s="71" t="s">
        <v>945</v>
      </c>
      <c r="O8" s="74">
        <f>+L8*E8</f>
        <v>442850</v>
      </c>
    </row>
    <row r="9" spans="1:15" s="8" customFormat="1" ht="15.75" x14ac:dyDescent="0.25">
      <c r="A9" s="15" t="s">
        <v>120</v>
      </c>
      <c r="B9" s="16">
        <v>44193</v>
      </c>
      <c r="C9" s="25" t="s">
        <v>533</v>
      </c>
      <c r="D9" s="14">
        <v>43</v>
      </c>
      <c r="E9" s="13">
        <v>215</v>
      </c>
      <c r="F9" s="50">
        <f>D9*E9</f>
        <v>9245</v>
      </c>
      <c r="G9" s="71"/>
      <c r="H9" s="71"/>
      <c r="I9" s="72"/>
      <c r="J9" s="71"/>
      <c r="K9" s="71">
        <v>1</v>
      </c>
      <c r="L9" s="71">
        <f t="shared" ref="L9:L72" si="0">+D9+H9-K9</f>
        <v>42</v>
      </c>
      <c r="M9" s="71"/>
      <c r="N9" s="71" t="s">
        <v>946</v>
      </c>
      <c r="O9" s="74">
        <f t="shared" ref="O9:O72" si="1">+L9*E9</f>
        <v>9030</v>
      </c>
    </row>
    <row r="10" spans="1:15" s="8" customFormat="1" ht="15.75" x14ac:dyDescent="0.25">
      <c r="A10" s="15" t="s">
        <v>12</v>
      </c>
      <c r="B10" s="16">
        <v>44453</v>
      </c>
      <c r="C10" s="25" t="s">
        <v>534</v>
      </c>
      <c r="D10" s="14">
        <f>2+9</f>
        <v>11</v>
      </c>
      <c r="E10" s="13">
        <v>1350</v>
      </c>
      <c r="F10" s="50">
        <f>D10*E10</f>
        <v>14850</v>
      </c>
      <c r="G10" s="71"/>
      <c r="H10" s="71"/>
      <c r="I10" s="72"/>
      <c r="J10" s="71"/>
      <c r="K10" s="71"/>
      <c r="L10" s="71">
        <f t="shared" si="0"/>
        <v>11</v>
      </c>
      <c r="M10" s="71"/>
      <c r="N10" s="71" t="s">
        <v>946</v>
      </c>
      <c r="O10" s="74">
        <f t="shared" si="1"/>
        <v>14850</v>
      </c>
    </row>
    <row r="11" spans="1:15" s="8" customFormat="1" ht="15.75" x14ac:dyDescent="0.25">
      <c r="A11" s="15" t="s">
        <v>121</v>
      </c>
      <c r="B11" s="16">
        <v>44193</v>
      </c>
      <c r="C11" s="25" t="s">
        <v>535</v>
      </c>
      <c r="D11" s="30">
        <v>0</v>
      </c>
      <c r="E11" s="13">
        <v>127.12</v>
      </c>
      <c r="F11" s="50">
        <f t="shared" ref="F11:F23" si="2">D11*E11</f>
        <v>0</v>
      </c>
      <c r="G11" s="71"/>
      <c r="H11" s="71"/>
      <c r="I11" s="72"/>
      <c r="J11" s="71"/>
      <c r="K11" s="71"/>
      <c r="L11" s="71">
        <f t="shared" si="0"/>
        <v>0</v>
      </c>
      <c r="M11" s="71"/>
      <c r="N11" s="71" t="s">
        <v>946</v>
      </c>
      <c r="O11" s="74">
        <f t="shared" si="1"/>
        <v>0</v>
      </c>
    </row>
    <row r="12" spans="1:15" s="8" customFormat="1" ht="15.75" x14ac:dyDescent="0.25">
      <c r="A12" s="15" t="s">
        <v>122</v>
      </c>
      <c r="B12" s="16">
        <v>44193</v>
      </c>
      <c r="C12" s="25" t="s">
        <v>838</v>
      </c>
      <c r="D12" s="38">
        <v>1</v>
      </c>
      <c r="E12" s="13">
        <v>30</v>
      </c>
      <c r="F12" s="50">
        <f t="shared" si="2"/>
        <v>30</v>
      </c>
      <c r="G12" s="71"/>
      <c r="H12" s="71"/>
      <c r="I12" s="72"/>
      <c r="J12" s="71"/>
      <c r="K12" s="71"/>
      <c r="L12" s="71">
        <f t="shared" si="0"/>
        <v>1</v>
      </c>
      <c r="M12" s="71"/>
      <c r="N12" s="71" t="s">
        <v>946</v>
      </c>
      <c r="O12" s="74">
        <f t="shared" si="1"/>
        <v>30</v>
      </c>
    </row>
    <row r="13" spans="1:15" s="8" customFormat="1" ht="15.75" x14ac:dyDescent="0.25">
      <c r="A13" s="15" t="s">
        <v>123</v>
      </c>
      <c r="B13" s="16">
        <v>44193</v>
      </c>
      <c r="C13" s="25" t="s">
        <v>840</v>
      </c>
      <c r="D13" s="14">
        <v>10</v>
      </c>
      <c r="E13" s="13">
        <v>11</v>
      </c>
      <c r="F13" s="50">
        <f t="shared" si="2"/>
        <v>110</v>
      </c>
      <c r="G13" s="71"/>
      <c r="H13" s="71"/>
      <c r="I13" s="72"/>
      <c r="J13" s="71"/>
      <c r="K13" s="71"/>
      <c r="L13" s="71">
        <f t="shared" si="0"/>
        <v>10</v>
      </c>
      <c r="M13" s="71"/>
      <c r="N13" s="71" t="s">
        <v>946</v>
      </c>
      <c r="O13" s="74">
        <f t="shared" si="1"/>
        <v>110</v>
      </c>
    </row>
    <row r="14" spans="1:15" s="8" customFormat="1" ht="15.75" x14ac:dyDescent="0.25">
      <c r="A14" s="15" t="s">
        <v>13</v>
      </c>
      <c r="B14" s="16">
        <v>44193</v>
      </c>
      <c r="C14" s="25" t="s">
        <v>536</v>
      </c>
      <c r="D14" s="14">
        <f>49+60+2</f>
        <v>111</v>
      </c>
      <c r="E14" s="13">
        <v>15.84</v>
      </c>
      <c r="F14" s="50">
        <f t="shared" si="2"/>
        <v>1758.24</v>
      </c>
      <c r="G14" s="71"/>
      <c r="H14" s="71"/>
      <c r="I14" s="72"/>
      <c r="J14" s="71"/>
      <c r="K14" s="71"/>
      <c r="L14" s="71">
        <f t="shared" si="0"/>
        <v>111</v>
      </c>
      <c r="M14" s="71"/>
      <c r="N14" s="71" t="s">
        <v>946</v>
      </c>
      <c r="O14" s="74">
        <f t="shared" si="1"/>
        <v>1758.24</v>
      </c>
    </row>
    <row r="15" spans="1:15" s="8" customFormat="1" ht="15.75" x14ac:dyDescent="0.25">
      <c r="A15" s="15" t="s">
        <v>14</v>
      </c>
      <c r="B15" s="16">
        <v>44193</v>
      </c>
      <c r="C15" s="25" t="s">
        <v>537</v>
      </c>
      <c r="D15" s="14">
        <v>52</v>
      </c>
      <c r="E15" s="13">
        <v>22.41</v>
      </c>
      <c r="F15" s="50">
        <f t="shared" si="2"/>
        <v>1165.32</v>
      </c>
      <c r="G15" s="71"/>
      <c r="H15" s="71"/>
      <c r="I15" s="72"/>
      <c r="J15" s="71"/>
      <c r="K15" s="71"/>
      <c r="L15" s="71">
        <f t="shared" si="0"/>
        <v>52</v>
      </c>
      <c r="M15" s="71"/>
      <c r="N15" s="71" t="s">
        <v>946</v>
      </c>
      <c r="O15" s="74">
        <f t="shared" si="1"/>
        <v>1165.32</v>
      </c>
    </row>
    <row r="16" spans="1:15" s="8" customFormat="1" ht="15.75" x14ac:dyDescent="0.25">
      <c r="A16" s="15" t="s">
        <v>15</v>
      </c>
      <c r="B16" s="16">
        <v>44193</v>
      </c>
      <c r="C16" s="25" t="s">
        <v>538</v>
      </c>
      <c r="D16" s="14">
        <v>42</v>
      </c>
      <c r="E16" s="13">
        <v>5.5</v>
      </c>
      <c r="F16" s="50">
        <f t="shared" si="2"/>
        <v>231</v>
      </c>
      <c r="G16" s="71"/>
      <c r="H16" s="71"/>
      <c r="I16" s="72"/>
      <c r="J16" s="71"/>
      <c r="K16" s="71"/>
      <c r="L16" s="71">
        <f t="shared" si="0"/>
        <v>42</v>
      </c>
      <c r="M16" s="71"/>
      <c r="N16" s="71" t="s">
        <v>946</v>
      </c>
      <c r="O16" s="74">
        <f t="shared" si="1"/>
        <v>231</v>
      </c>
    </row>
    <row r="17" spans="1:15" s="8" customFormat="1" ht="15.75" x14ac:dyDescent="0.25">
      <c r="A17" s="15" t="s">
        <v>124</v>
      </c>
      <c r="B17" s="16">
        <v>44193</v>
      </c>
      <c r="C17" s="25" t="s">
        <v>539</v>
      </c>
      <c r="D17" s="14">
        <v>32</v>
      </c>
      <c r="E17" s="13">
        <v>78.099999999999994</v>
      </c>
      <c r="F17" s="50">
        <f t="shared" si="2"/>
        <v>2499.1999999999998</v>
      </c>
      <c r="G17" s="71"/>
      <c r="H17" s="71"/>
      <c r="I17" s="72"/>
      <c r="J17" s="71"/>
      <c r="K17" s="71"/>
      <c r="L17" s="71">
        <f t="shared" si="0"/>
        <v>32</v>
      </c>
      <c r="M17" s="71"/>
      <c r="N17" s="71" t="s">
        <v>946</v>
      </c>
      <c r="O17" s="74">
        <f t="shared" si="1"/>
        <v>2499.1999999999998</v>
      </c>
    </row>
    <row r="18" spans="1:15" s="8" customFormat="1" ht="15.75" x14ac:dyDescent="0.25">
      <c r="A18" s="15" t="s">
        <v>16</v>
      </c>
      <c r="B18" s="16" t="s">
        <v>107</v>
      </c>
      <c r="C18" s="25" t="s">
        <v>540</v>
      </c>
      <c r="D18" s="14">
        <v>131</v>
      </c>
      <c r="E18" s="13">
        <v>5.17</v>
      </c>
      <c r="F18" s="50">
        <f t="shared" si="2"/>
        <v>677.27</v>
      </c>
      <c r="G18" s="71"/>
      <c r="H18" s="71"/>
      <c r="I18" s="72"/>
      <c r="J18" s="71"/>
      <c r="K18" s="71"/>
      <c r="L18" s="71">
        <f t="shared" si="0"/>
        <v>131</v>
      </c>
      <c r="M18" s="71"/>
      <c r="N18" s="71" t="s">
        <v>946</v>
      </c>
      <c r="O18" s="74">
        <f t="shared" si="1"/>
        <v>677.27</v>
      </c>
    </row>
    <row r="19" spans="1:15" s="8" customFormat="1" ht="15.75" x14ac:dyDescent="0.25">
      <c r="A19" s="15" t="s">
        <v>17</v>
      </c>
      <c r="B19" s="16" t="s">
        <v>107</v>
      </c>
      <c r="C19" s="25" t="s">
        <v>541</v>
      </c>
      <c r="D19" s="14">
        <v>10</v>
      </c>
      <c r="E19" s="51">
        <v>15</v>
      </c>
      <c r="F19" s="50">
        <f t="shared" si="2"/>
        <v>150</v>
      </c>
      <c r="G19" s="71"/>
      <c r="H19" s="71"/>
      <c r="I19" s="72"/>
      <c r="J19" s="71"/>
      <c r="K19" s="71"/>
      <c r="L19" s="71">
        <f t="shared" si="0"/>
        <v>10</v>
      </c>
      <c r="M19" s="71"/>
      <c r="N19" s="71" t="s">
        <v>946</v>
      </c>
      <c r="O19" s="74">
        <f t="shared" si="1"/>
        <v>150</v>
      </c>
    </row>
    <row r="20" spans="1:15" s="8" customFormat="1" ht="15.75" x14ac:dyDescent="0.25">
      <c r="A20" s="15" t="s">
        <v>18</v>
      </c>
      <c r="B20" s="16">
        <v>44193</v>
      </c>
      <c r="C20" s="25" t="s">
        <v>542</v>
      </c>
      <c r="D20" s="30">
        <f>4+7+1</f>
        <v>12</v>
      </c>
      <c r="E20" s="13">
        <v>15</v>
      </c>
      <c r="F20" s="50">
        <f t="shared" si="2"/>
        <v>180</v>
      </c>
      <c r="G20" s="71"/>
      <c r="H20" s="71"/>
      <c r="I20" s="72"/>
      <c r="J20" s="71"/>
      <c r="K20" s="71"/>
      <c r="L20" s="71">
        <f t="shared" si="0"/>
        <v>12</v>
      </c>
      <c r="M20" s="71"/>
      <c r="N20" s="71" t="s">
        <v>946</v>
      </c>
      <c r="O20" s="74">
        <f t="shared" si="1"/>
        <v>180</v>
      </c>
    </row>
    <row r="21" spans="1:15" s="8" customFormat="1" ht="15.75" x14ac:dyDescent="0.25">
      <c r="A21" s="15" t="s">
        <v>19</v>
      </c>
      <c r="B21" s="16">
        <v>44193</v>
      </c>
      <c r="C21" s="25" t="s">
        <v>543</v>
      </c>
      <c r="D21" s="30">
        <v>8</v>
      </c>
      <c r="E21" s="22">
        <v>15</v>
      </c>
      <c r="F21" s="50">
        <f t="shared" si="2"/>
        <v>120</v>
      </c>
      <c r="G21" s="71"/>
      <c r="H21" s="71"/>
      <c r="I21" s="72"/>
      <c r="J21" s="71"/>
      <c r="K21" s="71"/>
      <c r="L21" s="71">
        <f t="shared" si="0"/>
        <v>8</v>
      </c>
      <c r="M21" s="71"/>
      <c r="N21" s="71" t="s">
        <v>946</v>
      </c>
      <c r="O21" s="74">
        <f t="shared" si="1"/>
        <v>120</v>
      </c>
    </row>
    <row r="22" spans="1:15" s="8" customFormat="1" ht="15.75" x14ac:dyDescent="0.25">
      <c r="A22" s="15" t="s">
        <v>20</v>
      </c>
      <c r="B22" s="16">
        <v>44193</v>
      </c>
      <c r="C22" s="25" t="s">
        <v>835</v>
      </c>
      <c r="D22" s="30">
        <v>1</v>
      </c>
      <c r="E22" s="22">
        <v>15</v>
      </c>
      <c r="F22" s="50">
        <f t="shared" si="2"/>
        <v>15</v>
      </c>
      <c r="G22" s="71"/>
      <c r="H22" s="71"/>
      <c r="I22" s="72"/>
      <c r="J22" s="71"/>
      <c r="K22" s="71"/>
      <c r="L22" s="71">
        <f t="shared" si="0"/>
        <v>1</v>
      </c>
      <c r="M22" s="71"/>
      <c r="N22" s="71" t="s">
        <v>946</v>
      </c>
      <c r="O22" s="74">
        <f t="shared" si="1"/>
        <v>15</v>
      </c>
    </row>
    <row r="23" spans="1:15" s="8" customFormat="1" ht="15.75" x14ac:dyDescent="0.25">
      <c r="A23" s="15" t="s">
        <v>21</v>
      </c>
      <c r="B23" s="16" t="s">
        <v>107</v>
      </c>
      <c r="C23" s="25" t="s">
        <v>544</v>
      </c>
      <c r="D23" s="30">
        <v>32</v>
      </c>
      <c r="E23" s="51">
        <v>15</v>
      </c>
      <c r="F23" s="50">
        <f t="shared" si="2"/>
        <v>480</v>
      </c>
      <c r="G23" s="71"/>
      <c r="H23" s="71"/>
      <c r="I23" s="72"/>
      <c r="J23" s="71"/>
      <c r="K23" s="71"/>
      <c r="L23" s="71">
        <f t="shared" si="0"/>
        <v>32</v>
      </c>
      <c r="M23" s="71"/>
      <c r="N23" s="71" t="s">
        <v>946</v>
      </c>
      <c r="O23" s="74">
        <f t="shared" si="1"/>
        <v>480</v>
      </c>
    </row>
    <row r="24" spans="1:15" s="8" customFormat="1" ht="15.75" x14ac:dyDescent="0.25">
      <c r="A24" s="15" t="s">
        <v>23</v>
      </c>
      <c r="B24" s="16">
        <v>44193</v>
      </c>
      <c r="C24" s="25" t="s">
        <v>811</v>
      </c>
      <c r="D24" s="30">
        <v>24</v>
      </c>
      <c r="E24" s="51"/>
      <c r="F24" s="50"/>
      <c r="G24" s="71"/>
      <c r="H24" s="71"/>
      <c r="I24" s="72"/>
      <c r="J24" s="71"/>
      <c r="K24" s="71">
        <f>1+3</f>
        <v>4</v>
      </c>
      <c r="L24" s="71">
        <f t="shared" si="0"/>
        <v>20</v>
      </c>
      <c r="M24" s="71"/>
      <c r="N24" s="71" t="s">
        <v>946</v>
      </c>
      <c r="O24" s="74">
        <f t="shared" si="1"/>
        <v>0</v>
      </c>
    </row>
    <row r="25" spans="1:15" s="8" customFormat="1" ht="15.75" x14ac:dyDescent="0.25">
      <c r="A25" s="15" t="s">
        <v>24</v>
      </c>
      <c r="B25" s="16">
        <v>44193</v>
      </c>
      <c r="C25" s="25" t="s">
        <v>809</v>
      </c>
      <c r="D25" s="30">
        <v>12</v>
      </c>
      <c r="E25" s="51"/>
      <c r="F25" s="50"/>
      <c r="G25" s="71"/>
      <c r="H25" s="71"/>
      <c r="I25" s="72"/>
      <c r="J25" s="71"/>
      <c r="K25" s="71"/>
      <c r="L25" s="71">
        <f t="shared" si="0"/>
        <v>12</v>
      </c>
      <c r="M25" s="71"/>
      <c r="N25" s="71" t="s">
        <v>946</v>
      </c>
      <c r="O25" s="74">
        <f t="shared" si="1"/>
        <v>0</v>
      </c>
    </row>
    <row r="26" spans="1:15" s="92" customFormat="1" x14ac:dyDescent="0.3">
      <c r="A26" s="88" t="s">
        <v>110</v>
      </c>
      <c r="B26" s="89">
        <v>44193</v>
      </c>
      <c r="C26" s="93" t="s">
        <v>545</v>
      </c>
      <c r="D26" s="31">
        <v>10</v>
      </c>
      <c r="E26" s="13">
        <v>225</v>
      </c>
      <c r="F26" s="50">
        <f>D26*E26</f>
        <v>2250</v>
      </c>
      <c r="G26" s="71"/>
      <c r="H26" s="71"/>
      <c r="I26" s="72"/>
      <c r="J26" s="71"/>
      <c r="K26" s="71"/>
      <c r="L26" s="91">
        <f t="shared" si="0"/>
        <v>10</v>
      </c>
      <c r="M26" s="71"/>
      <c r="N26" s="91" t="s">
        <v>945</v>
      </c>
      <c r="O26" s="74">
        <f t="shared" si="1"/>
        <v>2250</v>
      </c>
    </row>
    <row r="27" spans="1:15" s="8" customFormat="1" ht="15.75" x14ac:dyDescent="0.25">
      <c r="A27" s="15" t="s">
        <v>125</v>
      </c>
      <c r="B27" s="16">
        <v>44193</v>
      </c>
      <c r="C27" s="25" t="s">
        <v>546</v>
      </c>
      <c r="D27" s="30">
        <v>0</v>
      </c>
      <c r="E27" s="13">
        <v>68</v>
      </c>
      <c r="F27" s="50">
        <f>D27*E27</f>
        <v>0</v>
      </c>
      <c r="G27" s="71"/>
      <c r="H27" s="71"/>
      <c r="I27" s="72"/>
      <c r="J27" s="71"/>
      <c r="K27" s="71"/>
      <c r="L27" s="71">
        <f t="shared" si="0"/>
        <v>0</v>
      </c>
      <c r="M27" s="71"/>
      <c r="N27" s="71" t="s">
        <v>946</v>
      </c>
      <c r="O27" s="74">
        <f t="shared" si="1"/>
        <v>0</v>
      </c>
    </row>
    <row r="28" spans="1:15" s="92" customFormat="1" x14ac:dyDescent="0.3">
      <c r="A28" s="88" t="s">
        <v>25</v>
      </c>
      <c r="B28" s="89">
        <v>44193</v>
      </c>
      <c r="C28" s="90" t="s">
        <v>547</v>
      </c>
      <c r="D28" s="30">
        <v>4</v>
      </c>
      <c r="E28" s="13">
        <v>470</v>
      </c>
      <c r="F28" s="50">
        <f>D28*E28</f>
        <v>1880</v>
      </c>
      <c r="G28" s="71"/>
      <c r="H28" s="71"/>
      <c r="I28" s="72"/>
      <c r="J28" s="71"/>
      <c r="K28" s="71"/>
      <c r="L28" s="91">
        <f t="shared" si="0"/>
        <v>4</v>
      </c>
      <c r="M28" s="71"/>
      <c r="N28" s="91" t="s">
        <v>945</v>
      </c>
      <c r="O28" s="74">
        <f t="shared" si="1"/>
        <v>1880</v>
      </c>
    </row>
    <row r="29" spans="1:15" s="8" customFormat="1" ht="15.75" x14ac:dyDescent="0.25">
      <c r="A29" s="15" t="s">
        <v>126</v>
      </c>
      <c r="B29" s="16" t="s">
        <v>107</v>
      </c>
      <c r="C29" s="26" t="s">
        <v>807</v>
      </c>
      <c r="D29" s="30">
        <v>70</v>
      </c>
      <c r="E29" s="13">
        <v>16.46</v>
      </c>
      <c r="F29" s="50">
        <f>+D29*E29</f>
        <v>1152.2</v>
      </c>
      <c r="G29" s="71"/>
      <c r="H29" s="71"/>
      <c r="I29" s="72"/>
      <c r="J29" s="71"/>
      <c r="K29" s="71"/>
      <c r="L29" s="71">
        <f t="shared" si="0"/>
        <v>70</v>
      </c>
      <c r="M29" s="71"/>
      <c r="N29" s="71" t="s">
        <v>946</v>
      </c>
      <c r="O29" s="74">
        <f t="shared" si="1"/>
        <v>1152.2</v>
      </c>
    </row>
    <row r="30" spans="1:15" s="8" customFormat="1" ht="15.75" x14ac:dyDescent="0.25">
      <c r="A30" s="15" t="s">
        <v>26</v>
      </c>
      <c r="B30" s="16" t="s">
        <v>107</v>
      </c>
      <c r="C30" s="26" t="s">
        <v>549</v>
      </c>
      <c r="D30" s="30">
        <v>0</v>
      </c>
      <c r="E30" s="51">
        <v>6.4</v>
      </c>
      <c r="F30" s="50">
        <f>D30*E30</f>
        <v>0</v>
      </c>
      <c r="G30" s="71"/>
      <c r="H30" s="71"/>
      <c r="I30" s="72"/>
      <c r="J30" s="71"/>
      <c r="K30" s="71"/>
      <c r="L30" s="71">
        <f t="shared" si="0"/>
        <v>0</v>
      </c>
      <c r="M30" s="71"/>
      <c r="N30" s="71" t="s">
        <v>946</v>
      </c>
      <c r="O30" s="74">
        <f t="shared" si="1"/>
        <v>0</v>
      </c>
    </row>
    <row r="31" spans="1:15" s="8" customFormat="1" ht="15.75" x14ac:dyDescent="0.25">
      <c r="A31" s="15" t="s">
        <v>27</v>
      </c>
      <c r="B31" s="16">
        <v>44193</v>
      </c>
      <c r="C31" s="26" t="s">
        <v>550</v>
      </c>
      <c r="D31" s="30">
        <v>0</v>
      </c>
      <c r="E31" s="13">
        <v>105.93</v>
      </c>
      <c r="F31" s="50">
        <f>D31*E31</f>
        <v>0</v>
      </c>
      <c r="G31" s="71"/>
      <c r="H31" s="71"/>
      <c r="I31" s="72"/>
      <c r="J31" s="71"/>
      <c r="K31" s="71"/>
      <c r="L31" s="71">
        <f t="shared" si="0"/>
        <v>0</v>
      </c>
      <c r="M31" s="71"/>
      <c r="N31" s="71" t="s">
        <v>946</v>
      </c>
      <c r="O31" s="74">
        <f t="shared" si="1"/>
        <v>0</v>
      </c>
    </row>
    <row r="32" spans="1:15" s="8" customFormat="1" ht="15.75" x14ac:dyDescent="0.25">
      <c r="A32" s="15" t="s">
        <v>28</v>
      </c>
      <c r="B32" s="16">
        <v>44193</v>
      </c>
      <c r="C32" s="25" t="s">
        <v>806</v>
      </c>
      <c r="D32" s="38">
        <v>2</v>
      </c>
      <c r="E32" s="13">
        <v>160</v>
      </c>
      <c r="F32" s="50">
        <f>D32*E32</f>
        <v>320</v>
      </c>
      <c r="G32" s="71"/>
      <c r="H32" s="71"/>
      <c r="I32" s="72"/>
      <c r="J32" s="71"/>
      <c r="K32" s="71">
        <v>1</v>
      </c>
      <c r="L32" s="71">
        <f t="shared" si="0"/>
        <v>1</v>
      </c>
      <c r="M32" s="71"/>
      <c r="N32" s="71" t="s">
        <v>946</v>
      </c>
      <c r="O32" s="74">
        <f t="shared" si="1"/>
        <v>160</v>
      </c>
    </row>
    <row r="33" spans="1:15" s="92" customFormat="1" x14ac:dyDescent="0.3">
      <c r="A33" s="88" t="s">
        <v>127</v>
      </c>
      <c r="B33" s="89">
        <v>44449</v>
      </c>
      <c r="C33" s="90" t="s">
        <v>551</v>
      </c>
      <c r="D33" s="30">
        <v>9</v>
      </c>
      <c r="E33" s="13">
        <v>600</v>
      </c>
      <c r="F33" s="50">
        <f t="shared" ref="F33:F61" si="3">D33*E33</f>
        <v>5400</v>
      </c>
      <c r="G33" s="71"/>
      <c r="H33" s="71"/>
      <c r="I33" s="72"/>
      <c r="J33" s="71"/>
      <c r="K33" s="71">
        <v>1</v>
      </c>
      <c r="L33" s="91">
        <f t="shared" si="0"/>
        <v>8</v>
      </c>
      <c r="M33" s="71"/>
      <c r="N33" s="91" t="s">
        <v>945</v>
      </c>
      <c r="O33" s="74">
        <f t="shared" si="1"/>
        <v>4800</v>
      </c>
    </row>
    <row r="34" spans="1:15" s="8" customFormat="1" ht="15.75" x14ac:dyDescent="0.25">
      <c r="A34" s="15" t="s">
        <v>29</v>
      </c>
      <c r="B34" s="16">
        <v>44193</v>
      </c>
      <c r="C34" s="9" t="s">
        <v>552</v>
      </c>
      <c r="D34" s="30">
        <f>20+23</f>
        <v>43</v>
      </c>
      <c r="E34" s="13">
        <v>200</v>
      </c>
      <c r="F34" s="50">
        <f t="shared" si="3"/>
        <v>8600</v>
      </c>
      <c r="G34" s="71"/>
      <c r="H34" s="71"/>
      <c r="I34" s="72"/>
      <c r="J34" s="71"/>
      <c r="K34" s="71"/>
      <c r="L34" s="71">
        <f t="shared" si="0"/>
        <v>43</v>
      </c>
      <c r="M34" s="71"/>
      <c r="N34" s="71" t="s">
        <v>947</v>
      </c>
      <c r="O34" s="74">
        <f t="shared" si="1"/>
        <v>8600</v>
      </c>
    </row>
    <row r="35" spans="1:15" s="8" customFormat="1" ht="15.75" x14ac:dyDescent="0.25">
      <c r="A35" s="15" t="s">
        <v>30</v>
      </c>
      <c r="B35" s="16">
        <v>44193</v>
      </c>
      <c r="C35" s="9" t="s">
        <v>553</v>
      </c>
      <c r="D35" s="30">
        <v>9</v>
      </c>
      <c r="E35" s="13">
        <v>200</v>
      </c>
      <c r="F35" s="50">
        <f t="shared" si="3"/>
        <v>1800</v>
      </c>
      <c r="G35" s="71"/>
      <c r="H35" s="71"/>
      <c r="I35" s="72"/>
      <c r="J35" s="71"/>
      <c r="K35" s="71"/>
      <c r="L35" s="71">
        <f t="shared" si="0"/>
        <v>9</v>
      </c>
      <c r="M35" s="71"/>
      <c r="N35" s="71" t="s">
        <v>947</v>
      </c>
      <c r="O35" s="74">
        <f t="shared" si="1"/>
        <v>1800</v>
      </c>
    </row>
    <row r="36" spans="1:15" s="92" customFormat="1" x14ac:dyDescent="0.3">
      <c r="A36" s="88" t="s">
        <v>99</v>
      </c>
      <c r="B36" s="89">
        <v>44193</v>
      </c>
      <c r="C36" s="90" t="s">
        <v>548</v>
      </c>
      <c r="D36" s="30">
        <v>36</v>
      </c>
      <c r="E36" s="13">
        <v>75</v>
      </c>
      <c r="F36" s="50">
        <f t="shared" si="3"/>
        <v>2700</v>
      </c>
      <c r="G36" s="71"/>
      <c r="H36" s="71"/>
      <c r="I36" s="72"/>
      <c r="J36" s="71"/>
      <c r="K36" s="71"/>
      <c r="L36" s="91">
        <f t="shared" si="0"/>
        <v>36</v>
      </c>
      <c r="M36" s="71"/>
      <c r="N36" s="91" t="s">
        <v>945</v>
      </c>
      <c r="O36" s="74">
        <f t="shared" si="1"/>
        <v>2700</v>
      </c>
    </row>
    <row r="37" spans="1:15" s="8" customFormat="1" ht="15.75" x14ac:dyDescent="0.25">
      <c r="A37" s="15" t="s">
        <v>31</v>
      </c>
      <c r="B37" s="16">
        <v>44193</v>
      </c>
      <c r="C37" s="25" t="s">
        <v>554</v>
      </c>
      <c r="D37" s="30">
        <v>0</v>
      </c>
      <c r="E37" s="13">
        <v>4.24</v>
      </c>
      <c r="F37" s="50">
        <f t="shared" si="3"/>
        <v>0</v>
      </c>
      <c r="G37" s="71"/>
      <c r="H37" s="71"/>
      <c r="I37" s="72"/>
      <c r="J37" s="71"/>
      <c r="K37" s="71"/>
      <c r="L37" s="71">
        <f t="shared" si="0"/>
        <v>0</v>
      </c>
      <c r="M37" s="71"/>
      <c r="N37" s="71" t="s">
        <v>946</v>
      </c>
      <c r="O37" s="74">
        <f t="shared" si="1"/>
        <v>0</v>
      </c>
    </row>
    <row r="38" spans="1:15" s="8" customFormat="1" ht="15.75" x14ac:dyDescent="0.25">
      <c r="A38" s="15" t="s">
        <v>32</v>
      </c>
      <c r="B38" s="16">
        <v>44193</v>
      </c>
      <c r="C38" s="25" t="s">
        <v>555</v>
      </c>
      <c r="D38" s="30">
        <v>0</v>
      </c>
      <c r="E38" s="13">
        <v>3.39</v>
      </c>
      <c r="F38" s="50">
        <f t="shared" si="3"/>
        <v>0</v>
      </c>
      <c r="G38" s="71"/>
      <c r="H38" s="71"/>
      <c r="I38" s="72"/>
      <c r="J38" s="71"/>
      <c r="K38" s="71"/>
      <c r="L38" s="71">
        <f t="shared" si="0"/>
        <v>0</v>
      </c>
      <c r="M38" s="71"/>
      <c r="N38" s="71" t="s">
        <v>946</v>
      </c>
      <c r="O38" s="74">
        <f t="shared" si="1"/>
        <v>0</v>
      </c>
    </row>
    <row r="39" spans="1:15" s="8" customFormat="1" ht="15.75" x14ac:dyDescent="0.25">
      <c r="A39" s="15" t="s">
        <v>33</v>
      </c>
      <c r="B39" s="16">
        <v>44193</v>
      </c>
      <c r="C39" s="9" t="s">
        <v>556</v>
      </c>
      <c r="D39" s="30">
        <v>23</v>
      </c>
      <c r="E39" s="13">
        <v>1625</v>
      </c>
      <c r="F39" s="50">
        <f t="shared" si="3"/>
        <v>37375</v>
      </c>
      <c r="G39" s="71"/>
      <c r="H39" s="71"/>
      <c r="I39" s="72"/>
      <c r="J39" s="71"/>
      <c r="K39" s="71"/>
      <c r="L39" s="71">
        <f t="shared" si="0"/>
        <v>23</v>
      </c>
      <c r="M39" s="71"/>
      <c r="N39" s="71" t="s">
        <v>946</v>
      </c>
      <c r="O39" s="74">
        <f>+L39*E39</f>
        <v>37375</v>
      </c>
    </row>
    <row r="40" spans="1:15" s="8" customFormat="1" ht="15.75" x14ac:dyDescent="0.25">
      <c r="A40" s="15" t="s">
        <v>34</v>
      </c>
      <c r="B40" s="16">
        <v>44193</v>
      </c>
      <c r="C40" s="9" t="s">
        <v>557</v>
      </c>
      <c r="D40" s="30">
        <v>0</v>
      </c>
      <c r="E40" s="13">
        <v>1625</v>
      </c>
      <c r="F40" s="50">
        <f t="shared" si="3"/>
        <v>0</v>
      </c>
      <c r="G40" s="71"/>
      <c r="H40" s="71"/>
      <c r="I40" s="72"/>
      <c r="J40" s="71"/>
      <c r="K40" s="71"/>
      <c r="L40" s="71">
        <f t="shared" si="0"/>
        <v>0</v>
      </c>
      <c r="M40" s="71"/>
      <c r="N40" s="71" t="s">
        <v>946</v>
      </c>
      <c r="O40" s="74">
        <f t="shared" si="1"/>
        <v>0</v>
      </c>
    </row>
    <row r="41" spans="1:15" s="8" customFormat="1" ht="15.75" x14ac:dyDescent="0.25">
      <c r="A41" s="15" t="s">
        <v>111</v>
      </c>
      <c r="B41" s="16">
        <v>44193</v>
      </c>
      <c r="C41" s="9" t="s">
        <v>558</v>
      </c>
      <c r="D41" s="30">
        <v>10</v>
      </c>
      <c r="E41" s="13">
        <v>66.3</v>
      </c>
      <c r="F41" s="50">
        <f t="shared" si="3"/>
        <v>663</v>
      </c>
      <c r="G41" s="71"/>
      <c r="H41" s="71"/>
      <c r="I41" s="72"/>
      <c r="J41" s="71"/>
      <c r="K41" s="71">
        <v>1</v>
      </c>
      <c r="L41" s="71">
        <f t="shared" si="0"/>
        <v>9</v>
      </c>
      <c r="M41" s="71"/>
      <c r="N41" s="71" t="s">
        <v>947</v>
      </c>
      <c r="O41" s="74">
        <f t="shared" si="1"/>
        <v>596.69999999999993</v>
      </c>
    </row>
    <row r="42" spans="1:15" s="8" customFormat="1" ht="15.75" x14ac:dyDescent="0.25">
      <c r="A42" s="15" t="s">
        <v>128</v>
      </c>
      <c r="B42" s="16">
        <v>44488</v>
      </c>
      <c r="C42" s="26" t="s">
        <v>560</v>
      </c>
      <c r="D42" s="55">
        <v>13</v>
      </c>
      <c r="E42" s="13">
        <v>40</v>
      </c>
      <c r="F42" s="50">
        <f t="shared" si="3"/>
        <v>520</v>
      </c>
      <c r="G42" s="71"/>
      <c r="H42" s="71"/>
      <c r="I42" s="72"/>
      <c r="J42" s="71"/>
      <c r="K42" s="71"/>
      <c r="L42" s="71">
        <f t="shared" si="0"/>
        <v>13</v>
      </c>
      <c r="M42" s="71"/>
      <c r="N42" s="71" t="s">
        <v>946</v>
      </c>
      <c r="O42" s="74">
        <f t="shared" si="1"/>
        <v>520</v>
      </c>
    </row>
    <row r="43" spans="1:15" s="8" customFormat="1" ht="15.75" x14ac:dyDescent="0.25">
      <c r="A43" s="15" t="s">
        <v>129</v>
      </c>
      <c r="B43" s="16">
        <v>44193</v>
      </c>
      <c r="C43" s="9" t="s">
        <v>772</v>
      </c>
      <c r="D43" s="30">
        <v>23</v>
      </c>
      <c r="E43" s="13">
        <v>2.4</v>
      </c>
      <c r="F43" s="50">
        <f t="shared" si="3"/>
        <v>55.199999999999996</v>
      </c>
      <c r="G43" s="71"/>
      <c r="H43" s="71"/>
      <c r="I43" s="72"/>
      <c r="J43" s="71"/>
      <c r="K43" s="71">
        <f>12+2</f>
        <v>14</v>
      </c>
      <c r="L43" s="71">
        <f t="shared" si="0"/>
        <v>9</v>
      </c>
      <c r="M43" s="71"/>
      <c r="N43" s="71" t="s">
        <v>947</v>
      </c>
      <c r="O43" s="74">
        <f t="shared" si="1"/>
        <v>21.599999999999998</v>
      </c>
    </row>
    <row r="44" spans="1:15" s="8" customFormat="1" ht="15.75" x14ac:dyDescent="0.25">
      <c r="A44" s="15" t="s">
        <v>130</v>
      </c>
      <c r="B44" s="16">
        <v>44193</v>
      </c>
      <c r="C44" s="26" t="s">
        <v>562</v>
      </c>
      <c r="D44" s="32">
        <v>0</v>
      </c>
      <c r="E44" s="13">
        <v>700</v>
      </c>
      <c r="F44" s="50">
        <f t="shared" si="3"/>
        <v>0</v>
      </c>
      <c r="G44" s="71"/>
      <c r="H44" s="71"/>
      <c r="I44" s="72"/>
      <c r="J44" s="71"/>
      <c r="K44" s="71"/>
      <c r="L44" s="71">
        <f t="shared" si="0"/>
        <v>0</v>
      </c>
      <c r="M44" s="71"/>
      <c r="N44" s="71" t="s">
        <v>946</v>
      </c>
      <c r="O44" s="74">
        <f t="shared" si="1"/>
        <v>0</v>
      </c>
    </row>
    <row r="45" spans="1:15" s="8" customFormat="1" ht="15.75" x14ac:dyDescent="0.25">
      <c r="A45" s="15" t="s">
        <v>35</v>
      </c>
      <c r="B45" s="16">
        <v>44193</v>
      </c>
      <c r="C45" s="9" t="s">
        <v>563</v>
      </c>
      <c r="D45" s="30">
        <v>1</v>
      </c>
      <c r="E45" s="13">
        <v>35</v>
      </c>
      <c r="F45" s="50">
        <f t="shared" si="3"/>
        <v>35</v>
      </c>
      <c r="G45" s="71"/>
      <c r="H45" s="71"/>
      <c r="I45" s="72"/>
      <c r="J45" s="71"/>
      <c r="K45" s="71"/>
      <c r="L45" s="71">
        <f t="shared" si="0"/>
        <v>1</v>
      </c>
      <c r="M45" s="71"/>
      <c r="N45" s="71" t="s">
        <v>947</v>
      </c>
      <c r="O45" s="74">
        <f t="shared" si="1"/>
        <v>35</v>
      </c>
    </row>
    <row r="46" spans="1:15" s="92" customFormat="1" x14ac:dyDescent="0.3">
      <c r="A46" s="88" t="s">
        <v>36</v>
      </c>
      <c r="B46" s="89">
        <v>44193</v>
      </c>
      <c r="C46" s="93" t="s">
        <v>564</v>
      </c>
      <c r="D46" s="30">
        <v>0</v>
      </c>
      <c r="E46" s="13">
        <v>2719</v>
      </c>
      <c r="F46" s="50">
        <f t="shared" si="3"/>
        <v>0</v>
      </c>
      <c r="G46" s="71"/>
      <c r="H46" s="71"/>
      <c r="I46" s="72"/>
      <c r="J46" s="71"/>
      <c r="K46" s="71"/>
      <c r="L46" s="91">
        <f t="shared" si="0"/>
        <v>0</v>
      </c>
      <c r="M46" s="71"/>
      <c r="N46" s="91" t="s">
        <v>945</v>
      </c>
      <c r="O46" s="74">
        <f t="shared" si="1"/>
        <v>0</v>
      </c>
    </row>
    <row r="47" spans="1:15" s="8" customFormat="1" ht="15.75" x14ac:dyDescent="0.25">
      <c r="A47" s="15" t="s">
        <v>37</v>
      </c>
      <c r="B47" s="16">
        <v>44193</v>
      </c>
      <c r="C47" s="26" t="s">
        <v>797</v>
      </c>
      <c r="D47" s="30">
        <v>2</v>
      </c>
      <c r="E47" s="13">
        <v>600</v>
      </c>
      <c r="F47" s="50">
        <f t="shared" si="3"/>
        <v>1200</v>
      </c>
      <c r="G47" s="71"/>
      <c r="H47" s="71"/>
      <c r="I47" s="72"/>
      <c r="J47" s="71"/>
      <c r="K47" s="71"/>
      <c r="L47" s="71">
        <f t="shared" si="0"/>
        <v>2</v>
      </c>
      <c r="M47" s="71"/>
      <c r="N47" s="71" t="s">
        <v>946</v>
      </c>
      <c r="O47" s="74">
        <f t="shared" si="1"/>
        <v>1200</v>
      </c>
    </row>
    <row r="48" spans="1:15" s="8" customFormat="1" ht="15.75" x14ac:dyDescent="0.25">
      <c r="A48" s="15" t="s">
        <v>38</v>
      </c>
      <c r="B48" s="16">
        <v>44678</v>
      </c>
      <c r="C48" s="26" t="s">
        <v>565</v>
      </c>
      <c r="D48" s="32">
        <v>5</v>
      </c>
      <c r="E48" s="13">
        <v>1400</v>
      </c>
      <c r="F48" s="50">
        <f t="shared" si="3"/>
        <v>7000</v>
      </c>
      <c r="G48" s="71"/>
      <c r="H48" s="71"/>
      <c r="I48" s="72"/>
      <c r="J48" s="71"/>
      <c r="K48" s="71"/>
      <c r="L48" s="71">
        <f t="shared" si="0"/>
        <v>5</v>
      </c>
      <c r="M48" s="71"/>
      <c r="N48" s="71" t="s">
        <v>946</v>
      </c>
      <c r="O48" s="74">
        <f t="shared" si="1"/>
        <v>7000</v>
      </c>
    </row>
    <row r="49" spans="1:15" s="8" customFormat="1" ht="15.75" x14ac:dyDescent="0.25">
      <c r="A49" s="15" t="s">
        <v>131</v>
      </c>
      <c r="B49" s="16">
        <v>44678</v>
      </c>
      <c r="C49" s="26" t="s">
        <v>567</v>
      </c>
      <c r="D49" s="32">
        <v>10</v>
      </c>
      <c r="E49" s="13">
        <v>500</v>
      </c>
      <c r="F49" s="50">
        <f t="shared" si="3"/>
        <v>5000</v>
      </c>
      <c r="G49" s="71"/>
      <c r="H49" s="71"/>
      <c r="I49" s="72"/>
      <c r="J49" s="71"/>
      <c r="K49" s="71"/>
      <c r="L49" s="71">
        <f t="shared" si="0"/>
        <v>10</v>
      </c>
      <c r="M49" s="71"/>
      <c r="N49" s="71" t="s">
        <v>946</v>
      </c>
      <c r="O49" s="74">
        <f t="shared" si="1"/>
        <v>5000</v>
      </c>
    </row>
    <row r="50" spans="1:15" s="8" customFormat="1" ht="15.75" x14ac:dyDescent="0.25">
      <c r="A50" s="15" t="s">
        <v>39</v>
      </c>
      <c r="B50" s="16">
        <v>44678</v>
      </c>
      <c r="C50" s="26" t="s">
        <v>568</v>
      </c>
      <c r="D50" s="32">
        <v>6</v>
      </c>
      <c r="E50" s="13">
        <v>5000</v>
      </c>
      <c r="F50" s="50">
        <f t="shared" si="3"/>
        <v>30000</v>
      </c>
      <c r="G50" s="71"/>
      <c r="H50" s="71"/>
      <c r="I50" s="72"/>
      <c r="J50" s="71"/>
      <c r="K50" s="71"/>
      <c r="L50" s="71">
        <f t="shared" si="0"/>
        <v>6</v>
      </c>
      <c r="M50" s="71"/>
      <c r="N50" s="71" t="s">
        <v>946</v>
      </c>
      <c r="O50" s="74">
        <f t="shared" si="1"/>
        <v>30000</v>
      </c>
    </row>
    <row r="51" spans="1:15" s="8" customFormat="1" ht="15.75" x14ac:dyDescent="0.25">
      <c r="A51" s="15" t="s">
        <v>40</v>
      </c>
      <c r="B51" s="16">
        <v>44193</v>
      </c>
      <c r="C51" s="26" t="s">
        <v>803</v>
      </c>
      <c r="D51" s="32">
        <v>6</v>
      </c>
      <c r="E51" s="13">
        <v>2600</v>
      </c>
      <c r="F51" s="50">
        <f t="shared" si="3"/>
        <v>15600</v>
      </c>
      <c r="G51" s="71"/>
      <c r="H51" s="71"/>
      <c r="I51" s="72"/>
      <c r="J51" s="71"/>
      <c r="K51" s="71"/>
      <c r="L51" s="71">
        <f t="shared" si="0"/>
        <v>6</v>
      </c>
      <c r="M51" s="71"/>
      <c r="N51" s="71" t="s">
        <v>946</v>
      </c>
      <c r="O51" s="74">
        <f t="shared" si="1"/>
        <v>15600</v>
      </c>
    </row>
    <row r="52" spans="1:15" s="92" customFormat="1" x14ac:dyDescent="0.3">
      <c r="A52" s="88" t="s">
        <v>132</v>
      </c>
      <c r="B52" s="89">
        <v>44193</v>
      </c>
      <c r="C52" s="90" t="s">
        <v>773</v>
      </c>
      <c r="D52" s="14">
        <v>2</v>
      </c>
      <c r="E52" s="13">
        <v>325</v>
      </c>
      <c r="F52" s="50">
        <f t="shared" si="3"/>
        <v>650</v>
      </c>
      <c r="G52" s="71"/>
      <c r="H52" s="71"/>
      <c r="I52" s="72"/>
      <c r="J52" s="71"/>
      <c r="K52" s="71"/>
      <c r="L52" s="91">
        <f t="shared" si="0"/>
        <v>2</v>
      </c>
      <c r="M52" s="71"/>
      <c r="N52" s="91" t="s">
        <v>945</v>
      </c>
      <c r="O52" s="74">
        <f t="shared" si="1"/>
        <v>650</v>
      </c>
    </row>
    <row r="53" spans="1:15" s="92" customFormat="1" x14ac:dyDescent="0.3">
      <c r="A53" s="88" t="s">
        <v>41</v>
      </c>
      <c r="B53" s="89">
        <v>44193</v>
      </c>
      <c r="C53" s="90" t="s">
        <v>570</v>
      </c>
      <c r="D53" s="14">
        <f>(43*3)+1</f>
        <v>130</v>
      </c>
      <c r="E53" s="13">
        <v>25</v>
      </c>
      <c r="F53" s="50">
        <f t="shared" si="3"/>
        <v>3250</v>
      </c>
      <c r="G53" s="71"/>
      <c r="H53" s="71"/>
      <c r="I53" s="72"/>
      <c r="J53" s="71"/>
      <c r="K53" s="71"/>
      <c r="L53" s="91">
        <f t="shared" si="0"/>
        <v>130</v>
      </c>
      <c r="M53" s="71"/>
      <c r="N53" s="91" t="s">
        <v>945</v>
      </c>
      <c r="O53" s="74">
        <f t="shared" si="1"/>
        <v>3250</v>
      </c>
    </row>
    <row r="54" spans="1:15" s="92" customFormat="1" x14ac:dyDescent="0.3">
      <c r="A54" s="88" t="s">
        <v>133</v>
      </c>
      <c r="B54" s="89">
        <v>44677</v>
      </c>
      <c r="C54" s="90" t="s">
        <v>571</v>
      </c>
      <c r="D54" s="14">
        <v>352</v>
      </c>
      <c r="E54" s="13">
        <v>14</v>
      </c>
      <c r="F54" s="50">
        <f t="shared" si="3"/>
        <v>4928</v>
      </c>
      <c r="G54" s="71"/>
      <c r="H54" s="71"/>
      <c r="I54" s="72"/>
      <c r="J54" s="71"/>
      <c r="K54" s="71">
        <f>2+2+1+1+2+2+2+2+10+2+2+6</f>
        <v>34</v>
      </c>
      <c r="L54" s="91">
        <f t="shared" si="0"/>
        <v>318</v>
      </c>
      <c r="M54" s="71"/>
      <c r="N54" s="91" t="s">
        <v>506</v>
      </c>
      <c r="O54" s="74">
        <f t="shared" si="1"/>
        <v>4452</v>
      </c>
    </row>
    <row r="55" spans="1:15" s="8" customFormat="1" ht="15.75" x14ac:dyDescent="0.25">
      <c r="A55" s="15" t="s">
        <v>134</v>
      </c>
      <c r="B55" s="23" t="s">
        <v>106</v>
      </c>
      <c r="C55" s="26" t="s">
        <v>572</v>
      </c>
      <c r="D55" s="32"/>
      <c r="E55" s="51">
        <v>84.75</v>
      </c>
      <c r="F55" s="50">
        <f t="shared" si="3"/>
        <v>0</v>
      </c>
      <c r="G55" s="71"/>
      <c r="H55" s="71"/>
      <c r="I55" s="72"/>
      <c r="J55" s="71"/>
      <c r="K55" s="71" t="s">
        <v>506</v>
      </c>
      <c r="L55" s="71"/>
      <c r="M55" s="71"/>
      <c r="N55" s="71" t="s">
        <v>946</v>
      </c>
      <c r="O55" s="74">
        <f>+L55*E55</f>
        <v>0</v>
      </c>
    </row>
    <row r="56" spans="1:15" s="8" customFormat="1" ht="15.75" x14ac:dyDescent="0.25">
      <c r="A56" s="15" t="s">
        <v>42</v>
      </c>
      <c r="B56" s="16">
        <v>44193</v>
      </c>
      <c r="C56" s="26" t="s">
        <v>573</v>
      </c>
      <c r="D56" s="32"/>
      <c r="E56" s="13">
        <v>169.49</v>
      </c>
      <c r="F56" s="50">
        <f t="shared" si="3"/>
        <v>0</v>
      </c>
      <c r="G56" s="71"/>
      <c r="H56" s="71"/>
      <c r="I56" s="72"/>
      <c r="J56" s="71"/>
      <c r="K56" s="71"/>
      <c r="L56" s="71">
        <f t="shared" si="0"/>
        <v>0</v>
      </c>
      <c r="M56" s="71"/>
      <c r="N56" s="71" t="s">
        <v>946</v>
      </c>
      <c r="O56" s="74">
        <f t="shared" si="1"/>
        <v>0</v>
      </c>
    </row>
    <row r="57" spans="1:15" s="8" customFormat="1" ht="15.75" x14ac:dyDescent="0.25">
      <c r="A57" s="15" t="s">
        <v>109</v>
      </c>
      <c r="B57" s="16">
        <v>44193</v>
      </c>
      <c r="C57" s="25" t="s">
        <v>574</v>
      </c>
      <c r="D57" s="14"/>
      <c r="E57" s="13">
        <v>76.27</v>
      </c>
      <c r="F57" s="50">
        <f t="shared" si="3"/>
        <v>0</v>
      </c>
      <c r="G57" s="71"/>
      <c r="H57" s="71"/>
      <c r="I57" s="72"/>
      <c r="J57" s="71"/>
      <c r="K57" s="71"/>
      <c r="L57" s="71">
        <f t="shared" si="0"/>
        <v>0</v>
      </c>
      <c r="M57" s="71"/>
      <c r="N57" s="71" t="s">
        <v>946</v>
      </c>
      <c r="O57" s="74">
        <f t="shared" si="1"/>
        <v>0</v>
      </c>
    </row>
    <row r="58" spans="1:15" s="8" customFormat="1" ht="15.75" x14ac:dyDescent="0.25">
      <c r="A58" s="15" t="s">
        <v>135</v>
      </c>
      <c r="B58" s="16">
        <v>44193</v>
      </c>
      <c r="C58" s="25" t="s">
        <v>575</v>
      </c>
      <c r="D58" s="14"/>
      <c r="E58" s="13">
        <v>93.22</v>
      </c>
      <c r="F58" s="50">
        <f t="shared" si="3"/>
        <v>0</v>
      </c>
      <c r="G58" s="71"/>
      <c r="H58" s="71"/>
      <c r="I58" s="72"/>
      <c r="J58" s="71"/>
      <c r="K58" s="71"/>
      <c r="L58" s="71">
        <f t="shared" si="0"/>
        <v>0</v>
      </c>
      <c r="M58" s="71"/>
      <c r="N58" s="71" t="s">
        <v>946</v>
      </c>
      <c r="O58" s="74">
        <f t="shared" si="1"/>
        <v>0</v>
      </c>
    </row>
    <row r="59" spans="1:15" s="8" customFormat="1" ht="15.75" x14ac:dyDescent="0.25">
      <c r="A59" s="15" t="s">
        <v>43</v>
      </c>
      <c r="B59" s="16">
        <v>44193</v>
      </c>
      <c r="C59" s="26" t="s">
        <v>576</v>
      </c>
      <c r="D59" s="32"/>
      <c r="E59" s="13">
        <v>122.8</v>
      </c>
      <c r="F59" s="50">
        <f t="shared" si="3"/>
        <v>0</v>
      </c>
      <c r="G59" s="71"/>
      <c r="H59" s="71"/>
      <c r="I59" s="72"/>
      <c r="J59" s="71"/>
      <c r="K59" s="71"/>
      <c r="L59" s="71">
        <f t="shared" si="0"/>
        <v>0</v>
      </c>
      <c r="M59" s="71"/>
      <c r="N59" s="71" t="s">
        <v>946</v>
      </c>
      <c r="O59" s="74">
        <f t="shared" si="1"/>
        <v>0</v>
      </c>
    </row>
    <row r="60" spans="1:15" s="8" customFormat="1" ht="15.75" x14ac:dyDescent="0.25">
      <c r="A60" s="15" t="s">
        <v>45</v>
      </c>
      <c r="B60" s="16">
        <v>44453</v>
      </c>
      <c r="C60" s="9" t="s">
        <v>577</v>
      </c>
      <c r="D60" s="48">
        <v>0</v>
      </c>
      <c r="E60" s="13">
        <v>3000</v>
      </c>
      <c r="F60" s="50">
        <f t="shared" si="3"/>
        <v>0</v>
      </c>
      <c r="G60" s="71"/>
      <c r="H60" s="71"/>
      <c r="I60" s="72"/>
      <c r="J60" s="71"/>
      <c r="K60" s="71"/>
      <c r="L60" s="71">
        <f t="shared" si="0"/>
        <v>0</v>
      </c>
      <c r="M60" s="71"/>
      <c r="N60" s="71" t="s">
        <v>946</v>
      </c>
      <c r="O60" s="74">
        <f t="shared" si="1"/>
        <v>0</v>
      </c>
    </row>
    <row r="61" spans="1:15" s="8" customFormat="1" ht="15.75" x14ac:dyDescent="0.25">
      <c r="A61" s="15" t="s">
        <v>46</v>
      </c>
      <c r="B61" s="16">
        <v>44193</v>
      </c>
      <c r="C61" s="26" t="s">
        <v>578</v>
      </c>
      <c r="D61" s="32">
        <v>0</v>
      </c>
      <c r="E61" s="13">
        <v>63.56</v>
      </c>
      <c r="F61" s="50">
        <f t="shared" si="3"/>
        <v>0</v>
      </c>
      <c r="G61" s="71"/>
      <c r="H61" s="71"/>
      <c r="I61" s="72"/>
      <c r="J61" s="71"/>
      <c r="K61" s="71"/>
      <c r="L61" s="71">
        <f t="shared" si="0"/>
        <v>0</v>
      </c>
      <c r="M61" s="71"/>
      <c r="N61" s="71" t="s">
        <v>946</v>
      </c>
      <c r="O61" s="74">
        <f t="shared" si="1"/>
        <v>0</v>
      </c>
    </row>
    <row r="62" spans="1:15" s="8" customFormat="1" ht="15.75" x14ac:dyDescent="0.25">
      <c r="A62" s="15" t="s">
        <v>47</v>
      </c>
      <c r="B62" s="16">
        <v>44193</v>
      </c>
      <c r="C62" s="26" t="s">
        <v>819</v>
      </c>
      <c r="D62" s="32">
        <v>2</v>
      </c>
      <c r="E62" s="13"/>
      <c r="F62" s="50"/>
      <c r="G62" s="71"/>
      <c r="H62" s="71"/>
      <c r="I62" s="72"/>
      <c r="J62" s="71"/>
      <c r="K62" s="71"/>
      <c r="L62" s="71">
        <f t="shared" si="0"/>
        <v>2</v>
      </c>
      <c r="M62" s="71"/>
      <c r="N62" s="71" t="s">
        <v>946</v>
      </c>
      <c r="O62" s="74">
        <f t="shared" si="1"/>
        <v>0</v>
      </c>
    </row>
    <row r="63" spans="1:15" s="8" customFormat="1" ht="15.75" x14ac:dyDescent="0.25">
      <c r="A63" s="15" t="s">
        <v>48</v>
      </c>
      <c r="B63" s="16">
        <v>44193</v>
      </c>
      <c r="C63" s="26" t="s">
        <v>817</v>
      </c>
      <c r="D63" s="32">
        <v>7</v>
      </c>
      <c r="E63" s="13"/>
      <c r="F63" s="50"/>
      <c r="G63" s="71"/>
      <c r="H63" s="71"/>
      <c r="I63" s="72"/>
      <c r="J63" s="71"/>
      <c r="K63" s="71"/>
      <c r="L63" s="71">
        <f t="shared" si="0"/>
        <v>7</v>
      </c>
      <c r="M63" s="71"/>
      <c r="N63" s="71" t="s">
        <v>946</v>
      </c>
      <c r="O63" s="74">
        <f t="shared" si="1"/>
        <v>0</v>
      </c>
    </row>
    <row r="64" spans="1:15" s="8" customFormat="1" ht="15.75" x14ac:dyDescent="0.25">
      <c r="A64" s="15" t="s">
        <v>49</v>
      </c>
      <c r="B64" s="16">
        <v>44193</v>
      </c>
      <c r="C64" s="26" t="s">
        <v>818</v>
      </c>
      <c r="D64" s="32">
        <v>8</v>
      </c>
      <c r="E64" s="13"/>
      <c r="F64" s="50"/>
      <c r="G64" s="71"/>
      <c r="H64" s="71"/>
      <c r="I64" s="72"/>
      <c r="J64" s="71"/>
      <c r="K64" s="71"/>
      <c r="L64" s="71">
        <f t="shared" si="0"/>
        <v>8</v>
      </c>
      <c r="M64" s="71"/>
      <c r="N64" s="71" t="s">
        <v>946</v>
      </c>
      <c r="O64" s="74">
        <f t="shared" si="1"/>
        <v>0</v>
      </c>
    </row>
    <row r="65" spans="1:15" s="8" customFormat="1" ht="15.75" x14ac:dyDescent="0.25">
      <c r="A65" s="15" t="s">
        <v>50</v>
      </c>
      <c r="B65" s="23" t="s">
        <v>116</v>
      </c>
      <c r="C65" s="25" t="s">
        <v>720</v>
      </c>
      <c r="D65" s="32">
        <v>1</v>
      </c>
      <c r="E65" s="51">
        <v>3000</v>
      </c>
      <c r="F65" s="50">
        <f>D65*E65</f>
        <v>3000</v>
      </c>
      <c r="G65" s="71"/>
      <c r="H65" s="71"/>
      <c r="I65" s="72"/>
      <c r="J65" s="71"/>
      <c r="K65" s="71"/>
      <c r="L65" s="71">
        <f t="shared" si="0"/>
        <v>1</v>
      </c>
      <c r="M65" s="71"/>
      <c r="N65" s="71" t="s">
        <v>947</v>
      </c>
      <c r="O65" s="74">
        <f t="shared" si="1"/>
        <v>3000</v>
      </c>
    </row>
    <row r="66" spans="1:15" s="8" customFormat="1" ht="15.75" x14ac:dyDescent="0.25">
      <c r="A66" s="15" t="s">
        <v>51</v>
      </c>
      <c r="B66" s="16">
        <v>44193</v>
      </c>
      <c r="C66" s="26" t="s">
        <v>579</v>
      </c>
      <c r="D66" s="32">
        <v>0</v>
      </c>
      <c r="E66" s="13">
        <v>35</v>
      </c>
      <c r="F66" s="50">
        <f t="shared" ref="F66:F87" si="4">D66*E66</f>
        <v>0</v>
      </c>
      <c r="G66" s="71"/>
      <c r="H66" s="71"/>
      <c r="I66" s="72"/>
      <c r="J66" s="71"/>
      <c r="K66" s="71"/>
      <c r="L66" s="71">
        <f t="shared" si="0"/>
        <v>0</v>
      </c>
      <c r="M66" s="71"/>
      <c r="N66" s="71" t="s">
        <v>946</v>
      </c>
      <c r="O66" s="74">
        <f t="shared" si="1"/>
        <v>0</v>
      </c>
    </row>
    <row r="67" spans="1:15" s="8" customFormat="1" ht="15.75" x14ac:dyDescent="0.25">
      <c r="A67" s="15" t="s">
        <v>52</v>
      </c>
      <c r="B67" s="16">
        <v>44193</v>
      </c>
      <c r="C67" s="25" t="s">
        <v>794</v>
      </c>
      <c r="D67" s="38">
        <v>1</v>
      </c>
      <c r="E67" s="13">
        <v>97.96</v>
      </c>
      <c r="F67" s="50">
        <f t="shared" si="4"/>
        <v>97.96</v>
      </c>
      <c r="G67" s="71"/>
      <c r="H67" s="71"/>
      <c r="I67" s="72"/>
      <c r="J67" s="71"/>
      <c r="K67" s="71"/>
      <c r="L67" s="71">
        <f t="shared" si="0"/>
        <v>1</v>
      </c>
      <c r="M67" s="71"/>
      <c r="N67" s="71" t="s">
        <v>946</v>
      </c>
      <c r="O67" s="74">
        <f t="shared" si="1"/>
        <v>97.96</v>
      </c>
    </row>
    <row r="68" spans="1:15" s="8" customFormat="1" ht="15.75" x14ac:dyDescent="0.25">
      <c r="A68" s="15" t="s">
        <v>53</v>
      </c>
      <c r="B68" s="16">
        <v>44193</v>
      </c>
      <c r="C68" s="9" t="s">
        <v>580</v>
      </c>
      <c r="D68" s="58">
        <v>22</v>
      </c>
      <c r="E68" s="13">
        <v>18</v>
      </c>
      <c r="F68" s="50">
        <f t="shared" si="4"/>
        <v>396</v>
      </c>
      <c r="G68" s="71"/>
      <c r="H68" s="71"/>
      <c r="I68" s="72"/>
      <c r="J68" s="71"/>
      <c r="K68" s="71"/>
      <c r="L68" s="71">
        <f t="shared" si="0"/>
        <v>22</v>
      </c>
      <c r="M68" s="71"/>
      <c r="N68" s="71" t="s">
        <v>947</v>
      </c>
      <c r="O68" s="74">
        <f t="shared" si="1"/>
        <v>396</v>
      </c>
    </row>
    <row r="69" spans="1:15" s="8" customFormat="1" ht="15.75" x14ac:dyDescent="0.25">
      <c r="A69" s="15" t="s">
        <v>44</v>
      </c>
      <c r="B69" s="16">
        <v>44193</v>
      </c>
      <c r="C69" s="9" t="s">
        <v>581</v>
      </c>
      <c r="D69" s="48">
        <v>0</v>
      </c>
      <c r="E69" s="13">
        <v>114</v>
      </c>
      <c r="F69" s="50">
        <f t="shared" si="4"/>
        <v>0</v>
      </c>
      <c r="G69" s="71"/>
      <c r="H69" s="71"/>
      <c r="I69" s="72"/>
      <c r="J69" s="71"/>
      <c r="K69" s="71"/>
      <c r="L69" s="71">
        <f t="shared" si="0"/>
        <v>0</v>
      </c>
      <c r="M69" s="71"/>
      <c r="N69" s="71" t="s">
        <v>947</v>
      </c>
      <c r="O69" s="74">
        <f>+L69*E69</f>
        <v>0</v>
      </c>
    </row>
    <row r="70" spans="1:15" s="8" customFormat="1" ht="15.75" x14ac:dyDescent="0.25">
      <c r="A70" s="15" t="s">
        <v>113</v>
      </c>
      <c r="B70" s="16">
        <v>44193</v>
      </c>
      <c r="C70" s="9" t="s">
        <v>582</v>
      </c>
      <c r="D70" s="48">
        <v>50</v>
      </c>
      <c r="E70" s="13">
        <v>150</v>
      </c>
      <c r="F70" s="50">
        <f t="shared" si="4"/>
        <v>7500</v>
      </c>
      <c r="G70" s="71"/>
      <c r="H70" s="71"/>
      <c r="I70" s="72"/>
      <c r="J70" s="71"/>
      <c r="K70" s="71"/>
      <c r="L70" s="71">
        <f t="shared" si="0"/>
        <v>50</v>
      </c>
      <c r="M70" s="71"/>
      <c r="N70" s="71" t="s">
        <v>947</v>
      </c>
      <c r="O70" s="74">
        <f t="shared" si="1"/>
        <v>7500</v>
      </c>
    </row>
    <row r="71" spans="1:15" s="8" customFormat="1" ht="15.75" x14ac:dyDescent="0.25">
      <c r="A71" s="15" t="s">
        <v>136</v>
      </c>
      <c r="B71" s="16">
        <v>44193</v>
      </c>
      <c r="C71" s="26" t="s">
        <v>583</v>
      </c>
      <c r="D71" s="14">
        <v>0</v>
      </c>
      <c r="E71" s="13">
        <v>105.93</v>
      </c>
      <c r="F71" s="50">
        <f t="shared" si="4"/>
        <v>0</v>
      </c>
      <c r="G71" s="71"/>
      <c r="H71" s="71"/>
      <c r="I71" s="72"/>
      <c r="J71" s="71"/>
      <c r="K71" s="71"/>
      <c r="L71" s="71">
        <f t="shared" si="0"/>
        <v>0</v>
      </c>
      <c r="M71" s="71"/>
      <c r="N71" s="71" t="s">
        <v>946</v>
      </c>
      <c r="O71" s="74">
        <f t="shared" si="1"/>
        <v>0</v>
      </c>
    </row>
    <row r="72" spans="1:15" s="8" customFormat="1" ht="15.75" x14ac:dyDescent="0.25">
      <c r="A72" s="15" t="s">
        <v>137</v>
      </c>
      <c r="B72" s="16">
        <v>44193</v>
      </c>
      <c r="C72" s="26" t="s">
        <v>584</v>
      </c>
      <c r="D72" s="14">
        <v>1</v>
      </c>
      <c r="E72" s="13">
        <v>762.71</v>
      </c>
      <c r="F72" s="50">
        <f t="shared" si="4"/>
        <v>762.71</v>
      </c>
      <c r="G72" s="71"/>
      <c r="H72" s="71"/>
      <c r="I72" s="72"/>
      <c r="J72" s="71"/>
      <c r="K72" s="71"/>
      <c r="L72" s="71">
        <f t="shared" si="0"/>
        <v>1</v>
      </c>
      <c r="M72" s="71"/>
      <c r="N72" s="71" t="s">
        <v>946</v>
      </c>
      <c r="O72" s="74">
        <f t="shared" si="1"/>
        <v>762.71</v>
      </c>
    </row>
    <row r="73" spans="1:15" s="8" customFormat="1" ht="15.75" x14ac:dyDescent="0.25">
      <c r="A73" s="15" t="s">
        <v>138</v>
      </c>
      <c r="B73" s="16">
        <v>44193</v>
      </c>
      <c r="C73" s="26" t="s">
        <v>585</v>
      </c>
      <c r="D73" s="14">
        <v>0</v>
      </c>
      <c r="E73" s="13">
        <v>338.98</v>
      </c>
      <c r="F73" s="50">
        <f t="shared" si="4"/>
        <v>0</v>
      </c>
      <c r="G73" s="71"/>
      <c r="H73" s="71"/>
      <c r="I73" s="72"/>
      <c r="J73" s="71"/>
      <c r="K73" s="71"/>
      <c r="L73" s="71">
        <f t="shared" ref="L73:L136" si="5">+D73+H73-K73</f>
        <v>0</v>
      </c>
      <c r="M73" s="71"/>
      <c r="N73" s="71" t="s">
        <v>946</v>
      </c>
      <c r="O73" s="74">
        <f t="shared" ref="O73:O84" si="6">+L73*E73</f>
        <v>0</v>
      </c>
    </row>
    <row r="74" spans="1:15" s="8" customFormat="1" ht="15.75" x14ac:dyDescent="0.25">
      <c r="A74" s="15" t="s">
        <v>54</v>
      </c>
      <c r="B74" s="16">
        <v>44193</v>
      </c>
      <c r="C74" s="9" t="s">
        <v>586</v>
      </c>
      <c r="D74" s="30">
        <v>8</v>
      </c>
      <c r="E74" s="13">
        <v>17.07</v>
      </c>
      <c r="F74" s="50">
        <f t="shared" si="4"/>
        <v>136.56</v>
      </c>
      <c r="G74" s="71"/>
      <c r="H74" s="71"/>
      <c r="I74" s="72"/>
      <c r="J74" s="71"/>
      <c r="K74" s="71"/>
      <c r="L74" s="71">
        <f t="shared" si="5"/>
        <v>8</v>
      </c>
      <c r="M74" s="71"/>
      <c r="N74" s="71" t="s">
        <v>947</v>
      </c>
      <c r="O74" s="74">
        <f t="shared" si="6"/>
        <v>136.56</v>
      </c>
    </row>
    <row r="75" spans="1:15" s="92" customFormat="1" x14ac:dyDescent="0.3">
      <c r="A75" s="88" t="s">
        <v>55</v>
      </c>
      <c r="B75" s="89">
        <v>44193</v>
      </c>
      <c r="C75" s="94" t="s">
        <v>587</v>
      </c>
      <c r="D75" s="30">
        <v>129</v>
      </c>
      <c r="E75" s="13">
        <v>134</v>
      </c>
      <c r="F75" s="50">
        <f t="shared" si="4"/>
        <v>17286</v>
      </c>
      <c r="G75" s="71"/>
      <c r="H75" s="71"/>
      <c r="I75" s="72"/>
      <c r="J75" s="71"/>
      <c r="K75" s="71">
        <f>1+2+2+1</f>
        <v>6</v>
      </c>
      <c r="L75" s="71">
        <f t="shared" si="5"/>
        <v>123</v>
      </c>
      <c r="M75" s="71"/>
      <c r="N75" s="91" t="s">
        <v>945</v>
      </c>
      <c r="O75" s="74">
        <f t="shared" si="6"/>
        <v>16482</v>
      </c>
    </row>
    <row r="76" spans="1:15" s="92" customFormat="1" x14ac:dyDescent="0.3">
      <c r="A76" s="88" t="s">
        <v>56</v>
      </c>
      <c r="B76" s="95" t="s">
        <v>106</v>
      </c>
      <c r="C76" s="94" t="s">
        <v>774</v>
      </c>
      <c r="D76" s="30">
        <v>67</v>
      </c>
      <c r="E76" s="51">
        <v>50</v>
      </c>
      <c r="F76" s="50">
        <f t="shared" si="4"/>
        <v>3350</v>
      </c>
      <c r="G76" s="71"/>
      <c r="H76" s="71"/>
      <c r="I76" s="72"/>
      <c r="J76" s="71"/>
      <c r="K76" s="71">
        <f>2+4+1+2+1</f>
        <v>10</v>
      </c>
      <c r="L76" s="71">
        <f t="shared" si="5"/>
        <v>57</v>
      </c>
      <c r="M76" s="71"/>
      <c r="N76" s="91" t="s">
        <v>945</v>
      </c>
      <c r="O76" s="74">
        <f t="shared" si="6"/>
        <v>2850</v>
      </c>
    </row>
    <row r="77" spans="1:15" s="92" customFormat="1" x14ac:dyDescent="0.3">
      <c r="A77" s="88" t="s">
        <v>100</v>
      </c>
      <c r="B77" s="89">
        <v>44488</v>
      </c>
      <c r="C77" s="94" t="s">
        <v>589</v>
      </c>
      <c r="D77" s="30">
        <v>3</v>
      </c>
      <c r="E77" s="13">
        <v>2200</v>
      </c>
      <c r="F77" s="50">
        <f t="shared" si="4"/>
        <v>6600</v>
      </c>
      <c r="G77" s="71"/>
      <c r="H77" s="71"/>
      <c r="I77" s="72"/>
      <c r="J77" s="71"/>
      <c r="K77" s="71"/>
      <c r="L77" s="91">
        <f t="shared" si="5"/>
        <v>3</v>
      </c>
      <c r="M77" s="71"/>
      <c r="N77" s="91" t="s">
        <v>945</v>
      </c>
      <c r="O77" s="74">
        <f t="shared" si="6"/>
        <v>6600</v>
      </c>
    </row>
    <row r="78" spans="1:15" s="8" customFormat="1" ht="15.75" x14ac:dyDescent="0.25">
      <c r="A78" s="15" t="s">
        <v>57</v>
      </c>
      <c r="B78" s="16">
        <v>44193</v>
      </c>
      <c r="C78" s="9" t="s">
        <v>590</v>
      </c>
      <c r="D78" s="30">
        <v>0</v>
      </c>
      <c r="E78" s="13">
        <v>402.54</v>
      </c>
      <c r="F78" s="50">
        <f t="shared" si="4"/>
        <v>0</v>
      </c>
      <c r="G78" s="71"/>
      <c r="H78" s="71"/>
      <c r="I78" s="72"/>
      <c r="J78" s="71"/>
      <c r="K78" s="71"/>
      <c r="L78" s="71">
        <f t="shared" si="5"/>
        <v>0</v>
      </c>
      <c r="M78" s="71"/>
      <c r="N78" s="71" t="s">
        <v>946</v>
      </c>
      <c r="O78" s="74">
        <f t="shared" si="6"/>
        <v>0</v>
      </c>
    </row>
    <row r="79" spans="1:15" s="8" customFormat="1" ht="15.75" x14ac:dyDescent="0.25">
      <c r="A79" s="15" t="s">
        <v>139</v>
      </c>
      <c r="B79" s="16">
        <v>44193</v>
      </c>
      <c r="C79" s="9" t="s">
        <v>591</v>
      </c>
      <c r="D79" s="30">
        <v>11</v>
      </c>
      <c r="E79" s="13">
        <v>37.74</v>
      </c>
      <c r="F79" s="50">
        <f t="shared" si="4"/>
        <v>415.14000000000004</v>
      </c>
      <c r="G79" s="71"/>
      <c r="H79" s="71"/>
      <c r="I79" s="72"/>
      <c r="J79" s="71"/>
      <c r="K79" s="71"/>
      <c r="L79" s="71">
        <f t="shared" si="5"/>
        <v>11</v>
      </c>
      <c r="M79" s="71"/>
      <c r="N79" s="71" t="s">
        <v>946</v>
      </c>
      <c r="O79" s="74">
        <f t="shared" si="6"/>
        <v>415.14000000000004</v>
      </c>
    </row>
    <row r="80" spans="1:15" s="8" customFormat="1" ht="15.75" x14ac:dyDescent="0.25">
      <c r="A80" s="15" t="s">
        <v>140</v>
      </c>
      <c r="B80" s="16">
        <v>44193</v>
      </c>
      <c r="C80" s="9" t="s">
        <v>592</v>
      </c>
      <c r="D80" s="30">
        <v>0</v>
      </c>
      <c r="E80" s="13">
        <v>55</v>
      </c>
      <c r="F80" s="50">
        <f t="shared" si="4"/>
        <v>0</v>
      </c>
      <c r="G80" s="71"/>
      <c r="H80" s="71"/>
      <c r="I80" s="72"/>
      <c r="J80" s="71"/>
      <c r="K80" s="71"/>
      <c r="L80" s="71">
        <f t="shared" si="5"/>
        <v>0</v>
      </c>
      <c r="M80" s="71"/>
      <c r="N80" s="71" t="s">
        <v>947</v>
      </c>
      <c r="O80" s="74">
        <f t="shared" si="6"/>
        <v>0</v>
      </c>
    </row>
    <row r="81" spans="1:15" s="8" customFormat="1" ht="15.75" x14ac:dyDescent="0.25">
      <c r="A81" s="15" t="s">
        <v>141</v>
      </c>
      <c r="B81" s="16">
        <v>44193</v>
      </c>
      <c r="C81" s="9" t="s">
        <v>593</v>
      </c>
      <c r="D81" s="30">
        <v>6</v>
      </c>
      <c r="E81" s="13">
        <v>4740</v>
      </c>
      <c r="F81" s="50">
        <f t="shared" si="4"/>
        <v>28440</v>
      </c>
      <c r="G81" s="71"/>
      <c r="H81" s="71"/>
      <c r="I81" s="72"/>
      <c r="J81" s="71"/>
      <c r="K81" s="71"/>
      <c r="L81" s="71">
        <f t="shared" si="5"/>
        <v>6</v>
      </c>
      <c r="M81" s="71"/>
      <c r="N81" s="71" t="s">
        <v>947</v>
      </c>
      <c r="O81" s="74">
        <f t="shared" si="6"/>
        <v>28440</v>
      </c>
    </row>
    <row r="82" spans="1:15" s="8" customFormat="1" ht="15.75" x14ac:dyDescent="0.25">
      <c r="A82" s="15" t="s">
        <v>58</v>
      </c>
      <c r="B82" s="16">
        <v>44193</v>
      </c>
      <c r="C82" s="9" t="s">
        <v>594</v>
      </c>
      <c r="D82" s="30">
        <v>1</v>
      </c>
      <c r="E82" s="13">
        <v>2535</v>
      </c>
      <c r="F82" s="50">
        <f t="shared" si="4"/>
        <v>2535</v>
      </c>
      <c r="G82" s="71"/>
      <c r="H82" s="71"/>
      <c r="I82" s="72"/>
      <c r="J82" s="71"/>
      <c r="K82" s="71"/>
      <c r="L82" s="71">
        <f t="shared" si="5"/>
        <v>1</v>
      </c>
      <c r="M82" s="71"/>
      <c r="N82" s="71" t="s">
        <v>947</v>
      </c>
      <c r="O82" s="74">
        <f t="shared" si="6"/>
        <v>2535</v>
      </c>
    </row>
    <row r="83" spans="1:15" s="8" customFormat="1" ht="15.75" x14ac:dyDescent="0.25">
      <c r="A83" s="15" t="s">
        <v>59</v>
      </c>
      <c r="B83" s="16">
        <v>44193</v>
      </c>
      <c r="C83" s="9" t="s">
        <v>595</v>
      </c>
      <c r="D83" s="30">
        <v>0</v>
      </c>
      <c r="E83" s="13">
        <v>211.86</v>
      </c>
      <c r="F83" s="50">
        <f t="shared" si="4"/>
        <v>0</v>
      </c>
      <c r="G83" s="71"/>
      <c r="H83" s="71"/>
      <c r="I83" s="72"/>
      <c r="J83" s="71"/>
      <c r="K83" s="71"/>
      <c r="L83" s="71">
        <f t="shared" si="5"/>
        <v>0</v>
      </c>
      <c r="M83" s="71"/>
      <c r="N83" s="71" t="s">
        <v>947</v>
      </c>
      <c r="O83" s="74">
        <f t="shared" si="6"/>
        <v>0</v>
      </c>
    </row>
    <row r="84" spans="1:15" s="8" customFormat="1" ht="15.75" x14ac:dyDescent="0.25">
      <c r="A84" s="15" t="s">
        <v>60</v>
      </c>
      <c r="B84" s="16">
        <v>44193</v>
      </c>
      <c r="C84" s="9" t="s">
        <v>596</v>
      </c>
      <c r="D84" s="30">
        <v>0</v>
      </c>
      <c r="E84" s="13">
        <v>70</v>
      </c>
      <c r="F84" s="50">
        <f t="shared" si="4"/>
        <v>0</v>
      </c>
      <c r="G84" s="71"/>
      <c r="H84" s="71"/>
      <c r="I84" s="72"/>
      <c r="J84" s="71"/>
      <c r="K84" s="71"/>
      <c r="L84" s="71">
        <f t="shared" si="5"/>
        <v>0</v>
      </c>
      <c r="M84" s="71"/>
      <c r="N84" s="71" t="s">
        <v>947</v>
      </c>
      <c r="O84" s="74">
        <f t="shared" si="6"/>
        <v>0</v>
      </c>
    </row>
    <row r="85" spans="1:15" s="8" customFormat="1" ht="15.75" x14ac:dyDescent="0.25">
      <c r="A85" s="15" t="s">
        <v>61</v>
      </c>
      <c r="B85" s="16">
        <v>44193</v>
      </c>
      <c r="C85" s="26" t="s">
        <v>597</v>
      </c>
      <c r="D85" s="30">
        <v>2</v>
      </c>
      <c r="E85" s="13">
        <v>148.31</v>
      </c>
      <c r="F85" s="50">
        <f t="shared" si="4"/>
        <v>296.62</v>
      </c>
      <c r="G85" s="71"/>
      <c r="H85" s="71"/>
      <c r="I85" s="72"/>
      <c r="J85" s="71"/>
      <c r="K85" s="71"/>
      <c r="L85" s="71">
        <f t="shared" si="5"/>
        <v>2</v>
      </c>
      <c r="M85" s="71"/>
      <c r="N85" s="71" t="s">
        <v>947</v>
      </c>
      <c r="O85" s="74">
        <f>+L85*E85</f>
        <v>296.62</v>
      </c>
    </row>
    <row r="86" spans="1:15" s="8" customFormat="1" ht="15.75" x14ac:dyDescent="0.25">
      <c r="A86" s="15" t="s">
        <v>62</v>
      </c>
      <c r="B86" s="16">
        <v>44547</v>
      </c>
      <c r="C86" s="9" t="s">
        <v>598</v>
      </c>
      <c r="D86" s="30">
        <v>24</v>
      </c>
      <c r="E86" s="13">
        <v>200</v>
      </c>
      <c r="F86" s="50">
        <f t="shared" si="4"/>
        <v>4800</v>
      </c>
      <c r="G86" s="71"/>
      <c r="H86" s="71"/>
      <c r="I86" s="72"/>
      <c r="J86" s="71"/>
      <c r="K86" s="71"/>
      <c r="L86" s="71">
        <f t="shared" si="5"/>
        <v>24</v>
      </c>
      <c r="M86" s="71"/>
      <c r="N86" s="71" t="s">
        <v>947</v>
      </c>
      <c r="O86" s="74">
        <f t="shared" ref="O86:O96" si="7">+L86*E86</f>
        <v>4800</v>
      </c>
    </row>
    <row r="87" spans="1:15" s="8" customFormat="1" ht="15.75" x14ac:dyDescent="0.25">
      <c r="A87" s="15" t="s">
        <v>63</v>
      </c>
      <c r="B87" s="16">
        <v>44193</v>
      </c>
      <c r="C87" s="9" t="s">
        <v>599</v>
      </c>
      <c r="D87" s="30">
        <v>0</v>
      </c>
      <c r="E87" s="13">
        <v>65</v>
      </c>
      <c r="F87" s="50">
        <f t="shared" si="4"/>
        <v>0</v>
      </c>
      <c r="G87" s="71"/>
      <c r="H87" s="71"/>
      <c r="I87" s="72"/>
      <c r="J87" s="71"/>
      <c r="K87" s="71"/>
      <c r="L87" s="71">
        <f t="shared" si="5"/>
        <v>0</v>
      </c>
      <c r="M87" s="71"/>
      <c r="N87" s="71" t="s">
        <v>947</v>
      </c>
      <c r="O87" s="74">
        <f t="shared" si="7"/>
        <v>0</v>
      </c>
    </row>
    <row r="88" spans="1:15" s="92" customFormat="1" x14ac:dyDescent="0.3">
      <c r="A88" s="88" t="s">
        <v>64</v>
      </c>
      <c r="B88" s="89">
        <v>44193</v>
      </c>
      <c r="C88" s="90" t="s">
        <v>850</v>
      </c>
      <c r="D88" s="38">
        <v>1</v>
      </c>
      <c r="E88" s="13"/>
      <c r="F88" s="50"/>
      <c r="G88" s="71"/>
      <c r="H88" s="71"/>
      <c r="I88" s="72"/>
      <c r="J88" s="71"/>
      <c r="K88" s="71"/>
      <c r="L88" s="91">
        <f t="shared" si="5"/>
        <v>1</v>
      </c>
      <c r="M88" s="71"/>
      <c r="N88" s="91" t="s">
        <v>945</v>
      </c>
      <c r="O88" s="74">
        <f t="shared" si="7"/>
        <v>0</v>
      </c>
    </row>
    <row r="89" spans="1:15" s="8" customFormat="1" ht="15.75" x14ac:dyDescent="0.25">
      <c r="A89" s="15" t="s">
        <v>65</v>
      </c>
      <c r="B89" s="16">
        <v>44193</v>
      </c>
      <c r="C89" s="9" t="s">
        <v>851</v>
      </c>
      <c r="D89" s="30">
        <v>6</v>
      </c>
      <c r="E89" s="13">
        <v>115</v>
      </c>
      <c r="F89" s="50">
        <f>D89*E89</f>
        <v>690</v>
      </c>
      <c r="G89" s="71"/>
      <c r="H89" s="71"/>
      <c r="I89" s="72"/>
      <c r="J89" s="71"/>
      <c r="K89" s="71"/>
      <c r="L89" s="71">
        <f t="shared" si="5"/>
        <v>6</v>
      </c>
      <c r="M89" s="71"/>
      <c r="N89" s="71" t="s">
        <v>947</v>
      </c>
      <c r="O89" s="74">
        <f t="shared" si="7"/>
        <v>690</v>
      </c>
    </row>
    <row r="90" spans="1:15" s="8" customFormat="1" ht="15.75" x14ac:dyDescent="0.25">
      <c r="A90" s="15" t="s">
        <v>66</v>
      </c>
      <c r="B90" s="16">
        <v>44547</v>
      </c>
      <c r="C90" s="9" t="s">
        <v>775</v>
      </c>
      <c r="D90" s="30">
        <v>10</v>
      </c>
      <c r="E90" s="13">
        <v>155</v>
      </c>
      <c r="F90" s="50">
        <f>D90*E90</f>
        <v>1550</v>
      </c>
      <c r="G90" s="71"/>
      <c r="H90" s="71"/>
      <c r="I90" s="72"/>
      <c r="J90" s="71"/>
      <c r="K90" s="71"/>
      <c r="L90" s="71">
        <f t="shared" si="5"/>
        <v>10</v>
      </c>
      <c r="M90" s="71"/>
      <c r="N90" s="71" t="s">
        <v>947</v>
      </c>
      <c r="O90" s="74">
        <f t="shared" si="7"/>
        <v>1550</v>
      </c>
    </row>
    <row r="91" spans="1:15" s="92" customFormat="1" x14ac:dyDescent="0.3">
      <c r="A91" s="88" t="s">
        <v>68</v>
      </c>
      <c r="B91" s="89">
        <v>44453</v>
      </c>
      <c r="C91" s="90" t="s">
        <v>603</v>
      </c>
      <c r="D91" s="14">
        <v>4</v>
      </c>
      <c r="E91" s="13">
        <v>7500</v>
      </c>
      <c r="F91" s="50">
        <f>D91*E91</f>
        <v>30000</v>
      </c>
      <c r="G91" s="71"/>
      <c r="H91" s="71"/>
      <c r="I91" s="72"/>
      <c r="J91" s="71"/>
      <c r="K91" s="71">
        <v>1</v>
      </c>
      <c r="L91" s="91">
        <f t="shared" si="5"/>
        <v>3</v>
      </c>
      <c r="M91" s="71"/>
      <c r="N91" s="91" t="s">
        <v>945</v>
      </c>
      <c r="O91" s="74">
        <f t="shared" si="7"/>
        <v>22500</v>
      </c>
    </row>
    <row r="92" spans="1:15" s="92" customFormat="1" x14ac:dyDescent="0.3">
      <c r="A92" s="88" t="s">
        <v>67</v>
      </c>
      <c r="B92" s="89">
        <v>44659</v>
      </c>
      <c r="C92" s="90" t="s">
        <v>776</v>
      </c>
      <c r="D92" s="14">
        <v>108</v>
      </c>
      <c r="E92" s="13">
        <v>156.66667000000001</v>
      </c>
      <c r="F92" s="50">
        <f>D92*E92</f>
        <v>16920.000360000002</v>
      </c>
      <c r="G92" s="71"/>
      <c r="H92" s="71"/>
      <c r="I92" s="72"/>
      <c r="J92" s="71"/>
      <c r="K92" s="71">
        <f>1+1+1+2+1+1+1+1+1+1+1+1+1+1+1+1+1+1+1+1+1+1+1+1+1+1+1+1+1+1+1</f>
        <v>32</v>
      </c>
      <c r="L92" s="91">
        <f t="shared" si="5"/>
        <v>76</v>
      </c>
      <c r="M92" s="71"/>
      <c r="N92" s="91" t="s">
        <v>945</v>
      </c>
      <c r="O92" s="74">
        <f t="shared" si="7"/>
        <v>11906.666920000001</v>
      </c>
    </row>
    <row r="93" spans="1:15" s="8" customFormat="1" ht="15.75" x14ac:dyDescent="0.25">
      <c r="A93" s="15" t="s">
        <v>69</v>
      </c>
      <c r="B93" s="16">
        <v>44193</v>
      </c>
      <c r="C93" s="25" t="s">
        <v>844</v>
      </c>
      <c r="D93" s="14">
        <v>20</v>
      </c>
      <c r="E93" s="13">
        <v>30.5</v>
      </c>
      <c r="F93" s="50">
        <f>D93*E93</f>
        <v>610</v>
      </c>
      <c r="G93" s="71"/>
      <c r="H93" s="71"/>
      <c r="I93" s="72"/>
      <c r="J93" s="71"/>
      <c r="K93" s="71"/>
      <c r="L93" s="71">
        <f t="shared" si="5"/>
        <v>20</v>
      </c>
      <c r="M93" s="71"/>
      <c r="N93" s="71" t="s">
        <v>946</v>
      </c>
      <c r="O93" s="74">
        <f t="shared" si="7"/>
        <v>610</v>
      </c>
    </row>
    <row r="94" spans="1:15" s="8" customFormat="1" ht="15.75" x14ac:dyDescent="0.25">
      <c r="A94" s="15" t="s">
        <v>103</v>
      </c>
      <c r="B94" s="16">
        <v>44193</v>
      </c>
      <c r="C94" s="25" t="s">
        <v>789</v>
      </c>
      <c r="D94" s="14">
        <f>21+8+14</f>
        <v>43</v>
      </c>
      <c r="E94" s="13">
        <v>11.24</v>
      </c>
      <c r="F94" s="50">
        <f t="shared" ref="F94:F132" si="8">D94*E94</f>
        <v>483.32</v>
      </c>
      <c r="G94" s="71"/>
      <c r="H94" s="71"/>
      <c r="I94" s="72"/>
      <c r="J94" s="71"/>
      <c r="K94" s="71">
        <v>1</v>
      </c>
      <c r="L94" s="71">
        <f t="shared" si="5"/>
        <v>42</v>
      </c>
      <c r="M94" s="71"/>
      <c r="N94" s="71" t="s">
        <v>946</v>
      </c>
      <c r="O94" s="74">
        <f t="shared" si="7"/>
        <v>472.08</v>
      </c>
    </row>
    <row r="95" spans="1:15" s="8" customFormat="1" ht="15.75" x14ac:dyDescent="0.25">
      <c r="A95" s="15" t="s">
        <v>104</v>
      </c>
      <c r="B95" s="16">
        <v>44193</v>
      </c>
      <c r="C95" s="25" t="s">
        <v>788</v>
      </c>
      <c r="D95" s="14">
        <f>16+6+7+2</f>
        <v>31</v>
      </c>
      <c r="E95" s="13">
        <v>11.24</v>
      </c>
      <c r="F95" s="50">
        <f t="shared" si="8"/>
        <v>348.44</v>
      </c>
      <c r="G95" s="71"/>
      <c r="H95" s="71"/>
      <c r="I95" s="72"/>
      <c r="J95" s="71"/>
      <c r="K95" s="71"/>
      <c r="L95" s="71">
        <f t="shared" si="5"/>
        <v>31</v>
      </c>
      <c r="M95" s="71"/>
      <c r="N95" s="71" t="s">
        <v>946</v>
      </c>
      <c r="O95" s="74">
        <f t="shared" si="7"/>
        <v>348.44</v>
      </c>
    </row>
    <row r="96" spans="1:15" s="8" customFormat="1" ht="15.75" x14ac:dyDescent="0.25">
      <c r="A96" s="15" t="s">
        <v>142</v>
      </c>
      <c r="B96" s="16">
        <v>44193</v>
      </c>
      <c r="C96" s="25" t="s">
        <v>604</v>
      </c>
      <c r="D96" s="14">
        <v>28</v>
      </c>
      <c r="E96" s="13">
        <v>45</v>
      </c>
      <c r="F96" s="50">
        <f t="shared" si="8"/>
        <v>1260</v>
      </c>
      <c r="G96" s="71"/>
      <c r="H96" s="71"/>
      <c r="I96" s="72"/>
      <c r="J96" s="71"/>
      <c r="K96" s="71"/>
      <c r="L96" s="71">
        <f t="shared" si="5"/>
        <v>28</v>
      </c>
      <c r="M96" s="71"/>
      <c r="N96" s="71" t="s">
        <v>946</v>
      </c>
      <c r="O96" s="74">
        <f t="shared" si="7"/>
        <v>1260</v>
      </c>
    </row>
    <row r="97" spans="1:15" s="8" customFormat="1" ht="15.75" x14ac:dyDescent="0.25">
      <c r="A97" s="15" t="s">
        <v>70</v>
      </c>
      <c r="B97" s="16">
        <v>44193</v>
      </c>
      <c r="C97" s="25" t="s">
        <v>605</v>
      </c>
      <c r="D97" s="14">
        <v>4</v>
      </c>
      <c r="E97" s="13">
        <v>40</v>
      </c>
      <c r="F97" s="50">
        <f t="shared" si="8"/>
        <v>160</v>
      </c>
      <c r="G97" s="71"/>
      <c r="H97" s="71"/>
      <c r="I97" s="72"/>
      <c r="J97" s="71"/>
      <c r="K97" s="71"/>
      <c r="L97" s="71">
        <f t="shared" si="5"/>
        <v>4</v>
      </c>
      <c r="M97" s="71"/>
      <c r="N97" s="71" t="s">
        <v>946</v>
      </c>
      <c r="O97" s="74">
        <f>+L97*E97</f>
        <v>160</v>
      </c>
    </row>
    <row r="98" spans="1:15" s="8" customFormat="1" ht="15.75" x14ac:dyDescent="0.25">
      <c r="A98" s="15" t="s">
        <v>71</v>
      </c>
      <c r="B98" s="16">
        <v>44193</v>
      </c>
      <c r="C98" s="25" t="s">
        <v>606</v>
      </c>
      <c r="D98" s="14">
        <v>39</v>
      </c>
      <c r="E98" s="13">
        <v>45</v>
      </c>
      <c r="F98" s="50">
        <f t="shared" si="8"/>
        <v>1755</v>
      </c>
      <c r="G98" s="71"/>
      <c r="H98" s="71"/>
      <c r="I98" s="72"/>
      <c r="J98" s="71"/>
      <c r="K98" s="71"/>
      <c r="L98" s="71">
        <f t="shared" si="5"/>
        <v>39</v>
      </c>
      <c r="M98" s="71"/>
      <c r="N98" s="71" t="s">
        <v>946</v>
      </c>
      <c r="O98" s="74">
        <f t="shared" ref="O98:O108" si="9">+L98*E98</f>
        <v>1755</v>
      </c>
    </row>
    <row r="99" spans="1:15" s="8" customFormat="1" ht="15.75" x14ac:dyDescent="0.25">
      <c r="A99" s="15" t="s">
        <v>72</v>
      </c>
      <c r="B99" s="16">
        <v>44193</v>
      </c>
      <c r="C99" s="25" t="s">
        <v>846</v>
      </c>
      <c r="D99" s="14">
        <v>1</v>
      </c>
      <c r="E99" s="13">
        <v>47</v>
      </c>
      <c r="F99" s="50">
        <f t="shared" si="8"/>
        <v>47</v>
      </c>
      <c r="G99" s="71"/>
      <c r="H99" s="71"/>
      <c r="I99" s="72"/>
      <c r="J99" s="71"/>
      <c r="K99" s="71"/>
      <c r="L99" s="71">
        <f t="shared" si="5"/>
        <v>1</v>
      </c>
      <c r="M99" s="71"/>
      <c r="N99" s="71" t="s">
        <v>946</v>
      </c>
      <c r="O99" s="74">
        <f t="shared" si="9"/>
        <v>47</v>
      </c>
    </row>
    <row r="100" spans="1:15" s="8" customFormat="1" ht="15.75" x14ac:dyDescent="0.25">
      <c r="A100" s="15" t="s">
        <v>73</v>
      </c>
      <c r="B100" s="16">
        <v>44193</v>
      </c>
      <c r="C100" s="25" t="s">
        <v>607</v>
      </c>
      <c r="D100" s="14">
        <v>1</v>
      </c>
      <c r="E100" s="13">
        <v>40</v>
      </c>
      <c r="F100" s="50">
        <f t="shared" si="8"/>
        <v>40</v>
      </c>
      <c r="G100" s="71"/>
      <c r="H100" s="71"/>
      <c r="I100" s="72"/>
      <c r="J100" s="71"/>
      <c r="K100" s="71"/>
      <c r="L100" s="71">
        <f t="shared" si="5"/>
        <v>1</v>
      </c>
      <c r="M100" s="71"/>
      <c r="N100" s="71" t="s">
        <v>946</v>
      </c>
      <c r="O100" s="74">
        <f t="shared" si="9"/>
        <v>40</v>
      </c>
    </row>
    <row r="101" spans="1:15" s="8" customFormat="1" ht="15.75" x14ac:dyDescent="0.25">
      <c r="A101" s="15" t="s">
        <v>74</v>
      </c>
      <c r="B101" s="16">
        <v>44193</v>
      </c>
      <c r="C101" s="25" t="s">
        <v>608</v>
      </c>
      <c r="D101" s="32">
        <v>2</v>
      </c>
      <c r="E101" s="13">
        <v>12.21</v>
      </c>
      <c r="F101" s="50">
        <f t="shared" si="8"/>
        <v>24.42</v>
      </c>
      <c r="G101" s="71"/>
      <c r="H101" s="71"/>
      <c r="I101" s="72"/>
      <c r="J101" s="71"/>
      <c r="K101" s="71"/>
      <c r="L101" s="71">
        <f t="shared" si="5"/>
        <v>2</v>
      </c>
      <c r="M101" s="71"/>
      <c r="N101" s="71" t="s">
        <v>946</v>
      </c>
      <c r="O101" s="74">
        <f t="shared" si="9"/>
        <v>24.42</v>
      </c>
    </row>
    <row r="102" spans="1:15" s="8" customFormat="1" ht="15.75" x14ac:dyDescent="0.25">
      <c r="A102" s="15" t="s">
        <v>101</v>
      </c>
      <c r="B102" s="16">
        <v>44193</v>
      </c>
      <c r="C102" s="25" t="s">
        <v>609</v>
      </c>
      <c r="D102" s="32">
        <v>0</v>
      </c>
      <c r="E102" s="13">
        <v>4</v>
      </c>
      <c r="F102" s="50">
        <f t="shared" si="8"/>
        <v>0</v>
      </c>
      <c r="G102" s="71"/>
      <c r="H102" s="71"/>
      <c r="I102" s="72"/>
      <c r="J102" s="71"/>
      <c r="K102" s="71"/>
      <c r="L102" s="71">
        <f t="shared" si="5"/>
        <v>0</v>
      </c>
      <c r="M102" s="71"/>
      <c r="N102" s="71" t="s">
        <v>946</v>
      </c>
      <c r="O102" s="74">
        <f t="shared" si="9"/>
        <v>0</v>
      </c>
    </row>
    <row r="103" spans="1:15" s="8" customFormat="1" ht="15.75" x14ac:dyDescent="0.25">
      <c r="A103" s="15" t="s">
        <v>75</v>
      </c>
      <c r="B103" s="16">
        <v>44193</v>
      </c>
      <c r="C103" s="25" t="s">
        <v>610</v>
      </c>
      <c r="D103" s="32">
        <f>13+7+29</f>
        <v>49</v>
      </c>
      <c r="E103" s="13">
        <v>5.05</v>
      </c>
      <c r="F103" s="50">
        <f t="shared" si="8"/>
        <v>247.45</v>
      </c>
      <c r="G103" s="71"/>
      <c r="H103" s="71"/>
      <c r="I103" s="72"/>
      <c r="J103" s="71"/>
      <c r="K103" s="71"/>
      <c r="L103" s="71">
        <f t="shared" si="5"/>
        <v>49</v>
      </c>
      <c r="M103" s="71"/>
      <c r="N103" s="71" t="s">
        <v>946</v>
      </c>
      <c r="O103" s="74">
        <f t="shared" si="9"/>
        <v>247.45</v>
      </c>
    </row>
    <row r="104" spans="1:15" s="8" customFormat="1" ht="15.75" x14ac:dyDescent="0.25">
      <c r="A104" s="15" t="s">
        <v>102</v>
      </c>
      <c r="B104" s="16">
        <v>44193</v>
      </c>
      <c r="C104" s="25" t="s">
        <v>611</v>
      </c>
      <c r="D104" s="32">
        <v>0</v>
      </c>
      <c r="E104" s="13">
        <v>42.95</v>
      </c>
      <c r="F104" s="50">
        <f t="shared" si="8"/>
        <v>0</v>
      </c>
      <c r="G104" s="71"/>
      <c r="H104" s="71"/>
      <c r="I104" s="72"/>
      <c r="J104" s="71"/>
      <c r="K104" s="71"/>
      <c r="L104" s="71">
        <f t="shared" si="5"/>
        <v>0</v>
      </c>
      <c r="M104" s="71"/>
      <c r="N104" s="71" t="s">
        <v>946</v>
      </c>
      <c r="O104" s="74">
        <f t="shared" si="9"/>
        <v>0</v>
      </c>
    </row>
    <row r="105" spans="1:15" s="8" customFormat="1" ht="15.75" x14ac:dyDescent="0.25">
      <c r="A105" s="15" t="s">
        <v>143</v>
      </c>
      <c r="B105" s="16">
        <v>44193</v>
      </c>
      <c r="C105" s="25" t="s">
        <v>612</v>
      </c>
      <c r="D105" s="30">
        <v>11</v>
      </c>
      <c r="E105" s="13">
        <v>19.95</v>
      </c>
      <c r="F105" s="50">
        <f t="shared" si="8"/>
        <v>219.45</v>
      </c>
      <c r="G105" s="71"/>
      <c r="H105" s="71"/>
      <c r="I105" s="72"/>
      <c r="J105" s="71"/>
      <c r="K105" s="71"/>
      <c r="L105" s="71">
        <f t="shared" si="5"/>
        <v>11</v>
      </c>
      <c r="M105" s="71"/>
      <c r="N105" s="71" t="s">
        <v>946</v>
      </c>
      <c r="O105" s="74">
        <f t="shared" si="9"/>
        <v>219.45</v>
      </c>
    </row>
    <row r="106" spans="1:15" s="8" customFormat="1" ht="15.75" x14ac:dyDescent="0.25">
      <c r="A106" s="15" t="s">
        <v>334</v>
      </c>
      <c r="B106" s="16">
        <v>44193</v>
      </c>
      <c r="C106" s="25" t="s">
        <v>613</v>
      </c>
      <c r="D106" s="30">
        <f>6+7</f>
        <v>13</v>
      </c>
      <c r="E106" s="13">
        <v>5.78</v>
      </c>
      <c r="F106" s="50">
        <f t="shared" si="8"/>
        <v>75.14</v>
      </c>
      <c r="G106" s="71"/>
      <c r="H106" s="71"/>
      <c r="I106" s="72"/>
      <c r="J106" s="71"/>
      <c r="K106" s="71"/>
      <c r="L106" s="71">
        <f t="shared" si="5"/>
        <v>13</v>
      </c>
      <c r="M106" s="71"/>
      <c r="N106" s="71" t="s">
        <v>946</v>
      </c>
      <c r="O106" s="74">
        <f t="shared" si="9"/>
        <v>75.14</v>
      </c>
    </row>
    <row r="107" spans="1:15" s="8" customFormat="1" ht="15.75" x14ac:dyDescent="0.25">
      <c r="A107" s="15" t="s">
        <v>335</v>
      </c>
      <c r="B107" s="16">
        <v>44193</v>
      </c>
      <c r="C107" s="25" t="s">
        <v>849</v>
      </c>
      <c r="D107" s="30">
        <v>1</v>
      </c>
      <c r="E107" s="13"/>
      <c r="F107" s="50">
        <f t="shared" si="8"/>
        <v>0</v>
      </c>
      <c r="G107" s="71"/>
      <c r="H107" s="71"/>
      <c r="I107" s="72"/>
      <c r="J107" s="71"/>
      <c r="K107" s="71"/>
      <c r="L107" s="71">
        <f t="shared" si="5"/>
        <v>1</v>
      </c>
      <c r="M107" s="71"/>
      <c r="N107" s="71" t="s">
        <v>946</v>
      </c>
      <c r="O107" s="74">
        <f t="shared" si="9"/>
        <v>0</v>
      </c>
    </row>
    <row r="108" spans="1:15" s="8" customFormat="1" ht="15.75" x14ac:dyDescent="0.25">
      <c r="A108" s="15" t="s">
        <v>336</v>
      </c>
      <c r="B108" s="16">
        <v>44193</v>
      </c>
      <c r="C108" s="26" t="s">
        <v>821</v>
      </c>
      <c r="D108" s="30">
        <v>9</v>
      </c>
      <c r="E108" s="13">
        <v>77.540000000000006</v>
      </c>
      <c r="F108" s="50">
        <f t="shared" si="8"/>
        <v>697.86</v>
      </c>
      <c r="G108" s="71"/>
      <c r="H108" s="71"/>
      <c r="I108" s="72"/>
      <c r="J108" s="71"/>
      <c r="K108" s="71"/>
      <c r="L108" s="71">
        <f t="shared" si="5"/>
        <v>9</v>
      </c>
      <c r="M108" s="71"/>
      <c r="N108" s="71" t="s">
        <v>946</v>
      </c>
      <c r="O108" s="74">
        <f t="shared" si="9"/>
        <v>697.86</v>
      </c>
    </row>
    <row r="109" spans="1:15" s="8" customFormat="1" ht="15.75" x14ac:dyDescent="0.25">
      <c r="A109" s="15" t="s">
        <v>337</v>
      </c>
      <c r="B109" s="16">
        <v>44193</v>
      </c>
      <c r="C109" s="26" t="s">
        <v>820</v>
      </c>
      <c r="D109" s="30">
        <v>21</v>
      </c>
      <c r="E109" s="13">
        <v>719.2</v>
      </c>
      <c r="F109" s="50">
        <f t="shared" si="8"/>
        <v>15103.2</v>
      </c>
      <c r="G109" s="71"/>
      <c r="H109" s="71"/>
      <c r="I109" s="72"/>
      <c r="J109" s="71"/>
      <c r="K109" s="71"/>
      <c r="L109" s="71">
        <f t="shared" si="5"/>
        <v>21</v>
      </c>
      <c r="M109" s="71"/>
      <c r="N109" s="71" t="s">
        <v>946</v>
      </c>
      <c r="O109" s="74">
        <f>+L109*E109</f>
        <v>15103.2</v>
      </c>
    </row>
    <row r="110" spans="1:15" s="8" customFormat="1" ht="15.75" x14ac:dyDescent="0.25">
      <c r="A110" s="15" t="s">
        <v>338</v>
      </c>
      <c r="B110" s="16">
        <v>44193</v>
      </c>
      <c r="C110" s="26" t="s">
        <v>823</v>
      </c>
      <c r="D110" s="30">
        <v>3</v>
      </c>
      <c r="E110" s="13">
        <v>51</v>
      </c>
      <c r="F110" s="50">
        <f t="shared" si="8"/>
        <v>153</v>
      </c>
      <c r="G110" s="71"/>
      <c r="H110" s="71"/>
      <c r="I110" s="72"/>
      <c r="J110" s="71"/>
      <c r="K110" s="71"/>
      <c r="L110" s="71">
        <f t="shared" si="5"/>
        <v>3</v>
      </c>
      <c r="M110" s="71"/>
      <c r="N110" s="71" t="s">
        <v>946</v>
      </c>
      <c r="O110" s="74">
        <f t="shared" ref="O110:O121" si="10">+L110*E110</f>
        <v>153</v>
      </c>
    </row>
    <row r="111" spans="1:15" s="8" customFormat="1" ht="15.75" x14ac:dyDescent="0.25">
      <c r="A111" s="15" t="s">
        <v>339</v>
      </c>
      <c r="B111" s="16">
        <v>44193</v>
      </c>
      <c r="C111" s="26" t="s">
        <v>822</v>
      </c>
      <c r="D111" s="30">
        <v>12</v>
      </c>
      <c r="E111" s="13">
        <v>66.11</v>
      </c>
      <c r="F111" s="50">
        <f t="shared" si="8"/>
        <v>793.31999999999994</v>
      </c>
      <c r="G111" s="71"/>
      <c r="H111" s="71"/>
      <c r="I111" s="72"/>
      <c r="J111" s="71"/>
      <c r="K111" s="71"/>
      <c r="L111" s="71">
        <f t="shared" si="5"/>
        <v>12</v>
      </c>
      <c r="M111" s="71"/>
      <c r="N111" s="71" t="s">
        <v>946</v>
      </c>
      <c r="O111" s="74">
        <f t="shared" si="10"/>
        <v>793.31999999999994</v>
      </c>
    </row>
    <row r="112" spans="1:15" s="8" customFormat="1" ht="15.75" x14ac:dyDescent="0.25">
      <c r="A112" s="15" t="s">
        <v>340</v>
      </c>
      <c r="B112" s="16">
        <v>44193</v>
      </c>
      <c r="C112" s="26" t="s">
        <v>802</v>
      </c>
      <c r="D112" s="30">
        <v>2</v>
      </c>
      <c r="E112" s="13">
        <v>70</v>
      </c>
      <c r="F112" s="50">
        <f t="shared" si="8"/>
        <v>140</v>
      </c>
      <c r="G112" s="71"/>
      <c r="H112" s="71"/>
      <c r="I112" s="72"/>
      <c r="J112" s="71"/>
      <c r="K112" s="71"/>
      <c r="L112" s="71">
        <f t="shared" si="5"/>
        <v>2</v>
      </c>
      <c r="M112" s="71"/>
      <c r="N112" s="71" t="s">
        <v>946</v>
      </c>
      <c r="O112" s="74">
        <f t="shared" si="10"/>
        <v>140</v>
      </c>
    </row>
    <row r="113" spans="1:15" s="8" customFormat="1" ht="15.75" x14ac:dyDescent="0.25">
      <c r="A113" s="15" t="s">
        <v>341</v>
      </c>
      <c r="B113" s="16">
        <v>44193</v>
      </c>
      <c r="C113" s="26" t="s">
        <v>804</v>
      </c>
      <c r="D113" s="30">
        <v>6</v>
      </c>
      <c r="E113" s="13">
        <v>450</v>
      </c>
      <c r="F113" s="50">
        <f t="shared" si="8"/>
        <v>2700</v>
      </c>
      <c r="G113" s="71"/>
      <c r="H113" s="71"/>
      <c r="I113" s="72"/>
      <c r="J113" s="71"/>
      <c r="K113" s="71"/>
      <c r="L113" s="71">
        <f t="shared" si="5"/>
        <v>6</v>
      </c>
      <c r="M113" s="71"/>
      <c r="N113" s="71" t="s">
        <v>946</v>
      </c>
      <c r="O113" s="74">
        <f t="shared" si="10"/>
        <v>2700</v>
      </c>
    </row>
    <row r="114" spans="1:15" s="8" customFormat="1" ht="15.75" x14ac:dyDescent="0.25">
      <c r="A114" s="15" t="s">
        <v>342</v>
      </c>
      <c r="B114" s="16">
        <v>44193</v>
      </c>
      <c r="C114" s="26" t="s">
        <v>801</v>
      </c>
      <c r="D114" s="30">
        <v>2</v>
      </c>
      <c r="E114" s="13">
        <v>719.2</v>
      </c>
      <c r="F114" s="50">
        <f t="shared" si="8"/>
        <v>1438.4</v>
      </c>
      <c r="G114" s="71"/>
      <c r="H114" s="71"/>
      <c r="I114" s="72"/>
      <c r="J114" s="71"/>
      <c r="K114" s="71">
        <v>2</v>
      </c>
      <c r="L114" s="71">
        <f t="shared" si="5"/>
        <v>0</v>
      </c>
      <c r="M114" s="71"/>
      <c r="N114" s="71" t="s">
        <v>946</v>
      </c>
      <c r="O114" s="74">
        <f t="shared" si="10"/>
        <v>0</v>
      </c>
    </row>
    <row r="115" spans="1:15" s="8" customFormat="1" ht="15.75" x14ac:dyDescent="0.25">
      <c r="A115" s="15" t="s">
        <v>343</v>
      </c>
      <c r="B115" s="16">
        <v>44193</v>
      </c>
      <c r="C115" s="25" t="s">
        <v>616</v>
      </c>
      <c r="D115" s="32">
        <v>0</v>
      </c>
      <c r="E115" s="13">
        <v>2950</v>
      </c>
      <c r="F115" s="50">
        <f t="shared" si="8"/>
        <v>0</v>
      </c>
      <c r="G115" s="71"/>
      <c r="H115" s="71"/>
      <c r="I115" s="72"/>
      <c r="J115" s="71"/>
      <c r="K115" s="71"/>
      <c r="L115" s="71">
        <f t="shared" si="5"/>
        <v>0</v>
      </c>
      <c r="M115" s="71"/>
      <c r="N115" s="71" t="s">
        <v>946</v>
      </c>
      <c r="O115" s="74">
        <f t="shared" si="10"/>
        <v>0</v>
      </c>
    </row>
    <row r="116" spans="1:15" s="8" customFormat="1" ht="15.75" x14ac:dyDescent="0.25">
      <c r="A116" s="15" t="s">
        <v>344</v>
      </c>
      <c r="B116" s="16">
        <v>44193</v>
      </c>
      <c r="C116" s="25" t="s">
        <v>617</v>
      </c>
      <c r="D116" s="32">
        <v>5</v>
      </c>
      <c r="E116" s="13">
        <v>29</v>
      </c>
      <c r="F116" s="50">
        <f t="shared" si="8"/>
        <v>145</v>
      </c>
      <c r="G116" s="71"/>
      <c r="H116" s="71"/>
      <c r="I116" s="72"/>
      <c r="J116" s="71"/>
      <c r="K116" s="71"/>
      <c r="L116" s="71">
        <f t="shared" si="5"/>
        <v>5</v>
      </c>
      <c r="M116" s="71"/>
      <c r="N116" s="71" t="s">
        <v>946</v>
      </c>
      <c r="O116" s="74">
        <f t="shared" si="10"/>
        <v>145</v>
      </c>
    </row>
    <row r="117" spans="1:15" s="8" customFormat="1" ht="15.75" x14ac:dyDescent="0.25">
      <c r="A117" s="15" t="s">
        <v>345</v>
      </c>
      <c r="B117" s="23" t="s">
        <v>106</v>
      </c>
      <c r="C117" s="9" t="s">
        <v>618</v>
      </c>
      <c r="D117" s="30">
        <v>12</v>
      </c>
      <c r="E117" s="51">
        <v>35</v>
      </c>
      <c r="F117" s="50">
        <f t="shared" si="8"/>
        <v>420</v>
      </c>
      <c r="G117" s="71"/>
      <c r="H117" s="71"/>
      <c r="I117" s="72"/>
      <c r="J117" s="71"/>
      <c r="K117" s="71"/>
      <c r="L117" s="71">
        <f t="shared" si="5"/>
        <v>12</v>
      </c>
      <c r="M117" s="71"/>
      <c r="N117" s="71" t="s">
        <v>947</v>
      </c>
      <c r="O117" s="74">
        <f t="shared" si="10"/>
        <v>420</v>
      </c>
    </row>
    <row r="118" spans="1:15" s="92" customFormat="1" x14ac:dyDescent="0.3">
      <c r="A118" s="88" t="s">
        <v>346</v>
      </c>
      <c r="B118" s="89">
        <v>44193</v>
      </c>
      <c r="C118" s="9" t="s">
        <v>619</v>
      </c>
      <c r="D118" s="32">
        <v>0</v>
      </c>
      <c r="E118" s="13">
        <v>155</v>
      </c>
      <c r="F118" s="50">
        <f t="shared" si="8"/>
        <v>0</v>
      </c>
      <c r="G118" s="71"/>
      <c r="H118" s="71"/>
      <c r="I118" s="72"/>
      <c r="J118" s="71"/>
      <c r="K118" s="71">
        <f>2+1+1+1+1+1+1</f>
        <v>8</v>
      </c>
      <c r="L118" s="91">
        <f t="shared" si="5"/>
        <v>-8</v>
      </c>
      <c r="M118" s="71"/>
      <c r="N118" s="91" t="s">
        <v>945</v>
      </c>
      <c r="O118" s="74">
        <f t="shared" si="10"/>
        <v>-1240</v>
      </c>
    </row>
    <row r="119" spans="1:15" s="92" customFormat="1" x14ac:dyDescent="0.3">
      <c r="A119" s="88" t="s">
        <v>347</v>
      </c>
      <c r="B119" s="89">
        <v>44777</v>
      </c>
      <c r="C119" s="9" t="s">
        <v>620</v>
      </c>
      <c r="D119" s="32">
        <v>90</v>
      </c>
      <c r="E119" s="13">
        <v>71.95</v>
      </c>
      <c r="F119" s="50">
        <f t="shared" si="8"/>
        <v>6475.5</v>
      </c>
      <c r="G119" s="71"/>
      <c r="H119" s="71"/>
      <c r="I119" s="72"/>
      <c r="J119" s="71"/>
      <c r="K119" s="71">
        <f>1+1+1+1+1+1+1+1+1+1+1+1+1+1+1+1+2+1+1+1+1+1+1+1+1+1+1+1+1</f>
        <v>30</v>
      </c>
      <c r="L119" s="91">
        <f t="shared" si="5"/>
        <v>60</v>
      </c>
      <c r="M119" s="71"/>
      <c r="N119" s="91" t="s">
        <v>945</v>
      </c>
      <c r="O119" s="74">
        <f t="shared" si="10"/>
        <v>4317</v>
      </c>
    </row>
    <row r="120" spans="1:15" s="8" customFormat="1" ht="15.75" x14ac:dyDescent="0.25">
      <c r="A120" s="15" t="s">
        <v>348</v>
      </c>
      <c r="B120" s="102">
        <v>44193</v>
      </c>
      <c r="C120" s="9" t="s">
        <v>626</v>
      </c>
      <c r="D120" s="32">
        <v>0</v>
      </c>
      <c r="E120" s="13">
        <v>190.68</v>
      </c>
      <c r="F120" s="50">
        <f t="shared" si="8"/>
        <v>0</v>
      </c>
      <c r="G120" s="103"/>
      <c r="H120" s="103"/>
      <c r="I120" s="104"/>
      <c r="J120" s="103"/>
      <c r="K120" s="103"/>
      <c r="L120" s="103">
        <f t="shared" si="5"/>
        <v>0</v>
      </c>
      <c r="M120" s="103"/>
      <c r="N120" s="103" t="s">
        <v>946</v>
      </c>
      <c r="O120" s="74">
        <f t="shared" si="10"/>
        <v>0</v>
      </c>
    </row>
    <row r="121" spans="1:15" s="92" customFormat="1" x14ac:dyDescent="0.3">
      <c r="A121" s="88" t="s">
        <v>349</v>
      </c>
      <c r="B121" s="102">
        <v>44678</v>
      </c>
      <c r="C121" s="9" t="s">
        <v>621</v>
      </c>
      <c r="D121" s="32">
        <v>1</v>
      </c>
      <c r="E121" s="13">
        <v>3800</v>
      </c>
      <c r="F121" s="50">
        <f t="shared" si="8"/>
        <v>3800</v>
      </c>
      <c r="G121" s="103"/>
      <c r="H121" s="103"/>
      <c r="I121" s="104"/>
      <c r="J121" s="103"/>
      <c r="K121" s="103"/>
      <c r="L121" s="103">
        <f t="shared" si="5"/>
        <v>1</v>
      </c>
      <c r="M121" s="103"/>
      <c r="N121" s="103" t="s">
        <v>945</v>
      </c>
      <c r="O121" s="74">
        <f t="shared" si="10"/>
        <v>3800</v>
      </c>
    </row>
    <row r="122" spans="1:15" s="92" customFormat="1" x14ac:dyDescent="0.3">
      <c r="A122" s="88" t="s">
        <v>350</v>
      </c>
      <c r="B122" s="102">
        <v>44193</v>
      </c>
      <c r="C122" s="9" t="s">
        <v>622</v>
      </c>
      <c r="D122" s="32">
        <v>0</v>
      </c>
      <c r="E122" s="13">
        <v>1400</v>
      </c>
      <c r="F122" s="50">
        <f t="shared" si="8"/>
        <v>0</v>
      </c>
      <c r="G122" s="103"/>
      <c r="H122" s="103"/>
      <c r="I122" s="104"/>
      <c r="J122" s="103"/>
      <c r="K122" s="103"/>
      <c r="L122" s="103">
        <f t="shared" si="5"/>
        <v>0</v>
      </c>
      <c r="M122" s="103"/>
      <c r="N122" s="103" t="s">
        <v>945</v>
      </c>
      <c r="O122" s="74">
        <f>+L122*E122</f>
        <v>0</v>
      </c>
    </row>
    <row r="123" spans="1:15" s="92" customFormat="1" x14ac:dyDescent="0.3">
      <c r="A123" s="88" t="s">
        <v>351</v>
      </c>
      <c r="B123" s="102">
        <v>44456</v>
      </c>
      <c r="C123" s="26" t="s">
        <v>623</v>
      </c>
      <c r="D123" s="32">
        <v>13</v>
      </c>
      <c r="E123" s="13">
        <v>1099</v>
      </c>
      <c r="F123" s="50">
        <f t="shared" si="8"/>
        <v>14287</v>
      </c>
      <c r="G123" s="103"/>
      <c r="H123" s="103"/>
      <c r="I123" s="104"/>
      <c r="J123" s="103"/>
      <c r="K123" s="103">
        <v>1</v>
      </c>
      <c r="L123" s="103">
        <f t="shared" si="5"/>
        <v>12</v>
      </c>
      <c r="M123" s="103"/>
      <c r="N123" s="103" t="s">
        <v>945</v>
      </c>
      <c r="O123" s="74">
        <f t="shared" ref="O123:O133" si="11">+L123*E123</f>
        <v>13188</v>
      </c>
    </row>
    <row r="124" spans="1:15" s="92" customFormat="1" x14ac:dyDescent="0.3">
      <c r="A124" s="88" t="s">
        <v>352</v>
      </c>
      <c r="B124" s="102">
        <v>44456</v>
      </c>
      <c r="C124" s="26" t="s">
        <v>767</v>
      </c>
      <c r="D124" s="32">
        <v>18</v>
      </c>
      <c r="E124" s="13">
        <v>4000</v>
      </c>
      <c r="F124" s="50">
        <f t="shared" si="8"/>
        <v>72000</v>
      </c>
      <c r="G124" s="103"/>
      <c r="H124" s="103"/>
      <c r="I124" s="104"/>
      <c r="J124" s="103"/>
      <c r="K124" s="103">
        <f>4+4+3</f>
        <v>11</v>
      </c>
      <c r="L124" s="103">
        <f t="shared" si="5"/>
        <v>7</v>
      </c>
      <c r="M124" s="103"/>
      <c r="N124" s="103" t="s">
        <v>945</v>
      </c>
      <c r="O124" s="74">
        <f t="shared" si="11"/>
        <v>28000</v>
      </c>
    </row>
    <row r="125" spans="1:15" s="92" customFormat="1" x14ac:dyDescent="0.3">
      <c r="A125" s="88" t="s">
        <v>353</v>
      </c>
      <c r="B125" s="102">
        <v>44193</v>
      </c>
      <c r="C125" s="26" t="s">
        <v>625</v>
      </c>
      <c r="D125" s="32">
        <v>5</v>
      </c>
      <c r="E125" s="13">
        <v>1400</v>
      </c>
      <c r="F125" s="50">
        <f t="shared" si="8"/>
        <v>7000</v>
      </c>
      <c r="G125" s="103"/>
      <c r="H125" s="103"/>
      <c r="I125" s="104"/>
      <c r="J125" s="103"/>
      <c r="K125" s="103"/>
      <c r="L125" s="103">
        <f t="shared" si="5"/>
        <v>5</v>
      </c>
      <c r="M125" s="103"/>
      <c r="N125" s="103" t="s">
        <v>945</v>
      </c>
      <c r="O125" s="74">
        <f t="shared" si="11"/>
        <v>7000</v>
      </c>
    </row>
    <row r="126" spans="1:15" s="8" customFormat="1" ht="15.75" x14ac:dyDescent="0.25">
      <c r="A126" s="15" t="s">
        <v>354</v>
      </c>
      <c r="B126" s="106" t="s">
        <v>106</v>
      </c>
      <c r="C126" s="28" t="s">
        <v>627</v>
      </c>
      <c r="D126" s="49">
        <v>100</v>
      </c>
      <c r="E126" s="52">
        <v>28</v>
      </c>
      <c r="F126" s="50">
        <f t="shared" si="8"/>
        <v>2800</v>
      </c>
      <c r="G126" s="103"/>
      <c r="H126" s="103"/>
      <c r="I126" s="104"/>
      <c r="J126" s="103"/>
      <c r="K126" s="103"/>
      <c r="L126" s="103">
        <f t="shared" si="5"/>
        <v>100</v>
      </c>
      <c r="M126" s="103"/>
      <c r="N126" s="103" t="s">
        <v>947</v>
      </c>
      <c r="O126" s="74">
        <f t="shared" si="11"/>
        <v>2800</v>
      </c>
    </row>
    <row r="127" spans="1:15" s="8" customFormat="1" ht="15.75" x14ac:dyDescent="0.25">
      <c r="A127" s="15" t="s">
        <v>355</v>
      </c>
      <c r="B127" s="106" t="s">
        <v>114</v>
      </c>
      <c r="C127" s="26" t="s">
        <v>80</v>
      </c>
      <c r="D127" s="32">
        <v>0</v>
      </c>
      <c r="E127" s="51">
        <v>85</v>
      </c>
      <c r="F127" s="50">
        <f t="shared" si="8"/>
        <v>0</v>
      </c>
      <c r="G127" s="103"/>
      <c r="H127" s="103"/>
      <c r="I127" s="104"/>
      <c r="J127" s="103"/>
      <c r="K127" s="103"/>
      <c r="L127" s="103">
        <f t="shared" si="5"/>
        <v>0</v>
      </c>
      <c r="M127" s="103"/>
      <c r="N127" s="103" t="s">
        <v>946</v>
      </c>
      <c r="O127" s="74">
        <f t="shared" si="11"/>
        <v>0</v>
      </c>
    </row>
    <row r="128" spans="1:15" s="8" customFormat="1" ht="15.75" x14ac:dyDescent="0.25">
      <c r="A128" s="15" t="s">
        <v>356</v>
      </c>
      <c r="B128" s="102">
        <v>44193</v>
      </c>
      <c r="C128" s="9" t="s">
        <v>628</v>
      </c>
      <c r="D128" s="58">
        <v>1</v>
      </c>
      <c r="E128" s="13">
        <v>550</v>
      </c>
      <c r="F128" s="50">
        <f t="shared" si="8"/>
        <v>550</v>
      </c>
      <c r="G128" s="103"/>
      <c r="H128" s="103"/>
      <c r="I128" s="104"/>
      <c r="J128" s="103"/>
      <c r="K128" s="103"/>
      <c r="L128" s="103">
        <f t="shared" si="5"/>
        <v>1</v>
      </c>
      <c r="M128" s="103"/>
      <c r="N128" s="103" t="s">
        <v>946</v>
      </c>
      <c r="O128" s="74">
        <f t="shared" si="11"/>
        <v>550</v>
      </c>
    </row>
    <row r="129" spans="1:15" s="92" customFormat="1" x14ac:dyDescent="0.3">
      <c r="A129" s="88" t="s">
        <v>357</v>
      </c>
      <c r="B129" s="102">
        <v>44193</v>
      </c>
      <c r="C129" s="9" t="s">
        <v>629</v>
      </c>
      <c r="D129" s="48">
        <v>0</v>
      </c>
      <c r="E129" s="13">
        <v>60</v>
      </c>
      <c r="F129" s="50">
        <f t="shared" si="8"/>
        <v>0</v>
      </c>
      <c r="G129" s="103"/>
      <c r="H129" s="103"/>
      <c r="I129" s="104"/>
      <c r="J129" s="103"/>
      <c r="K129" s="103"/>
      <c r="L129" s="103">
        <f t="shared" si="5"/>
        <v>0</v>
      </c>
      <c r="M129" s="103"/>
      <c r="N129" s="103" t="s">
        <v>945</v>
      </c>
      <c r="O129" s="74">
        <f t="shared" si="11"/>
        <v>0</v>
      </c>
    </row>
    <row r="130" spans="1:15" s="92" customFormat="1" x14ac:dyDescent="0.3">
      <c r="A130" s="88" t="s">
        <v>358</v>
      </c>
      <c r="B130" s="102">
        <v>44656</v>
      </c>
      <c r="C130" s="25" t="s">
        <v>631</v>
      </c>
      <c r="D130" s="32">
        <v>40</v>
      </c>
      <c r="E130" s="13">
        <v>115.53</v>
      </c>
      <c r="F130" s="50">
        <f t="shared" si="8"/>
        <v>4621.2</v>
      </c>
      <c r="G130" s="103"/>
      <c r="H130" s="103"/>
      <c r="I130" s="104"/>
      <c r="J130" s="103"/>
      <c r="K130" s="103">
        <f>2+1+2+1+1+1+1</f>
        <v>9</v>
      </c>
      <c r="L130" s="103">
        <f t="shared" si="5"/>
        <v>31</v>
      </c>
      <c r="M130" s="103"/>
      <c r="N130" s="103" t="s">
        <v>945</v>
      </c>
      <c r="O130" s="74">
        <f t="shared" si="11"/>
        <v>3581.43</v>
      </c>
    </row>
    <row r="131" spans="1:15" s="92" customFormat="1" x14ac:dyDescent="0.3">
      <c r="A131" s="88" t="s">
        <v>359</v>
      </c>
      <c r="B131" s="102">
        <v>44656</v>
      </c>
      <c r="C131" s="26" t="s">
        <v>632</v>
      </c>
      <c r="D131" s="32">
        <v>12</v>
      </c>
      <c r="E131" s="13">
        <v>128.62</v>
      </c>
      <c r="F131" s="50">
        <f t="shared" si="8"/>
        <v>1543.44</v>
      </c>
      <c r="G131" s="103"/>
      <c r="H131" s="103"/>
      <c r="I131" s="104"/>
      <c r="J131" s="103"/>
      <c r="K131" s="103"/>
      <c r="L131" s="103">
        <f t="shared" si="5"/>
        <v>12</v>
      </c>
      <c r="M131" s="103"/>
      <c r="N131" s="103" t="s">
        <v>945</v>
      </c>
      <c r="O131" s="74">
        <f t="shared" si="11"/>
        <v>1543.44</v>
      </c>
    </row>
    <row r="132" spans="1:15" s="92" customFormat="1" x14ac:dyDescent="0.3">
      <c r="A132" s="88" t="s">
        <v>360</v>
      </c>
      <c r="B132" s="102">
        <v>44659</v>
      </c>
      <c r="C132" s="26" t="s">
        <v>633</v>
      </c>
      <c r="D132" s="14">
        <v>41</v>
      </c>
      <c r="E132" s="13">
        <v>325</v>
      </c>
      <c r="F132" s="50">
        <f t="shared" si="8"/>
        <v>13325</v>
      </c>
      <c r="G132" s="103"/>
      <c r="H132" s="103"/>
      <c r="I132" s="104"/>
      <c r="J132" s="103"/>
      <c r="K132" s="103"/>
      <c r="L132" s="103">
        <f t="shared" si="5"/>
        <v>41</v>
      </c>
      <c r="M132" s="103"/>
      <c r="N132" s="103" t="s">
        <v>945</v>
      </c>
      <c r="O132" s="74">
        <f t="shared" si="11"/>
        <v>13325</v>
      </c>
    </row>
    <row r="133" spans="1:15" s="8" customFormat="1" ht="15.75" x14ac:dyDescent="0.25">
      <c r="A133" s="15" t="s">
        <v>361</v>
      </c>
      <c r="B133" s="102"/>
      <c r="C133" s="25" t="s">
        <v>861</v>
      </c>
      <c r="D133" s="38">
        <f>8+48</f>
        <v>56</v>
      </c>
      <c r="E133" s="13"/>
      <c r="F133" s="50">
        <f t="shared" ref="F133:F138" si="12">+D133*E133</f>
        <v>0</v>
      </c>
      <c r="G133" s="103"/>
      <c r="H133" s="103"/>
      <c r="I133" s="104"/>
      <c r="J133" s="103"/>
      <c r="K133" s="103"/>
      <c r="L133" s="103">
        <f t="shared" si="5"/>
        <v>56</v>
      </c>
      <c r="M133" s="103"/>
      <c r="N133" s="103" t="s">
        <v>947</v>
      </c>
      <c r="O133" s="74">
        <f t="shared" si="11"/>
        <v>0</v>
      </c>
    </row>
    <row r="134" spans="1:15" s="8" customFormat="1" ht="15.75" x14ac:dyDescent="0.25">
      <c r="A134" s="15" t="s">
        <v>362</v>
      </c>
      <c r="B134" s="102"/>
      <c r="C134" s="25" t="s">
        <v>862</v>
      </c>
      <c r="D134" s="38">
        <v>74</v>
      </c>
      <c r="E134" s="13"/>
      <c r="F134" s="50">
        <f t="shared" si="12"/>
        <v>0</v>
      </c>
      <c r="G134" s="103"/>
      <c r="H134" s="103"/>
      <c r="I134" s="104"/>
      <c r="J134" s="103"/>
      <c r="K134" s="103"/>
      <c r="L134" s="103">
        <f t="shared" si="5"/>
        <v>74</v>
      </c>
      <c r="M134" s="103"/>
      <c r="N134" s="103" t="s">
        <v>947</v>
      </c>
      <c r="O134" s="74">
        <f>+L134*E134</f>
        <v>0</v>
      </c>
    </row>
    <row r="135" spans="1:15" s="8" customFormat="1" ht="15.75" x14ac:dyDescent="0.25">
      <c r="A135" s="15" t="s">
        <v>363</v>
      </c>
      <c r="B135" s="102"/>
      <c r="C135" s="25" t="s">
        <v>863</v>
      </c>
      <c r="D135" s="38">
        <f>79+33+106</f>
        <v>218</v>
      </c>
      <c r="E135" s="13"/>
      <c r="F135" s="50">
        <f t="shared" si="12"/>
        <v>0</v>
      </c>
      <c r="G135" s="103"/>
      <c r="H135" s="103"/>
      <c r="I135" s="104"/>
      <c r="J135" s="103"/>
      <c r="K135" s="103"/>
      <c r="L135" s="103">
        <f t="shared" si="5"/>
        <v>218</v>
      </c>
      <c r="M135" s="103"/>
      <c r="N135" s="103" t="s">
        <v>947</v>
      </c>
      <c r="O135" s="74">
        <f t="shared" ref="O135:O147" si="13">+L135*E135</f>
        <v>0</v>
      </c>
    </row>
    <row r="136" spans="1:15" s="8" customFormat="1" ht="15.75" x14ac:dyDescent="0.25">
      <c r="A136" s="15" t="s">
        <v>364</v>
      </c>
      <c r="B136" s="102"/>
      <c r="C136" s="25" t="s">
        <v>864</v>
      </c>
      <c r="D136" s="38">
        <v>46</v>
      </c>
      <c r="E136" s="13"/>
      <c r="F136" s="50">
        <f t="shared" si="12"/>
        <v>0</v>
      </c>
      <c r="G136" s="103"/>
      <c r="H136" s="103"/>
      <c r="I136" s="104"/>
      <c r="J136" s="103"/>
      <c r="K136" s="103"/>
      <c r="L136" s="103">
        <f t="shared" si="5"/>
        <v>46</v>
      </c>
      <c r="M136" s="103"/>
      <c r="N136" s="103" t="s">
        <v>947</v>
      </c>
      <c r="O136" s="74">
        <f t="shared" si="13"/>
        <v>0</v>
      </c>
    </row>
    <row r="137" spans="1:15" s="8" customFormat="1" ht="15.75" x14ac:dyDescent="0.25">
      <c r="A137" s="15" t="s">
        <v>365</v>
      </c>
      <c r="B137" s="102"/>
      <c r="C137" s="25" t="s">
        <v>865</v>
      </c>
      <c r="D137" s="38">
        <v>41</v>
      </c>
      <c r="E137" s="13"/>
      <c r="F137" s="50">
        <f t="shared" si="12"/>
        <v>0</v>
      </c>
      <c r="G137" s="103"/>
      <c r="H137" s="103"/>
      <c r="I137" s="104"/>
      <c r="J137" s="103"/>
      <c r="K137" s="103"/>
      <c r="L137" s="103">
        <f t="shared" ref="L137:L200" si="14">+D137+H137-K137</f>
        <v>41</v>
      </c>
      <c r="M137" s="103"/>
      <c r="N137" s="103" t="s">
        <v>947</v>
      </c>
      <c r="O137" s="74">
        <f t="shared" si="13"/>
        <v>0</v>
      </c>
    </row>
    <row r="138" spans="1:15" s="8" customFormat="1" ht="15.75" x14ac:dyDescent="0.25">
      <c r="A138" s="15" t="s">
        <v>366</v>
      </c>
      <c r="B138" s="102"/>
      <c r="C138" s="25" t="s">
        <v>866</v>
      </c>
      <c r="D138" s="38">
        <f>34+1</f>
        <v>35</v>
      </c>
      <c r="E138" s="13"/>
      <c r="F138" s="50">
        <f t="shared" si="12"/>
        <v>0</v>
      </c>
      <c r="G138" s="103"/>
      <c r="H138" s="103"/>
      <c r="I138" s="104"/>
      <c r="J138" s="103"/>
      <c r="K138" s="103"/>
      <c r="L138" s="103">
        <f t="shared" si="14"/>
        <v>35</v>
      </c>
      <c r="M138" s="103"/>
      <c r="N138" s="103" t="s">
        <v>947</v>
      </c>
      <c r="O138" s="74">
        <f t="shared" si="13"/>
        <v>0</v>
      </c>
    </row>
    <row r="139" spans="1:15" s="92" customFormat="1" x14ac:dyDescent="0.3">
      <c r="A139" s="88" t="s">
        <v>367</v>
      </c>
      <c r="B139" s="106" t="s">
        <v>116</v>
      </c>
      <c r="C139" s="25" t="s">
        <v>719</v>
      </c>
      <c r="D139" s="32"/>
      <c r="E139" s="51">
        <v>529</v>
      </c>
      <c r="F139" s="50">
        <f>D139*E139</f>
        <v>0</v>
      </c>
      <c r="G139" s="107">
        <v>44748</v>
      </c>
      <c r="H139" s="104">
        <f>3*6</f>
        <v>18</v>
      </c>
      <c r="I139" s="104">
        <v>161.66666666666666</v>
      </c>
      <c r="J139" s="108">
        <f>+H139*I139</f>
        <v>2910</v>
      </c>
      <c r="K139" s="103">
        <f>12+3+2+1</f>
        <v>18</v>
      </c>
      <c r="L139" s="103">
        <f t="shared" si="14"/>
        <v>0</v>
      </c>
      <c r="M139" s="103"/>
      <c r="N139" s="103" t="s">
        <v>945</v>
      </c>
      <c r="O139" s="74">
        <f t="shared" si="13"/>
        <v>0</v>
      </c>
    </row>
    <row r="140" spans="1:15" s="8" customFormat="1" ht="15.75" x14ac:dyDescent="0.25">
      <c r="A140" s="15" t="s">
        <v>368</v>
      </c>
      <c r="B140" s="102">
        <v>44193</v>
      </c>
      <c r="C140" s="25" t="s">
        <v>813</v>
      </c>
      <c r="D140" s="32">
        <v>8</v>
      </c>
      <c r="E140" s="13">
        <v>1375</v>
      </c>
      <c r="F140" s="50">
        <f>D140*E140</f>
        <v>11000</v>
      </c>
      <c r="G140" s="103"/>
      <c r="H140" s="103"/>
      <c r="I140" s="104"/>
      <c r="J140" s="103"/>
      <c r="K140" s="103"/>
      <c r="L140" s="103">
        <f t="shared" si="14"/>
        <v>8</v>
      </c>
      <c r="M140" s="103"/>
      <c r="N140" s="103" t="s">
        <v>946</v>
      </c>
      <c r="O140" s="74">
        <f t="shared" si="13"/>
        <v>11000</v>
      </c>
    </row>
    <row r="141" spans="1:15" s="8" customFormat="1" ht="15.75" x14ac:dyDescent="0.25">
      <c r="A141" s="15" t="s">
        <v>369</v>
      </c>
      <c r="B141" s="106" t="s">
        <v>114</v>
      </c>
      <c r="C141" s="25" t="s">
        <v>642</v>
      </c>
      <c r="D141" s="32">
        <v>8</v>
      </c>
      <c r="E141" s="13">
        <v>1375</v>
      </c>
      <c r="F141" s="50">
        <f>D141*E141</f>
        <v>11000</v>
      </c>
      <c r="G141" s="103"/>
      <c r="H141" s="103"/>
      <c r="I141" s="104"/>
      <c r="J141" s="103"/>
      <c r="K141" s="103"/>
      <c r="L141" s="103">
        <f t="shared" si="14"/>
        <v>8</v>
      </c>
      <c r="M141" s="103"/>
      <c r="N141" s="103" t="s">
        <v>946</v>
      </c>
      <c r="O141" s="74">
        <f t="shared" si="13"/>
        <v>11000</v>
      </c>
    </row>
    <row r="142" spans="1:15" s="8" customFormat="1" ht="15.75" x14ac:dyDescent="0.25">
      <c r="A142" s="15" t="s">
        <v>370</v>
      </c>
      <c r="B142" s="102"/>
      <c r="C142" s="25" t="s">
        <v>833</v>
      </c>
      <c r="D142" s="32">
        <v>7</v>
      </c>
      <c r="E142" s="13"/>
      <c r="F142" s="50"/>
      <c r="G142" s="103"/>
      <c r="H142" s="103"/>
      <c r="I142" s="104"/>
      <c r="J142" s="103"/>
      <c r="K142" s="103"/>
      <c r="L142" s="103">
        <f t="shared" si="14"/>
        <v>7</v>
      </c>
      <c r="M142" s="103"/>
      <c r="N142" s="103" t="s">
        <v>946</v>
      </c>
      <c r="O142" s="74">
        <f t="shared" si="13"/>
        <v>0</v>
      </c>
    </row>
    <row r="143" spans="1:15" s="8" customFormat="1" ht="15.75" x14ac:dyDescent="0.25">
      <c r="A143" s="15" t="s">
        <v>371</v>
      </c>
      <c r="B143" s="102">
        <v>44193</v>
      </c>
      <c r="C143" s="25" t="s">
        <v>643</v>
      </c>
      <c r="D143" s="32">
        <v>4</v>
      </c>
      <c r="E143" s="13">
        <v>1375</v>
      </c>
      <c r="F143" s="50">
        <f>D143*E143</f>
        <v>5500</v>
      </c>
      <c r="G143" s="103"/>
      <c r="H143" s="103"/>
      <c r="I143" s="104"/>
      <c r="J143" s="103"/>
      <c r="K143" s="103"/>
      <c r="L143" s="103">
        <f t="shared" si="14"/>
        <v>4</v>
      </c>
      <c r="M143" s="103"/>
      <c r="N143" s="103" t="s">
        <v>946</v>
      </c>
      <c r="O143" s="74">
        <f t="shared" si="13"/>
        <v>5500</v>
      </c>
    </row>
    <row r="144" spans="1:15" s="8" customFormat="1" ht="15.75" x14ac:dyDescent="0.25">
      <c r="A144" s="15" t="s">
        <v>372</v>
      </c>
      <c r="B144" s="106"/>
      <c r="C144" s="25" t="s">
        <v>816</v>
      </c>
      <c r="D144" s="32">
        <v>2</v>
      </c>
      <c r="E144" s="13"/>
      <c r="F144" s="50"/>
      <c r="G144" s="103"/>
      <c r="H144" s="103"/>
      <c r="I144" s="104"/>
      <c r="J144" s="103"/>
      <c r="K144" s="103"/>
      <c r="L144" s="103">
        <f t="shared" si="14"/>
        <v>2</v>
      </c>
      <c r="M144" s="103"/>
      <c r="N144" s="103" t="s">
        <v>946</v>
      </c>
      <c r="O144" s="74">
        <f t="shared" si="13"/>
        <v>0</v>
      </c>
    </row>
    <row r="145" spans="1:15" s="8" customFormat="1" ht="15.75" x14ac:dyDescent="0.25">
      <c r="A145" s="15" t="s">
        <v>373</v>
      </c>
      <c r="B145" s="102"/>
      <c r="C145" s="25" t="s">
        <v>829</v>
      </c>
      <c r="D145" s="32">
        <v>2</v>
      </c>
      <c r="E145" s="13"/>
      <c r="F145" s="50"/>
      <c r="G145" s="103"/>
      <c r="H145" s="103"/>
      <c r="I145" s="104"/>
      <c r="J145" s="103"/>
      <c r="K145" s="103"/>
      <c r="L145" s="103">
        <f t="shared" si="14"/>
        <v>2</v>
      </c>
      <c r="M145" s="103"/>
      <c r="N145" s="103" t="s">
        <v>946</v>
      </c>
      <c r="O145" s="74">
        <f t="shared" si="13"/>
        <v>0</v>
      </c>
    </row>
    <row r="146" spans="1:15" s="8" customFormat="1" ht="15.75" x14ac:dyDescent="0.25">
      <c r="A146" s="15" t="s">
        <v>374</v>
      </c>
      <c r="B146" s="106" t="s">
        <v>106</v>
      </c>
      <c r="C146" s="25" t="s">
        <v>635</v>
      </c>
      <c r="D146" s="32">
        <v>8</v>
      </c>
      <c r="E146" s="13">
        <v>1375</v>
      </c>
      <c r="F146" s="50">
        <f>D146*E146</f>
        <v>11000</v>
      </c>
      <c r="G146" s="103"/>
      <c r="H146" s="103"/>
      <c r="I146" s="104"/>
      <c r="J146" s="103"/>
      <c r="K146" s="103">
        <v>1</v>
      </c>
      <c r="L146" s="103">
        <f t="shared" si="14"/>
        <v>7</v>
      </c>
      <c r="M146" s="103"/>
      <c r="N146" s="103" t="s">
        <v>946</v>
      </c>
      <c r="O146" s="74">
        <f t="shared" si="13"/>
        <v>9625</v>
      </c>
    </row>
    <row r="147" spans="1:15" s="8" customFormat="1" ht="15.75" x14ac:dyDescent="0.25">
      <c r="A147" s="15" t="s">
        <v>375</v>
      </c>
      <c r="B147" s="106" t="s">
        <v>106</v>
      </c>
      <c r="C147" s="25" t="s">
        <v>636</v>
      </c>
      <c r="D147" s="55">
        <v>60</v>
      </c>
      <c r="E147" s="13">
        <v>1375</v>
      </c>
      <c r="F147" s="50">
        <f>D147*E147</f>
        <v>82500</v>
      </c>
      <c r="G147" s="103"/>
      <c r="H147" s="103"/>
      <c r="I147" s="104"/>
      <c r="J147" s="103"/>
      <c r="K147" s="103"/>
      <c r="L147" s="103">
        <f t="shared" si="14"/>
        <v>60</v>
      </c>
      <c r="M147" s="103"/>
      <c r="N147" s="103" t="s">
        <v>946</v>
      </c>
      <c r="O147" s="74">
        <f t="shared" si="13"/>
        <v>82500</v>
      </c>
    </row>
    <row r="148" spans="1:15" s="8" customFormat="1" ht="15.75" x14ac:dyDescent="0.25">
      <c r="A148" s="15" t="s">
        <v>376</v>
      </c>
      <c r="B148" s="102"/>
      <c r="C148" s="25" t="s">
        <v>831</v>
      </c>
      <c r="D148" s="32">
        <f>25+28</f>
        <v>53</v>
      </c>
      <c r="E148" s="13"/>
      <c r="F148" s="50"/>
      <c r="G148" s="103"/>
      <c r="H148" s="103"/>
      <c r="I148" s="104"/>
      <c r="J148" s="103"/>
      <c r="K148" s="103"/>
      <c r="L148" s="103">
        <f t="shared" si="14"/>
        <v>53</v>
      </c>
      <c r="M148" s="103"/>
      <c r="N148" s="103" t="s">
        <v>946</v>
      </c>
      <c r="O148" s="74">
        <f>+L148*E148</f>
        <v>0</v>
      </c>
    </row>
    <row r="149" spans="1:15" s="8" customFormat="1" ht="15.75" x14ac:dyDescent="0.25">
      <c r="A149" s="15" t="s">
        <v>377</v>
      </c>
      <c r="B149" s="102"/>
      <c r="C149" s="25" t="s">
        <v>832</v>
      </c>
      <c r="D149" s="32">
        <v>5</v>
      </c>
      <c r="E149" s="13"/>
      <c r="F149" s="50"/>
      <c r="G149" s="103"/>
      <c r="H149" s="103"/>
      <c r="I149" s="104"/>
      <c r="J149" s="103"/>
      <c r="K149" s="103"/>
      <c r="L149" s="103">
        <f t="shared" si="14"/>
        <v>5</v>
      </c>
      <c r="M149" s="103"/>
      <c r="N149" s="103" t="s">
        <v>946</v>
      </c>
      <c r="O149" s="74">
        <f t="shared" ref="O149:O160" si="15">+L149*E149</f>
        <v>0</v>
      </c>
    </row>
    <row r="150" spans="1:15" s="8" customFormat="1" ht="15.75" x14ac:dyDescent="0.25">
      <c r="A150" s="15" t="s">
        <v>378</v>
      </c>
      <c r="B150" s="106" t="s">
        <v>106</v>
      </c>
      <c r="C150" s="25" t="s">
        <v>812</v>
      </c>
      <c r="D150" s="32">
        <v>3</v>
      </c>
      <c r="E150" s="13">
        <v>1180</v>
      </c>
      <c r="F150" s="50">
        <f>D150*E150</f>
        <v>3540</v>
      </c>
      <c r="G150" s="103"/>
      <c r="H150" s="103"/>
      <c r="I150" s="104"/>
      <c r="J150" s="103"/>
      <c r="K150" s="103"/>
      <c r="L150" s="103">
        <f t="shared" si="14"/>
        <v>3</v>
      </c>
      <c r="M150" s="103"/>
      <c r="N150" s="103" t="s">
        <v>946</v>
      </c>
      <c r="O150" s="74">
        <f t="shared" si="15"/>
        <v>3540</v>
      </c>
    </row>
    <row r="151" spans="1:15" s="8" customFormat="1" ht="15.75" x14ac:dyDescent="0.25">
      <c r="A151" s="15" t="s">
        <v>379</v>
      </c>
      <c r="B151" s="102">
        <v>44193</v>
      </c>
      <c r="C151" s="25" t="s">
        <v>637</v>
      </c>
      <c r="D151" s="55">
        <v>9</v>
      </c>
      <c r="E151" s="13">
        <v>1180</v>
      </c>
      <c r="F151" s="50">
        <f>D151*E151</f>
        <v>10620</v>
      </c>
      <c r="G151" s="103"/>
      <c r="H151" s="103"/>
      <c r="I151" s="104"/>
      <c r="J151" s="103"/>
      <c r="K151" s="103"/>
      <c r="L151" s="103">
        <f t="shared" si="14"/>
        <v>9</v>
      </c>
      <c r="M151" s="103"/>
      <c r="N151" s="103" t="s">
        <v>946</v>
      </c>
      <c r="O151" s="74">
        <f t="shared" si="15"/>
        <v>10620</v>
      </c>
    </row>
    <row r="152" spans="1:15" s="8" customFormat="1" ht="15.75" x14ac:dyDescent="0.25">
      <c r="A152" s="15" t="s">
        <v>380</v>
      </c>
      <c r="B152" s="102"/>
      <c r="C152" s="25" t="s">
        <v>834</v>
      </c>
      <c r="D152" s="32">
        <v>1</v>
      </c>
      <c r="E152" s="13"/>
      <c r="F152" s="50"/>
      <c r="G152" s="103"/>
      <c r="H152" s="103"/>
      <c r="I152" s="104"/>
      <c r="J152" s="103"/>
      <c r="K152" s="103"/>
      <c r="L152" s="103">
        <f t="shared" si="14"/>
        <v>1</v>
      </c>
      <c r="M152" s="103"/>
      <c r="N152" s="103" t="s">
        <v>946</v>
      </c>
      <c r="O152" s="74">
        <f t="shared" si="15"/>
        <v>0</v>
      </c>
    </row>
    <row r="153" spans="1:15" s="8" customFormat="1" ht="15.75" x14ac:dyDescent="0.25">
      <c r="A153" s="15" t="s">
        <v>381</v>
      </c>
      <c r="B153" s="106" t="s">
        <v>106</v>
      </c>
      <c r="C153" s="25" t="s">
        <v>639</v>
      </c>
      <c r="D153" s="32">
        <v>8</v>
      </c>
      <c r="E153" s="51">
        <v>1375</v>
      </c>
      <c r="F153" s="50">
        <f t="shared" ref="F153:F165" si="16">D153*E153</f>
        <v>11000</v>
      </c>
      <c r="G153" s="103"/>
      <c r="H153" s="103"/>
      <c r="I153" s="104"/>
      <c r="J153" s="103"/>
      <c r="K153" s="103"/>
      <c r="L153" s="103">
        <f t="shared" si="14"/>
        <v>8</v>
      </c>
      <c r="M153" s="103"/>
      <c r="N153" s="103" t="s">
        <v>946</v>
      </c>
      <c r="O153" s="74">
        <f t="shared" si="15"/>
        <v>11000</v>
      </c>
    </row>
    <row r="154" spans="1:15" s="8" customFormat="1" ht="15.75" x14ac:dyDescent="0.25">
      <c r="A154" s="15" t="s">
        <v>382</v>
      </c>
      <c r="B154" s="102">
        <v>44193</v>
      </c>
      <c r="C154" s="25" t="s">
        <v>638</v>
      </c>
      <c r="D154" s="32">
        <v>4</v>
      </c>
      <c r="E154" s="13">
        <v>1294.3699999999999</v>
      </c>
      <c r="F154" s="50">
        <f t="shared" si="16"/>
        <v>5177.4799999999996</v>
      </c>
      <c r="G154" s="103"/>
      <c r="H154" s="103"/>
      <c r="I154" s="104"/>
      <c r="J154" s="103"/>
      <c r="K154" s="103"/>
      <c r="L154" s="103">
        <f t="shared" si="14"/>
        <v>4</v>
      </c>
      <c r="M154" s="103"/>
      <c r="N154" s="103" t="s">
        <v>946</v>
      </c>
      <c r="O154" s="74">
        <f t="shared" si="15"/>
        <v>5177.4799999999996</v>
      </c>
    </row>
    <row r="155" spans="1:15" s="8" customFormat="1" ht="15.75" x14ac:dyDescent="0.25">
      <c r="A155" s="15" t="s">
        <v>383</v>
      </c>
      <c r="B155" s="106" t="s">
        <v>114</v>
      </c>
      <c r="C155" s="25" t="s">
        <v>640</v>
      </c>
      <c r="D155" s="32">
        <v>4</v>
      </c>
      <c r="E155" s="52">
        <v>2600</v>
      </c>
      <c r="F155" s="50">
        <f t="shared" si="16"/>
        <v>10400</v>
      </c>
      <c r="G155" s="103"/>
      <c r="H155" s="103"/>
      <c r="I155" s="104"/>
      <c r="J155" s="103"/>
      <c r="K155" s="103"/>
      <c r="L155" s="103">
        <f t="shared" si="14"/>
        <v>4</v>
      </c>
      <c r="M155" s="103"/>
      <c r="N155" s="103" t="s">
        <v>946</v>
      </c>
      <c r="O155" s="74">
        <f t="shared" si="15"/>
        <v>10400</v>
      </c>
    </row>
    <row r="156" spans="1:15" s="8" customFormat="1" ht="15.75" x14ac:dyDescent="0.25">
      <c r="A156" s="15" t="s">
        <v>384</v>
      </c>
      <c r="B156" s="102">
        <v>44193</v>
      </c>
      <c r="C156" s="25" t="s">
        <v>830</v>
      </c>
      <c r="D156" s="32">
        <v>2</v>
      </c>
      <c r="E156" s="13">
        <v>2600</v>
      </c>
      <c r="F156" s="50">
        <f t="shared" si="16"/>
        <v>5200</v>
      </c>
      <c r="G156" s="103"/>
      <c r="H156" s="103"/>
      <c r="I156" s="104"/>
      <c r="J156" s="103"/>
      <c r="K156" s="103">
        <v>1</v>
      </c>
      <c r="L156" s="103">
        <f t="shared" si="14"/>
        <v>1</v>
      </c>
      <c r="M156" s="103"/>
      <c r="N156" s="103" t="s">
        <v>946</v>
      </c>
      <c r="O156" s="74">
        <f t="shared" si="15"/>
        <v>2600</v>
      </c>
    </row>
    <row r="157" spans="1:15" s="8" customFormat="1" ht="15.75" x14ac:dyDescent="0.25">
      <c r="A157" s="15" t="s">
        <v>385</v>
      </c>
      <c r="B157" s="102">
        <v>44193</v>
      </c>
      <c r="C157" s="9" t="s">
        <v>951</v>
      </c>
      <c r="D157" s="58">
        <v>46</v>
      </c>
      <c r="E157" s="13">
        <v>4.55</v>
      </c>
      <c r="F157" s="50">
        <f t="shared" si="16"/>
        <v>209.29999999999998</v>
      </c>
      <c r="G157" s="103"/>
      <c r="H157" s="103"/>
      <c r="I157" s="104"/>
      <c r="J157" s="103"/>
      <c r="K157" s="103">
        <v>12</v>
      </c>
      <c r="L157" s="103">
        <f t="shared" si="14"/>
        <v>34</v>
      </c>
      <c r="M157" s="103"/>
      <c r="N157" s="103" t="s">
        <v>947</v>
      </c>
      <c r="O157" s="74">
        <f t="shared" si="15"/>
        <v>154.69999999999999</v>
      </c>
    </row>
    <row r="158" spans="1:15" s="8" customFormat="1" ht="15.75" x14ac:dyDescent="0.25">
      <c r="A158" s="15" t="s">
        <v>386</v>
      </c>
      <c r="B158" s="102">
        <v>44193</v>
      </c>
      <c r="C158" s="9" t="s">
        <v>647</v>
      </c>
      <c r="D158" s="58">
        <v>15</v>
      </c>
      <c r="E158" s="13">
        <v>4.55</v>
      </c>
      <c r="F158" s="50">
        <f t="shared" si="16"/>
        <v>68.25</v>
      </c>
      <c r="G158" s="103"/>
      <c r="H158" s="103"/>
      <c r="I158" s="104"/>
      <c r="J158" s="103"/>
      <c r="K158" s="103"/>
      <c r="L158" s="103">
        <f t="shared" si="14"/>
        <v>15</v>
      </c>
      <c r="M158" s="103"/>
      <c r="N158" s="103" t="s">
        <v>947</v>
      </c>
      <c r="O158" s="74">
        <f t="shared" si="15"/>
        <v>68.25</v>
      </c>
    </row>
    <row r="159" spans="1:15" s="8" customFormat="1" ht="15.75" x14ac:dyDescent="0.25">
      <c r="A159" s="15" t="s">
        <v>387</v>
      </c>
      <c r="B159" s="102">
        <v>44193</v>
      </c>
      <c r="C159" s="26" t="s">
        <v>645</v>
      </c>
      <c r="D159" s="58">
        <v>820</v>
      </c>
      <c r="E159" s="13">
        <v>7.5</v>
      </c>
      <c r="F159" s="50">
        <f t="shared" si="16"/>
        <v>6150</v>
      </c>
      <c r="G159" s="103"/>
      <c r="H159" s="103"/>
      <c r="I159" s="104"/>
      <c r="J159" s="103"/>
      <c r="K159" s="103"/>
      <c r="L159" s="103">
        <f t="shared" si="14"/>
        <v>820</v>
      </c>
      <c r="M159" s="103"/>
      <c r="N159" s="103" t="s">
        <v>947</v>
      </c>
      <c r="O159" s="74">
        <f t="shared" si="15"/>
        <v>6150</v>
      </c>
    </row>
    <row r="160" spans="1:15" s="92" customFormat="1" x14ac:dyDescent="0.3">
      <c r="A160" s="88" t="s">
        <v>388</v>
      </c>
      <c r="B160" s="102">
        <v>44659</v>
      </c>
      <c r="C160" s="26" t="s">
        <v>854</v>
      </c>
      <c r="D160" s="30">
        <f>30*100</f>
        <v>3000</v>
      </c>
      <c r="E160" s="13">
        <v>3.4</v>
      </c>
      <c r="F160" s="50">
        <f t="shared" si="16"/>
        <v>10200</v>
      </c>
      <c r="G160" s="103"/>
      <c r="H160" s="103"/>
      <c r="I160" s="104"/>
      <c r="J160" s="103"/>
      <c r="K160" s="103"/>
      <c r="L160" s="103">
        <f t="shared" si="14"/>
        <v>3000</v>
      </c>
      <c r="M160" s="103"/>
      <c r="N160" s="103" t="s">
        <v>945</v>
      </c>
      <c r="O160" s="74">
        <f t="shared" si="15"/>
        <v>10200</v>
      </c>
    </row>
    <row r="161" spans="1:15" s="92" customFormat="1" x14ac:dyDescent="0.3">
      <c r="A161" s="88" t="s">
        <v>389</v>
      </c>
      <c r="B161" s="102">
        <v>44453</v>
      </c>
      <c r="C161" s="9" t="s">
        <v>648</v>
      </c>
      <c r="D161" s="30">
        <v>1100</v>
      </c>
      <c r="E161" s="13">
        <v>2.59</v>
      </c>
      <c r="F161" s="50">
        <f t="shared" si="16"/>
        <v>2849</v>
      </c>
      <c r="G161" s="107">
        <v>44778</v>
      </c>
      <c r="H161" s="109">
        <f>20*100</f>
        <v>2000</v>
      </c>
      <c r="I161" s="104">
        <f>3.4+0.612</f>
        <v>4.0119999999999996</v>
      </c>
      <c r="J161" s="108">
        <f>+H161*I161</f>
        <v>8023.9999999999991</v>
      </c>
      <c r="K161" s="103">
        <f>100+25+100</f>
        <v>225</v>
      </c>
      <c r="L161" s="103">
        <f t="shared" si="14"/>
        <v>2875</v>
      </c>
      <c r="M161" s="103" t="s">
        <v>943</v>
      </c>
      <c r="N161" s="103" t="s">
        <v>945</v>
      </c>
      <c r="O161" s="74">
        <f>+L161*E161</f>
        <v>7446.25</v>
      </c>
    </row>
    <row r="162" spans="1:15" s="92" customFormat="1" x14ac:dyDescent="0.3">
      <c r="A162" s="88" t="s">
        <v>390</v>
      </c>
      <c r="B162" s="102">
        <v>44659</v>
      </c>
      <c r="C162" s="25" t="s">
        <v>855</v>
      </c>
      <c r="D162" s="38">
        <f>25*100</f>
        <v>2500</v>
      </c>
      <c r="E162" s="13">
        <v>4.3499999999999996</v>
      </c>
      <c r="F162" s="50">
        <f t="shared" si="16"/>
        <v>10875</v>
      </c>
      <c r="G162" s="107">
        <v>44778</v>
      </c>
      <c r="H162" s="109">
        <f>10*100</f>
        <v>1000</v>
      </c>
      <c r="I162" s="104">
        <v>4.8899999999999997</v>
      </c>
      <c r="J162" s="108">
        <f>+H162*I162</f>
        <v>4890</v>
      </c>
      <c r="K162" s="103"/>
      <c r="L162" s="103">
        <f t="shared" si="14"/>
        <v>3500</v>
      </c>
      <c r="M162" s="103" t="s">
        <v>943</v>
      </c>
      <c r="N162" s="103" t="s">
        <v>945</v>
      </c>
      <c r="O162" s="74">
        <f t="shared" ref="O162:O173" si="17">+L162*E162</f>
        <v>15224.999999999998</v>
      </c>
    </row>
    <row r="163" spans="1:15" s="92" customFormat="1" x14ac:dyDescent="0.3">
      <c r="A163" s="88" t="s">
        <v>391</v>
      </c>
      <c r="B163" s="102">
        <v>44659</v>
      </c>
      <c r="C163" s="25" t="s">
        <v>651</v>
      </c>
      <c r="D163" s="38">
        <f>60*100</f>
        <v>6000</v>
      </c>
      <c r="E163" s="13">
        <v>6.95</v>
      </c>
      <c r="F163" s="50">
        <f t="shared" si="16"/>
        <v>41700</v>
      </c>
      <c r="G163" s="103"/>
      <c r="H163" s="103"/>
      <c r="I163" s="104"/>
      <c r="J163" s="103"/>
      <c r="K163" s="103">
        <v>100</v>
      </c>
      <c r="L163" s="103">
        <f t="shared" si="14"/>
        <v>5900</v>
      </c>
      <c r="M163" s="103"/>
      <c r="N163" s="103" t="s">
        <v>945</v>
      </c>
      <c r="O163" s="74">
        <f t="shared" si="17"/>
        <v>41005</v>
      </c>
    </row>
    <row r="164" spans="1:15" s="92" customFormat="1" x14ac:dyDescent="0.3">
      <c r="A164" s="88" t="s">
        <v>392</v>
      </c>
      <c r="B164" s="102">
        <v>44659</v>
      </c>
      <c r="C164" s="25" t="s">
        <v>652</v>
      </c>
      <c r="D164" s="38">
        <f>30*100</f>
        <v>3000</v>
      </c>
      <c r="E164" s="13">
        <v>6.5</v>
      </c>
      <c r="F164" s="50">
        <f t="shared" si="16"/>
        <v>19500</v>
      </c>
      <c r="G164" s="103"/>
      <c r="H164" s="103"/>
      <c r="I164" s="104"/>
      <c r="J164" s="103"/>
      <c r="K164" s="103">
        <f>100+100</f>
        <v>200</v>
      </c>
      <c r="L164" s="103">
        <f t="shared" si="14"/>
        <v>2800</v>
      </c>
      <c r="M164" s="103"/>
      <c r="N164" s="103" t="s">
        <v>945</v>
      </c>
      <c r="O164" s="74">
        <f t="shared" si="17"/>
        <v>18200</v>
      </c>
    </row>
    <row r="165" spans="1:15" s="92" customFormat="1" x14ac:dyDescent="0.3">
      <c r="A165" s="88" t="s">
        <v>393</v>
      </c>
      <c r="B165" s="102">
        <v>44193</v>
      </c>
      <c r="C165" s="26" t="s">
        <v>786</v>
      </c>
      <c r="D165" s="32">
        <f>4+8</f>
        <v>12</v>
      </c>
      <c r="E165" s="13">
        <v>150</v>
      </c>
      <c r="F165" s="50">
        <f t="shared" si="16"/>
        <v>1800</v>
      </c>
      <c r="G165" s="103"/>
      <c r="H165" s="103"/>
      <c r="I165" s="104"/>
      <c r="J165" s="103"/>
      <c r="K165" s="103"/>
      <c r="L165" s="103">
        <f t="shared" si="14"/>
        <v>12</v>
      </c>
      <c r="M165" s="103"/>
      <c r="N165" s="103" t="s">
        <v>945</v>
      </c>
      <c r="O165" s="74">
        <f t="shared" si="17"/>
        <v>1800</v>
      </c>
    </row>
    <row r="166" spans="1:15" s="8" customFormat="1" ht="15.75" x14ac:dyDescent="0.25">
      <c r="A166" s="15" t="s">
        <v>394</v>
      </c>
      <c r="B166" s="102"/>
      <c r="C166" s="25" t="s">
        <v>827</v>
      </c>
      <c r="D166" s="38">
        <v>2</v>
      </c>
      <c r="E166" s="13"/>
      <c r="F166" s="50"/>
      <c r="G166" s="103"/>
      <c r="H166" s="103"/>
      <c r="I166" s="104"/>
      <c r="J166" s="103"/>
      <c r="K166" s="103"/>
      <c r="L166" s="103">
        <f t="shared" si="14"/>
        <v>2</v>
      </c>
      <c r="M166" s="103"/>
      <c r="N166" s="103" t="s">
        <v>946</v>
      </c>
      <c r="O166" s="74">
        <f t="shared" si="17"/>
        <v>0</v>
      </c>
    </row>
    <row r="167" spans="1:15" s="8" customFormat="1" ht="15.75" x14ac:dyDescent="0.25">
      <c r="A167" s="15" t="s">
        <v>395</v>
      </c>
      <c r="B167" s="102"/>
      <c r="C167" s="25" t="s">
        <v>828</v>
      </c>
      <c r="D167" s="38">
        <v>1</v>
      </c>
      <c r="E167" s="13"/>
      <c r="F167" s="50"/>
      <c r="G167" s="103"/>
      <c r="H167" s="103"/>
      <c r="I167" s="104"/>
      <c r="J167" s="103"/>
      <c r="K167" s="103"/>
      <c r="L167" s="103">
        <f t="shared" si="14"/>
        <v>1</v>
      </c>
      <c r="M167" s="103"/>
      <c r="N167" s="103" t="s">
        <v>946</v>
      </c>
      <c r="O167" s="74">
        <f t="shared" si="17"/>
        <v>0</v>
      </c>
    </row>
    <row r="168" spans="1:15" s="92" customFormat="1" x14ac:dyDescent="0.3">
      <c r="A168" s="88" t="s">
        <v>396</v>
      </c>
      <c r="B168" s="102">
        <v>44193</v>
      </c>
      <c r="C168" s="25" t="s">
        <v>653</v>
      </c>
      <c r="D168" s="38">
        <v>50</v>
      </c>
      <c r="E168" s="13">
        <v>575</v>
      </c>
      <c r="F168" s="50">
        <f t="shared" ref="F168:F198" si="18">D168*E168</f>
        <v>28750</v>
      </c>
      <c r="G168" s="103"/>
      <c r="H168" s="103"/>
      <c r="I168" s="104"/>
      <c r="J168" s="103"/>
      <c r="K168" s="103">
        <f>1+1</f>
        <v>2</v>
      </c>
      <c r="L168" s="103">
        <f t="shared" si="14"/>
        <v>48</v>
      </c>
      <c r="M168" s="103"/>
      <c r="N168" s="103" t="s">
        <v>945</v>
      </c>
      <c r="O168" s="74">
        <f t="shared" si="17"/>
        <v>27600</v>
      </c>
    </row>
    <row r="169" spans="1:15" s="8" customFormat="1" ht="15.75" x14ac:dyDescent="0.25">
      <c r="A169" s="15" t="s">
        <v>397</v>
      </c>
      <c r="B169" s="102">
        <v>44193</v>
      </c>
      <c r="C169" s="26" t="s">
        <v>655</v>
      </c>
      <c r="D169" s="32">
        <v>20</v>
      </c>
      <c r="E169" s="13">
        <v>25</v>
      </c>
      <c r="F169" s="50">
        <f t="shared" si="18"/>
        <v>500</v>
      </c>
      <c r="G169" s="103"/>
      <c r="H169" s="103"/>
      <c r="I169" s="104"/>
      <c r="J169" s="103"/>
      <c r="K169" s="103"/>
      <c r="L169" s="103">
        <f t="shared" si="14"/>
        <v>20</v>
      </c>
      <c r="M169" s="103"/>
      <c r="N169" s="103" t="s">
        <v>947</v>
      </c>
      <c r="O169" s="74">
        <f t="shared" si="17"/>
        <v>500</v>
      </c>
    </row>
    <row r="170" spans="1:15" s="8" customFormat="1" ht="15.75" x14ac:dyDescent="0.25">
      <c r="A170" s="15" t="s">
        <v>398</v>
      </c>
      <c r="B170" s="102">
        <v>44193</v>
      </c>
      <c r="C170" s="9" t="s">
        <v>656</v>
      </c>
      <c r="D170" s="32">
        <v>15</v>
      </c>
      <c r="E170" s="13">
        <v>275</v>
      </c>
      <c r="F170" s="50">
        <f t="shared" si="18"/>
        <v>4125</v>
      </c>
      <c r="G170" s="103"/>
      <c r="H170" s="103"/>
      <c r="I170" s="104"/>
      <c r="J170" s="103"/>
      <c r="K170" s="103">
        <v>1</v>
      </c>
      <c r="L170" s="103">
        <f t="shared" si="14"/>
        <v>14</v>
      </c>
      <c r="M170" s="103"/>
      <c r="N170" s="103" t="s">
        <v>947</v>
      </c>
      <c r="O170" s="74">
        <f t="shared" si="17"/>
        <v>3850</v>
      </c>
    </row>
    <row r="171" spans="1:15" s="8" customFormat="1" ht="15.75" x14ac:dyDescent="0.25">
      <c r="A171" s="15" t="s">
        <v>399</v>
      </c>
      <c r="B171" s="102">
        <v>44193</v>
      </c>
      <c r="C171" s="9" t="s">
        <v>658</v>
      </c>
      <c r="D171" s="30">
        <v>2</v>
      </c>
      <c r="E171" s="13">
        <v>50</v>
      </c>
      <c r="F171" s="50">
        <f t="shared" si="18"/>
        <v>100</v>
      </c>
      <c r="G171" s="103"/>
      <c r="H171" s="103"/>
      <c r="I171" s="104"/>
      <c r="J171" s="103"/>
      <c r="K171" s="103"/>
      <c r="L171" s="103">
        <f t="shared" si="14"/>
        <v>2</v>
      </c>
      <c r="M171" s="103"/>
      <c r="N171" s="103" t="s">
        <v>947</v>
      </c>
      <c r="O171" s="74">
        <f t="shared" si="17"/>
        <v>100</v>
      </c>
    </row>
    <row r="172" spans="1:15" s="8" customFormat="1" ht="15.75" x14ac:dyDescent="0.25">
      <c r="A172" s="15" t="s">
        <v>400</v>
      </c>
      <c r="B172" s="102">
        <v>44193</v>
      </c>
      <c r="C172" s="9" t="s">
        <v>657</v>
      </c>
      <c r="D172" s="30">
        <f>20+9</f>
        <v>29</v>
      </c>
      <c r="E172" s="13">
        <v>50</v>
      </c>
      <c r="F172" s="50">
        <f t="shared" si="18"/>
        <v>1450</v>
      </c>
      <c r="G172" s="103"/>
      <c r="H172" s="103"/>
      <c r="I172" s="104"/>
      <c r="J172" s="103"/>
      <c r="K172" s="103">
        <v>1</v>
      </c>
      <c r="L172" s="103">
        <f t="shared" si="14"/>
        <v>28</v>
      </c>
      <c r="M172" s="103"/>
      <c r="N172" s="103" t="s">
        <v>947</v>
      </c>
      <c r="O172" s="74">
        <f t="shared" si="17"/>
        <v>1400</v>
      </c>
    </row>
    <row r="173" spans="1:15" s="92" customFormat="1" x14ac:dyDescent="0.3">
      <c r="A173" s="88" t="s">
        <v>401</v>
      </c>
      <c r="B173" s="102">
        <v>44193</v>
      </c>
      <c r="C173" s="26" t="s">
        <v>660</v>
      </c>
      <c r="D173" s="30">
        <v>35</v>
      </c>
      <c r="E173" s="13">
        <v>7</v>
      </c>
      <c r="F173" s="50">
        <f t="shared" si="18"/>
        <v>245</v>
      </c>
      <c r="G173" s="103"/>
      <c r="H173" s="103"/>
      <c r="I173" s="104"/>
      <c r="J173" s="103"/>
      <c r="K173" s="103"/>
      <c r="L173" s="103">
        <f t="shared" si="14"/>
        <v>35</v>
      </c>
      <c r="M173" s="103"/>
      <c r="N173" s="103" t="s">
        <v>945</v>
      </c>
      <c r="O173" s="74">
        <f t="shared" si="17"/>
        <v>245</v>
      </c>
    </row>
    <row r="174" spans="1:15" s="92" customFormat="1" x14ac:dyDescent="0.3">
      <c r="A174" s="88" t="s">
        <v>402</v>
      </c>
      <c r="B174" s="102">
        <v>44193</v>
      </c>
      <c r="C174" s="26" t="s">
        <v>659</v>
      </c>
      <c r="D174" s="30">
        <v>34</v>
      </c>
      <c r="E174" s="13">
        <v>125</v>
      </c>
      <c r="F174" s="50">
        <f t="shared" si="18"/>
        <v>4250</v>
      </c>
      <c r="G174" s="103"/>
      <c r="H174" s="103"/>
      <c r="I174" s="104"/>
      <c r="J174" s="103"/>
      <c r="K174" s="103">
        <v>1</v>
      </c>
      <c r="L174" s="103">
        <f t="shared" si="14"/>
        <v>33</v>
      </c>
      <c r="M174" s="103"/>
      <c r="N174" s="103" t="s">
        <v>945</v>
      </c>
      <c r="O174" s="74">
        <f>+L174*E174</f>
        <v>4125</v>
      </c>
    </row>
    <row r="175" spans="1:15" s="92" customFormat="1" x14ac:dyDescent="0.3">
      <c r="A175" s="88" t="s">
        <v>403</v>
      </c>
      <c r="B175" s="102">
        <v>44193</v>
      </c>
      <c r="C175" s="26" t="s">
        <v>661</v>
      </c>
      <c r="D175" s="30">
        <v>106</v>
      </c>
      <c r="E175" s="13">
        <v>7</v>
      </c>
      <c r="F175" s="50">
        <f t="shared" si="18"/>
        <v>742</v>
      </c>
      <c r="G175" s="103"/>
      <c r="H175" s="103"/>
      <c r="I175" s="104"/>
      <c r="J175" s="103"/>
      <c r="K175" s="103">
        <v>3</v>
      </c>
      <c r="L175" s="103">
        <f t="shared" si="14"/>
        <v>103</v>
      </c>
      <c r="M175" s="103"/>
      <c r="N175" s="103" t="s">
        <v>945</v>
      </c>
      <c r="O175" s="74">
        <f t="shared" ref="O175:O238" si="19">+L175*E175</f>
        <v>721</v>
      </c>
    </row>
    <row r="176" spans="1:15" s="92" customFormat="1" x14ac:dyDescent="0.3">
      <c r="A176" s="88" t="s">
        <v>404</v>
      </c>
      <c r="B176" s="102">
        <v>44456</v>
      </c>
      <c r="C176" s="26" t="s">
        <v>662</v>
      </c>
      <c r="D176" s="30">
        <v>27</v>
      </c>
      <c r="E176" s="13">
        <v>7</v>
      </c>
      <c r="F176" s="50">
        <f t="shared" si="18"/>
        <v>189</v>
      </c>
      <c r="G176" s="103"/>
      <c r="H176" s="103"/>
      <c r="I176" s="104"/>
      <c r="J176" s="103"/>
      <c r="K176" s="103"/>
      <c r="L176" s="103">
        <f t="shared" si="14"/>
        <v>27</v>
      </c>
      <c r="M176" s="103"/>
      <c r="N176" s="103" t="s">
        <v>945</v>
      </c>
      <c r="O176" s="74">
        <f t="shared" si="19"/>
        <v>189</v>
      </c>
    </row>
    <row r="177" spans="1:15" s="8" customFormat="1" ht="15.75" x14ac:dyDescent="0.25">
      <c r="A177" s="15" t="s">
        <v>405</v>
      </c>
      <c r="B177" s="102">
        <v>44193</v>
      </c>
      <c r="C177" s="26" t="s">
        <v>800</v>
      </c>
      <c r="D177" s="32">
        <f>6+6</f>
        <v>12</v>
      </c>
      <c r="E177" s="13">
        <v>135</v>
      </c>
      <c r="F177" s="50">
        <f t="shared" si="18"/>
        <v>1620</v>
      </c>
      <c r="G177" s="103"/>
      <c r="H177" s="103"/>
      <c r="I177" s="104"/>
      <c r="J177" s="103"/>
      <c r="K177" s="103"/>
      <c r="L177" s="103">
        <f t="shared" si="14"/>
        <v>12</v>
      </c>
      <c r="M177" s="103"/>
      <c r="N177" s="103" t="s">
        <v>946</v>
      </c>
      <c r="O177" s="74">
        <f t="shared" si="19"/>
        <v>1620</v>
      </c>
    </row>
    <row r="178" spans="1:15" s="8" customFormat="1" ht="15.75" x14ac:dyDescent="0.25">
      <c r="A178" s="15" t="s">
        <v>406</v>
      </c>
      <c r="B178" s="102">
        <v>44193</v>
      </c>
      <c r="C178" s="26" t="s">
        <v>663</v>
      </c>
      <c r="D178" s="55">
        <v>42</v>
      </c>
      <c r="E178" s="13">
        <v>115</v>
      </c>
      <c r="F178" s="50">
        <f t="shared" si="18"/>
        <v>4830</v>
      </c>
      <c r="G178" s="103"/>
      <c r="H178" s="103"/>
      <c r="I178" s="104"/>
      <c r="J178" s="103"/>
      <c r="K178" s="103"/>
      <c r="L178" s="103">
        <f t="shared" si="14"/>
        <v>42</v>
      </c>
      <c r="M178" s="103"/>
      <c r="N178" s="103" t="s">
        <v>946</v>
      </c>
      <c r="O178" s="74">
        <f t="shared" si="19"/>
        <v>4830</v>
      </c>
    </row>
    <row r="179" spans="1:15" s="92" customFormat="1" x14ac:dyDescent="0.3">
      <c r="A179" s="88" t="s">
        <v>407</v>
      </c>
      <c r="B179" s="102">
        <v>44656</v>
      </c>
      <c r="C179" s="26" t="s">
        <v>768</v>
      </c>
      <c r="D179" s="32">
        <v>104</v>
      </c>
      <c r="E179" s="13">
        <v>636.6</v>
      </c>
      <c r="F179" s="50">
        <f t="shared" si="18"/>
        <v>66206.400000000009</v>
      </c>
      <c r="G179" s="103"/>
      <c r="H179" s="103"/>
      <c r="I179" s="104"/>
      <c r="J179" s="103"/>
      <c r="K179" s="103">
        <f>1+1+1+1+1+1</f>
        <v>6</v>
      </c>
      <c r="L179" s="103">
        <f t="shared" si="14"/>
        <v>98</v>
      </c>
      <c r="M179" s="103"/>
      <c r="N179" s="103" t="s">
        <v>945</v>
      </c>
      <c r="O179" s="74">
        <f t="shared" si="19"/>
        <v>62386.8</v>
      </c>
    </row>
    <row r="180" spans="1:15" s="92" customFormat="1" x14ac:dyDescent="0.3">
      <c r="A180" s="88" t="s">
        <v>408</v>
      </c>
      <c r="B180" s="102">
        <v>44656</v>
      </c>
      <c r="C180" s="25" t="s">
        <v>769</v>
      </c>
      <c r="D180" s="32">
        <v>74</v>
      </c>
      <c r="E180" s="13">
        <v>115.48</v>
      </c>
      <c r="F180" s="50">
        <f t="shared" si="18"/>
        <v>8545.52</v>
      </c>
      <c r="G180" s="103"/>
      <c r="H180" s="103"/>
      <c r="I180" s="104"/>
      <c r="J180" s="103"/>
      <c r="K180" s="103">
        <f>1+2+1+1+1+1+1+1+1+1+1+1</f>
        <v>13</v>
      </c>
      <c r="L180" s="103">
        <f t="shared" si="14"/>
        <v>61</v>
      </c>
      <c r="M180" s="103"/>
      <c r="N180" s="103" t="s">
        <v>945</v>
      </c>
      <c r="O180" s="74">
        <f t="shared" si="19"/>
        <v>7044.2800000000007</v>
      </c>
    </row>
    <row r="181" spans="1:15" s="8" customFormat="1" ht="15.75" x14ac:dyDescent="0.25">
      <c r="A181" s="15" t="s">
        <v>409</v>
      </c>
      <c r="B181" s="102">
        <v>44193</v>
      </c>
      <c r="C181" s="25" t="s">
        <v>796</v>
      </c>
      <c r="D181" s="38">
        <v>3</v>
      </c>
      <c r="E181" s="13">
        <v>352</v>
      </c>
      <c r="F181" s="50">
        <f t="shared" si="18"/>
        <v>1056</v>
      </c>
      <c r="G181" s="103"/>
      <c r="H181" s="103"/>
      <c r="I181" s="104"/>
      <c r="J181" s="103"/>
      <c r="K181" s="103"/>
      <c r="L181" s="103">
        <f t="shared" si="14"/>
        <v>3</v>
      </c>
      <c r="M181" s="103"/>
      <c r="N181" s="103" t="s">
        <v>946</v>
      </c>
      <c r="O181" s="74">
        <f t="shared" si="19"/>
        <v>1056</v>
      </c>
    </row>
    <row r="182" spans="1:15" s="8" customFormat="1" ht="15.75" x14ac:dyDescent="0.25">
      <c r="A182" s="15" t="s">
        <v>410</v>
      </c>
      <c r="B182" s="102">
        <v>44193</v>
      </c>
      <c r="C182" s="25" t="s">
        <v>670</v>
      </c>
      <c r="D182" s="55">
        <f>38+19</f>
        <v>57</v>
      </c>
      <c r="E182" s="13">
        <v>67.8</v>
      </c>
      <c r="F182" s="50">
        <f t="shared" si="18"/>
        <v>3864.6</v>
      </c>
      <c r="G182" s="103"/>
      <c r="H182" s="103"/>
      <c r="I182" s="104"/>
      <c r="J182" s="103"/>
      <c r="K182" s="103"/>
      <c r="L182" s="103">
        <f t="shared" si="14"/>
        <v>57</v>
      </c>
      <c r="M182" s="103"/>
      <c r="N182" s="103" t="s">
        <v>946</v>
      </c>
      <c r="O182" s="74">
        <f t="shared" si="19"/>
        <v>3864.6</v>
      </c>
    </row>
    <row r="183" spans="1:15" s="8" customFormat="1" ht="15.75" x14ac:dyDescent="0.25">
      <c r="A183" s="15" t="s">
        <v>411</v>
      </c>
      <c r="B183" s="102">
        <v>44193</v>
      </c>
      <c r="C183" s="25" t="s">
        <v>671</v>
      </c>
      <c r="D183" s="55">
        <f>19+19</f>
        <v>38</v>
      </c>
      <c r="E183" s="13">
        <v>67.8</v>
      </c>
      <c r="F183" s="50">
        <f t="shared" si="18"/>
        <v>2576.4</v>
      </c>
      <c r="G183" s="103"/>
      <c r="H183" s="103"/>
      <c r="I183" s="104"/>
      <c r="J183" s="103"/>
      <c r="K183" s="103"/>
      <c r="L183" s="103">
        <f t="shared" si="14"/>
        <v>38</v>
      </c>
      <c r="M183" s="103"/>
      <c r="N183" s="103" t="s">
        <v>946</v>
      </c>
      <c r="O183" s="74">
        <f t="shared" si="19"/>
        <v>2576.4</v>
      </c>
    </row>
    <row r="184" spans="1:15" s="8" customFormat="1" ht="15.75" x14ac:dyDescent="0.25">
      <c r="A184" s="15" t="s">
        <v>412</v>
      </c>
      <c r="B184" s="102">
        <v>44193</v>
      </c>
      <c r="C184" s="25" t="s">
        <v>669</v>
      </c>
      <c r="D184" s="32">
        <v>0</v>
      </c>
      <c r="E184" s="13">
        <v>67.8</v>
      </c>
      <c r="F184" s="50">
        <f t="shared" si="18"/>
        <v>0</v>
      </c>
      <c r="G184" s="103"/>
      <c r="H184" s="103"/>
      <c r="I184" s="104"/>
      <c r="J184" s="103"/>
      <c r="K184" s="103"/>
      <c r="L184" s="103">
        <f t="shared" si="14"/>
        <v>0</v>
      </c>
      <c r="M184" s="103"/>
      <c r="N184" s="103" t="s">
        <v>946</v>
      </c>
      <c r="O184" s="74">
        <f t="shared" si="19"/>
        <v>0</v>
      </c>
    </row>
    <row r="185" spans="1:15" s="8" customFormat="1" ht="15.75" x14ac:dyDescent="0.25">
      <c r="A185" s="15" t="s">
        <v>413</v>
      </c>
      <c r="B185" s="102">
        <v>44193</v>
      </c>
      <c r="C185" s="9" t="s">
        <v>672</v>
      </c>
      <c r="D185" s="55">
        <v>50</v>
      </c>
      <c r="E185" s="13">
        <v>17.690000000000001</v>
      </c>
      <c r="F185" s="50">
        <f t="shared" si="18"/>
        <v>884.50000000000011</v>
      </c>
      <c r="G185" s="103"/>
      <c r="H185" s="103"/>
      <c r="I185" s="104"/>
      <c r="J185" s="103"/>
      <c r="K185" s="103"/>
      <c r="L185" s="103">
        <f t="shared" si="14"/>
        <v>50</v>
      </c>
      <c r="M185" s="103"/>
      <c r="N185" s="103" t="s">
        <v>947</v>
      </c>
      <c r="O185" s="74">
        <f t="shared" si="19"/>
        <v>884.50000000000011</v>
      </c>
    </row>
    <row r="186" spans="1:15" s="8" customFormat="1" ht="15.75" x14ac:dyDescent="0.25">
      <c r="A186" s="15" t="s">
        <v>414</v>
      </c>
      <c r="B186" s="102">
        <v>44193</v>
      </c>
      <c r="C186" s="9" t="s">
        <v>673</v>
      </c>
      <c r="D186" s="55">
        <v>1040</v>
      </c>
      <c r="E186" s="13">
        <v>17.690000000000001</v>
      </c>
      <c r="F186" s="50">
        <f t="shared" si="18"/>
        <v>18397.600000000002</v>
      </c>
      <c r="G186" s="103"/>
      <c r="H186" s="103"/>
      <c r="I186" s="104"/>
      <c r="J186" s="103"/>
      <c r="K186" s="103"/>
      <c r="L186" s="103">
        <f t="shared" si="14"/>
        <v>1040</v>
      </c>
      <c r="M186" s="103"/>
      <c r="N186" s="103" t="s">
        <v>947</v>
      </c>
      <c r="O186" s="74">
        <f t="shared" si="19"/>
        <v>18397.600000000002</v>
      </c>
    </row>
    <row r="187" spans="1:15" s="8" customFormat="1" ht="15.75" x14ac:dyDescent="0.25">
      <c r="A187" s="15" t="s">
        <v>415</v>
      </c>
      <c r="B187" s="102">
        <v>44193</v>
      </c>
      <c r="C187" s="9" t="s">
        <v>674</v>
      </c>
      <c r="D187" s="56">
        <v>1</v>
      </c>
      <c r="E187" s="13">
        <v>170.69</v>
      </c>
      <c r="F187" s="50">
        <f t="shared" si="18"/>
        <v>170.69</v>
      </c>
      <c r="G187" s="103"/>
      <c r="H187" s="103"/>
      <c r="I187" s="104"/>
      <c r="J187" s="103"/>
      <c r="K187" s="103"/>
      <c r="L187" s="103">
        <f t="shared" si="14"/>
        <v>1</v>
      </c>
      <c r="M187" s="103"/>
      <c r="N187" s="103" t="s">
        <v>947</v>
      </c>
      <c r="O187" s="74">
        <f t="shared" si="19"/>
        <v>170.69</v>
      </c>
    </row>
    <row r="188" spans="1:15" s="8" customFormat="1" ht="15.75" x14ac:dyDescent="0.25">
      <c r="A188" s="15" t="s">
        <v>416</v>
      </c>
      <c r="B188" s="102">
        <v>44193</v>
      </c>
      <c r="C188" s="9" t="s">
        <v>675</v>
      </c>
      <c r="D188" s="30">
        <v>300</v>
      </c>
      <c r="E188" s="13">
        <v>6.5</v>
      </c>
      <c r="F188" s="50">
        <f t="shared" si="18"/>
        <v>1950</v>
      </c>
      <c r="G188" s="103"/>
      <c r="H188" s="103"/>
      <c r="I188" s="104"/>
      <c r="J188" s="103"/>
      <c r="K188" s="103"/>
      <c r="L188" s="103">
        <f t="shared" si="14"/>
        <v>300</v>
      </c>
      <c r="M188" s="103"/>
      <c r="N188" s="103" t="s">
        <v>947</v>
      </c>
      <c r="O188" s="74">
        <f t="shared" si="19"/>
        <v>1950</v>
      </c>
    </row>
    <row r="189" spans="1:15" s="8" customFormat="1" ht="15.75" x14ac:dyDescent="0.25">
      <c r="A189" s="15" t="s">
        <v>417</v>
      </c>
      <c r="B189" s="102">
        <v>44193</v>
      </c>
      <c r="C189" s="9" t="s">
        <v>676</v>
      </c>
      <c r="D189" s="30">
        <v>2</v>
      </c>
      <c r="E189" s="13">
        <v>3.5</v>
      </c>
      <c r="F189" s="50">
        <f t="shared" si="18"/>
        <v>7</v>
      </c>
      <c r="G189" s="103"/>
      <c r="H189" s="103"/>
      <c r="I189" s="104"/>
      <c r="J189" s="103"/>
      <c r="K189" s="103"/>
      <c r="L189" s="103">
        <f t="shared" si="14"/>
        <v>2</v>
      </c>
      <c r="M189" s="103"/>
      <c r="N189" s="103" t="s">
        <v>947</v>
      </c>
      <c r="O189" s="74">
        <f t="shared" si="19"/>
        <v>7</v>
      </c>
    </row>
    <row r="190" spans="1:15" s="8" customFormat="1" ht="15.75" x14ac:dyDescent="0.25">
      <c r="A190" s="15" t="s">
        <v>418</v>
      </c>
      <c r="B190" s="102">
        <v>44193</v>
      </c>
      <c r="C190" s="26" t="s">
        <v>678</v>
      </c>
      <c r="D190" s="30">
        <v>5</v>
      </c>
      <c r="E190" s="13">
        <v>5000</v>
      </c>
      <c r="F190" s="50">
        <f t="shared" si="18"/>
        <v>25000</v>
      </c>
      <c r="G190" s="103"/>
      <c r="H190" s="103"/>
      <c r="I190" s="104"/>
      <c r="J190" s="103"/>
      <c r="K190" s="103"/>
      <c r="L190" s="103">
        <f t="shared" si="14"/>
        <v>5</v>
      </c>
      <c r="M190" s="103"/>
      <c r="N190" s="103" t="s">
        <v>946</v>
      </c>
      <c r="O190" s="74">
        <f t="shared" si="19"/>
        <v>25000</v>
      </c>
    </row>
    <row r="191" spans="1:15" s="8" customFormat="1" ht="15.75" x14ac:dyDescent="0.25">
      <c r="A191" s="15" t="s">
        <v>419</v>
      </c>
      <c r="B191" s="102">
        <v>44193</v>
      </c>
      <c r="C191" s="26" t="s">
        <v>677</v>
      </c>
      <c r="D191" s="30">
        <v>2</v>
      </c>
      <c r="E191" s="13">
        <v>10800</v>
      </c>
      <c r="F191" s="50">
        <f t="shared" si="18"/>
        <v>21600</v>
      </c>
      <c r="G191" s="103"/>
      <c r="H191" s="103"/>
      <c r="I191" s="104"/>
      <c r="J191" s="103"/>
      <c r="K191" s="103"/>
      <c r="L191" s="103">
        <f t="shared" si="14"/>
        <v>2</v>
      </c>
      <c r="M191" s="103"/>
      <c r="N191" s="103" t="s">
        <v>946</v>
      </c>
      <c r="O191" s="74">
        <f t="shared" si="19"/>
        <v>21600</v>
      </c>
    </row>
    <row r="192" spans="1:15" s="8" customFormat="1" ht="15.75" x14ac:dyDescent="0.25">
      <c r="A192" s="15" t="s">
        <v>420</v>
      </c>
      <c r="B192" s="102">
        <v>44193</v>
      </c>
      <c r="C192" s="9" t="s">
        <v>679</v>
      </c>
      <c r="D192" s="38">
        <v>29</v>
      </c>
      <c r="E192" s="13">
        <v>33</v>
      </c>
      <c r="F192" s="50">
        <f t="shared" si="18"/>
        <v>957</v>
      </c>
      <c r="G192" s="103"/>
      <c r="H192" s="103"/>
      <c r="I192" s="104"/>
      <c r="J192" s="103"/>
      <c r="K192" s="103"/>
      <c r="L192" s="103">
        <f t="shared" si="14"/>
        <v>29</v>
      </c>
      <c r="M192" s="103"/>
      <c r="N192" s="103" t="s">
        <v>947</v>
      </c>
      <c r="O192" s="74">
        <f t="shared" si="19"/>
        <v>957</v>
      </c>
    </row>
    <row r="193" spans="1:15" s="8" customFormat="1" ht="15.75" x14ac:dyDescent="0.25">
      <c r="A193" s="15" t="s">
        <v>421</v>
      </c>
      <c r="B193" s="102">
        <v>44193</v>
      </c>
      <c r="C193" s="9" t="s">
        <v>779</v>
      </c>
      <c r="D193" s="30">
        <v>8</v>
      </c>
      <c r="E193" s="13">
        <v>15</v>
      </c>
      <c r="F193" s="50">
        <f t="shared" si="18"/>
        <v>120</v>
      </c>
      <c r="G193" s="103"/>
      <c r="H193" s="103"/>
      <c r="I193" s="104"/>
      <c r="J193" s="103"/>
      <c r="K193" s="103"/>
      <c r="L193" s="103">
        <f t="shared" si="14"/>
        <v>8</v>
      </c>
      <c r="M193" s="103"/>
      <c r="N193" s="103" t="s">
        <v>947</v>
      </c>
      <c r="O193" s="74">
        <f t="shared" si="19"/>
        <v>120</v>
      </c>
    </row>
    <row r="194" spans="1:15" s="8" customFormat="1" ht="15.75" x14ac:dyDescent="0.25">
      <c r="A194" s="15" t="s">
        <v>422</v>
      </c>
      <c r="B194" s="102">
        <v>44547</v>
      </c>
      <c r="C194" s="9" t="s">
        <v>777</v>
      </c>
      <c r="D194" s="30">
        <v>27</v>
      </c>
      <c r="E194" s="13">
        <v>8.34</v>
      </c>
      <c r="F194" s="50">
        <f t="shared" si="18"/>
        <v>225.18</v>
      </c>
      <c r="G194" s="103"/>
      <c r="H194" s="103"/>
      <c r="I194" s="104"/>
      <c r="J194" s="103"/>
      <c r="K194" s="103"/>
      <c r="L194" s="103">
        <f t="shared" si="14"/>
        <v>27</v>
      </c>
      <c r="M194" s="103"/>
      <c r="N194" s="103" t="s">
        <v>947</v>
      </c>
      <c r="O194" s="74">
        <f t="shared" si="19"/>
        <v>225.18</v>
      </c>
    </row>
    <row r="195" spans="1:15" s="8" customFormat="1" ht="15.75" x14ac:dyDescent="0.25">
      <c r="A195" s="15" t="s">
        <v>423</v>
      </c>
      <c r="B195" s="102">
        <v>44193</v>
      </c>
      <c r="C195" s="9" t="s">
        <v>778</v>
      </c>
      <c r="D195" s="30">
        <v>12</v>
      </c>
      <c r="E195" s="13">
        <v>8.34</v>
      </c>
      <c r="F195" s="50">
        <f t="shared" si="18"/>
        <v>100.08</v>
      </c>
      <c r="G195" s="103"/>
      <c r="H195" s="103"/>
      <c r="I195" s="104"/>
      <c r="J195" s="103"/>
      <c r="K195" s="103"/>
      <c r="L195" s="103">
        <f t="shared" si="14"/>
        <v>12</v>
      </c>
      <c r="M195" s="103"/>
      <c r="N195" s="103" t="s">
        <v>947</v>
      </c>
      <c r="O195" s="74">
        <f t="shared" si="19"/>
        <v>100.08</v>
      </c>
    </row>
    <row r="196" spans="1:15" s="8" customFormat="1" ht="15.75" x14ac:dyDescent="0.25">
      <c r="A196" s="15" t="s">
        <v>424</v>
      </c>
      <c r="B196" s="102">
        <v>44193</v>
      </c>
      <c r="C196" s="9" t="s">
        <v>681</v>
      </c>
      <c r="D196" s="30">
        <v>139</v>
      </c>
      <c r="E196" s="13">
        <v>5.6</v>
      </c>
      <c r="F196" s="50">
        <f t="shared" si="18"/>
        <v>778.4</v>
      </c>
      <c r="G196" s="103"/>
      <c r="H196" s="103"/>
      <c r="I196" s="104"/>
      <c r="J196" s="103"/>
      <c r="K196" s="103"/>
      <c r="L196" s="103">
        <f t="shared" si="14"/>
        <v>139</v>
      </c>
      <c r="M196" s="103"/>
      <c r="N196" s="103" t="s">
        <v>947</v>
      </c>
      <c r="O196" s="74">
        <f t="shared" si="19"/>
        <v>778.4</v>
      </c>
    </row>
    <row r="197" spans="1:15" s="92" customFormat="1" x14ac:dyDescent="0.3">
      <c r="A197" s="88" t="s">
        <v>425</v>
      </c>
      <c r="B197" s="102">
        <v>44193</v>
      </c>
      <c r="C197" s="9" t="s">
        <v>684</v>
      </c>
      <c r="D197" s="30">
        <v>79</v>
      </c>
      <c r="E197" s="13">
        <v>160</v>
      </c>
      <c r="F197" s="50">
        <f t="shared" si="18"/>
        <v>12640</v>
      </c>
      <c r="G197" s="103"/>
      <c r="H197" s="103"/>
      <c r="I197" s="104"/>
      <c r="J197" s="103"/>
      <c r="K197" s="103"/>
      <c r="L197" s="103">
        <f t="shared" si="14"/>
        <v>79</v>
      </c>
      <c r="M197" s="103"/>
      <c r="N197" s="103" t="s">
        <v>945</v>
      </c>
      <c r="O197" s="74">
        <f t="shared" si="19"/>
        <v>12640</v>
      </c>
    </row>
    <row r="198" spans="1:15" s="8" customFormat="1" ht="15.75" x14ac:dyDescent="0.25">
      <c r="A198" s="15" t="s">
        <v>426</v>
      </c>
      <c r="B198" s="102">
        <v>44193</v>
      </c>
      <c r="C198" s="9" t="s">
        <v>787</v>
      </c>
      <c r="D198" s="30">
        <v>11</v>
      </c>
      <c r="E198" s="13">
        <v>35</v>
      </c>
      <c r="F198" s="50">
        <f t="shared" si="18"/>
        <v>385</v>
      </c>
      <c r="G198" s="103"/>
      <c r="H198" s="103"/>
      <c r="I198" s="104"/>
      <c r="J198" s="103"/>
      <c r="K198" s="103"/>
      <c r="L198" s="103">
        <f t="shared" si="14"/>
        <v>11</v>
      </c>
      <c r="M198" s="103"/>
      <c r="N198" s="103" t="s">
        <v>947</v>
      </c>
      <c r="O198" s="74">
        <f t="shared" si="19"/>
        <v>385</v>
      </c>
    </row>
    <row r="199" spans="1:15" s="8" customFormat="1" ht="15.75" x14ac:dyDescent="0.25">
      <c r="A199" s="15" t="s">
        <v>427</v>
      </c>
      <c r="B199" s="102"/>
      <c r="C199" s="25" t="s">
        <v>782</v>
      </c>
      <c r="D199" s="38">
        <v>38</v>
      </c>
      <c r="E199" s="13"/>
      <c r="F199" s="50"/>
      <c r="G199" s="103"/>
      <c r="H199" s="103"/>
      <c r="I199" s="104"/>
      <c r="J199" s="103"/>
      <c r="K199" s="103"/>
      <c r="L199" s="103">
        <f t="shared" si="14"/>
        <v>38</v>
      </c>
      <c r="M199" s="103"/>
      <c r="N199" s="103" t="s">
        <v>947</v>
      </c>
      <c r="O199" s="74">
        <f t="shared" si="19"/>
        <v>0</v>
      </c>
    </row>
    <row r="200" spans="1:15" s="8" customFormat="1" ht="15.75" x14ac:dyDescent="0.25">
      <c r="A200" s="15" t="s">
        <v>428</v>
      </c>
      <c r="B200" s="106" t="s">
        <v>106</v>
      </c>
      <c r="C200" s="9" t="s">
        <v>780</v>
      </c>
      <c r="D200" s="30">
        <v>2</v>
      </c>
      <c r="E200" s="51">
        <v>325</v>
      </c>
      <c r="F200" s="50">
        <f>D200*E200</f>
        <v>650</v>
      </c>
      <c r="G200" s="103"/>
      <c r="H200" s="103"/>
      <c r="I200" s="104"/>
      <c r="J200" s="103"/>
      <c r="K200" s="103"/>
      <c r="L200" s="103">
        <f t="shared" si="14"/>
        <v>2</v>
      </c>
      <c r="M200" s="103"/>
      <c r="N200" s="103" t="s">
        <v>947</v>
      </c>
      <c r="O200" s="74">
        <f t="shared" si="19"/>
        <v>650</v>
      </c>
    </row>
    <row r="201" spans="1:15" s="8" customFormat="1" ht="15.75" x14ac:dyDescent="0.25">
      <c r="A201" s="15" t="s">
        <v>429</v>
      </c>
      <c r="B201" s="102"/>
      <c r="C201" s="25" t="s">
        <v>783</v>
      </c>
      <c r="D201" s="38">
        <v>15</v>
      </c>
      <c r="E201" s="13"/>
      <c r="F201" s="50"/>
      <c r="G201" s="103"/>
      <c r="H201" s="103"/>
      <c r="I201" s="104"/>
      <c r="J201" s="103"/>
      <c r="K201" s="103"/>
      <c r="L201" s="103">
        <f t="shared" ref="L201:L264" si="20">+D201+H201-K201</f>
        <v>15</v>
      </c>
      <c r="M201" s="103"/>
      <c r="N201" s="103" t="s">
        <v>947</v>
      </c>
      <c r="O201" s="74">
        <f t="shared" si="19"/>
        <v>0</v>
      </c>
    </row>
    <row r="202" spans="1:15" s="8" customFormat="1" ht="15.75" x14ac:dyDescent="0.25">
      <c r="A202" s="15" t="s">
        <v>430</v>
      </c>
      <c r="B202" s="102">
        <v>44193</v>
      </c>
      <c r="C202" s="9" t="s">
        <v>687</v>
      </c>
      <c r="D202" s="32">
        <v>2</v>
      </c>
      <c r="E202" s="13">
        <v>175</v>
      </c>
      <c r="F202" s="50">
        <f t="shared" ref="F202:F260" si="21">D202*E202</f>
        <v>350</v>
      </c>
      <c r="G202" s="103"/>
      <c r="H202" s="103"/>
      <c r="I202" s="104"/>
      <c r="J202" s="103"/>
      <c r="K202" s="103"/>
      <c r="L202" s="103">
        <f t="shared" si="20"/>
        <v>2</v>
      </c>
      <c r="M202" s="103"/>
      <c r="N202" s="103" t="s">
        <v>947</v>
      </c>
      <c r="O202" s="74">
        <f t="shared" si="19"/>
        <v>350</v>
      </c>
    </row>
    <row r="203" spans="1:15" s="8" customFormat="1" ht="15.75" x14ac:dyDescent="0.25">
      <c r="A203" s="15" t="s">
        <v>431</v>
      </c>
      <c r="B203" s="102">
        <v>44193</v>
      </c>
      <c r="C203" s="26" t="s">
        <v>695</v>
      </c>
      <c r="D203" s="38">
        <v>1</v>
      </c>
      <c r="E203" s="13">
        <v>270.55</v>
      </c>
      <c r="F203" s="50">
        <f t="shared" si="21"/>
        <v>270.55</v>
      </c>
      <c r="G203" s="103"/>
      <c r="H203" s="103"/>
      <c r="I203" s="104"/>
      <c r="J203" s="103"/>
      <c r="K203" s="103"/>
      <c r="L203" s="103">
        <f t="shared" si="20"/>
        <v>1</v>
      </c>
      <c r="M203" s="103"/>
      <c r="N203" s="103" t="s">
        <v>946</v>
      </c>
      <c r="O203" s="74">
        <f t="shared" si="19"/>
        <v>270.55</v>
      </c>
    </row>
    <row r="204" spans="1:15" s="8" customFormat="1" ht="15.75" x14ac:dyDescent="0.25">
      <c r="A204" s="15" t="s">
        <v>432</v>
      </c>
      <c r="B204" s="102">
        <v>44193</v>
      </c>
      <c r="C204" s="25" t="s">
        <v>688</v>
      </c>
      <c r="D204" s="58">
        <v>3</v>
      </c>
      <c r="E204" s="13">
        <v>79.8</v>
      </c>
      <c r="F204" s="50">
        <f t="shared" si="21"/>
        <v>239.39999999999998</v>
      </c>
      <c r="G204" s="103"/>
      <c r="H204" s="103"/>
      <c r="I204" s="104"/>
      <c r="J204" s="103"/>
      <c r="K204" s="103"/>
      <c r="L204" s="103">
        <f t="shared" si="20"/>
        <v>3</v>
      </c>
      <c r="M204" s="103"/>
      <c r="N204" s="103" t="s">
        <v>946</v>
      </c>
      <c r="O204" s="74">
        <f t="shared" si="19"/>
        <v>239.39999999999998</v>
      </c>
    </row>
    <row r="205" spans="1:15" s="8" customFormat="1" ht="15.75" x14ac:dyDescent="0.25">
      <c r="A205" s="15" t="s">
        <v>433</v>
      </c>
      <c r="B205" s="102">
        <v>44193</v>
      </c>
      <c r="C205" s="25" t="s">
        <v>689</v>
      </c>
      <c r="D205" s="55">
        <v>7</v>
      </c>
      <c r="E205" s="13">
        <v>79.8</v>
      </c>
      <c r="F205" s="50">
        <f t="shared" si="21"/>
        <v>558.6</v>
      </c>
      <c r="G205" s="103"/>
      <c r="H205" s="103"/>
      <c r="I205" s="104"/>
      <c r="J205" s="103"/>
      <c r="K205" s="103"/>
      <c r="L205" s="103">
        <f t="shared" si="20"/>
        <v>7</v>
      </c>
      <c r="M205" s="103"/>
      <c r="N205" s="103" t="s">
        <v>946</v>
      </c>
      <c r="O205" s="74">
        <f t="shared" si="19"/>
        <v>558.6</v>
      </c>
    </row>
    <row r="206" spans="1:15" s="8" customFormat="1" ht="15.75" x14ac:dyDescent="0.25">
      <c r="A206" s="15" t="s">
        <v>434</v>
      </c>
      <c r="B206" s="102">
        <v>44193</v>
      </c>
      <c r="C206" s="25" t="s">
        <v>690</v>
      </c>
      <c r="D206" s="57">
        <v>7</v>
      </c>
      <c r="E206" s="13">
        <v>62.93</v>
      </c>
      <c r="F206" s="50">
        <f t="shared" si="21"/>
        <v>440.51</v>
      </c>
      <c r="G206" s="103"/>
      <c r="H206" s="103"/>
      <c r="I206" s="104"/>
      <c r="J206" s="103"/>
      <c r="K206" s="103"/>
      <c r="L206" s="103">
        <f t="shared" si="20"/>
        <v>7</v>
      </c>
      <c r="M206" s="103"/>
      <c r="N206" s="103" t="s">
        <v>946</v>
      </c>
      <c r="O206" s="74">
        <f t="shared" si="19"/>
        <v>440.51</v>
      </c>
    </row>
    <row r="207" spans="1:15" s="8" customFormat="1" ht="15.75" x14ac:dyDescent="0.25">
      <c r="A207" s="15" t="s">
        <v>435</v>
      </c>
      <c r="B207" s="102">
        <v>44193</v>
      </c>
      <c r="C207" s="26" t="s">
        <v>691</v>
      </c>
      <c r="D207" s="57">
        <v>21</v>
      </c>
      <c r="E207" s="13">
        <v>165</v>
      </c>
      <c r="F207" s="50">
        <f t="shared" si="21"/>
        <v>3465</v>
      </c>
      <c r="G207" s="103"/>
      <c r="H207" s="103"/>
      <c r="I207" s="104"/>
      <c r="J207" s="103"/>
      <c r="K207" s="103"/>
      <c r="L207" s="103">
        <f t="shared" si="20"/>
        <v>21</v>
      </c>
      <c r="M207" s="103"/>
      <c r="N207" s="103" t="s">
        <v>946</v>
      </c>
      <c r="O207" s="74">
        <f t="shared" si="19"/>
        <v>3465</v>
      </c>
    </row>
    <row r="208" spans="1:15" s="8" customFormat="1" ht="15.75" x14ac:dyDescent="0.25">
      <c r="A208" s="15" t="s">
        <v>436</v>
      </c>
      <c r="B208" s="102">
        <v>44193</v>
      </c>
      <c r="C208" s="26" t="s">
        <v>791</v>
      </c>
      <c r="D208" s="38">
        <v>18</v>
      </c>
      <c r="E208" s="13">
        <v>52</v>
      </c>
      <c r="F208" s="50">
        <f t="shared" si="21"/>
        <v>936</v>
      </c>
      <c r="G208" s="103"/>
      <c r="H208" s="103"/>
      <c r="I208" s="104"/>
      <c r="J208" s="103"/>
      <c r="K208" s="103"/>
      <c r="L208" s="103">
        <f t="shared" si="20"/>
        <v>18</v>
      </c>
      <c r="M208" s="103"/>
      <c r="N208" s="103" t="s">
        <v>946</v>
      </c>
      <c r="O208" s="74">
        <f t="shared" si="19"/>
        <v>936</v>
      </c>
    </row>
    <row r="209" spans="1:15" s="8" customFormat="1" ht="15.75" x14ac:dyDescent="0.25">
      <c r="A209" s="15" t="s">
        <v>437</v>
      </c>
      <c r="B209" s="102">
        <v>44193</v>
      </c>
      <c r="C209" s="26" t="s">
        <v>790</v>
      </c>
      <c r="D209" s="38">
        <v>11</v>
      </c>
      <c r="E209" s="13">
        <v>79.8</v>
      </c>
      <c r="F209" s="50">
        <f t="shared" si="21"/>
        <v>877.8</v>
      </c>
      <c r="G209" s="103"/>
      <c r="H209" s="103"/>
      <c r="I209" s="104"/>
      <c r="J209" s="103"/>
      <c r="K209" s="103"/>
      <c r="L209" s="103">
        <f t="shared" si="20"/>
        <v>11</v>
      </c>
      <c r="M209" s="103"/>
      <c r="N209" s="103" t="s">
        <v>946</v>
      </c>
      <c r="O209" s="74">
        <f t="shared" si="19"/>
        <v>877.8</v>
      </c>
    </row>
    <row r="210" spans="1:15" s="8" customFormat="1" ht="15.75" x14ac:dyDescent="0.25">
      <c r="A210" s="15" t="s">
        <v>438</v>
      </c>
      <c r="B210" s="102">
        <v>44193</v>
      </c>
      <c r="C210" s="26" t="s">
        <v>693</v>
      </c>
      <c r="D210" s="38">
        <v>1</v>
      </c>
      <c r="E210" s="13">
        <v>2075</v>
      </c>
      <c r="F210" s="50">
        <f t="shared" si="21"/>
        <v>2075</v>
      </c>
      <c r="G210" s="103"/>
      <c r="H210" s="103"/>
      <c r="I210" s="104"/>
      <c r="J210" s="103"/>
      <c r="K210" s="103"/>
      <c r="L210" s="103">
        <f t="shared" si="20"/>
        <v>1</v>
      </c>
      <c r="M210" s="103"/>
      <c r="N210" s="103" t="s">
        <v>946</v>
      </c>
      <c r="O210" s="74">
        <f t="shared" si="19"/>
        <v>2075</v>
      </c>
    </row>
    <row r="211" spans="1:15" s="8" customFormat="1" ht="15.75" x14ac:dyDescent="0.25">
      <c r="A211" s="15" t="s">
        <v>439</v>
      </c>
      <c r="B211" s="102">
        <v>44193</v>
      </c>
      <c r="C211" s="26" t="s">
        <v>692</v>
      </c>
      <c r="D211" s="57">
        <v>18</v>
      </c>
      <c r="E211" s="13">
        <v>165</v>
      </c>
      <c r="F211" s="50">
        <f t="shared" si="21"/>
        <v>2970</v>
      </c>
      <c r="G211" s="103"/>
      <c r="H211" s="103"/>
      <c r="I211" s="104"/>
      <c r="J211" s="103"/>
      <c r="K211" s="103"/>
      <c r="L211" s="103">
        <f t="shared" si="20"/>
        <v>18</v>
      </c>
      <c r="M211" s="103"/>
      <c r="N211" s="103" t="s">
        <v>946</v>
      </c>
      <c r="O211" s="74">
        <f t="shared" si="19"/>
        <v>2970</v>
      </c>
    </row>
    <row r="212" spans="1:15" s="8" customFormat="1" ht="15.75" x14ac:dyDescent="0.25">
      <c r="A212" s="15" t="s">
        <v>440</v>
      </c>
      <c r="B212" s="102">
        <v>44193</v>
      </c>
      <c r="C212" s="26" t="s">
        <v>697</v>
      </c>
      <c r="D212" s="38">
        <v>20</v>
      </c>
      <c r="E212" s="13">
        <v>79.8</v>
      </c>
      <c r="F212" s="50">
        <f t="shared" si="21"/>
        <v>1596</v>
      </c>
      <c r="G212" s="103"/>
      <c r="H212" s="103"/>
      <c r="I212" s="104"/>
      <c r="J212" s="103"/>
      <c r="K212" s="103"/>
      <c r="L212" s="103">
        <f t="shared" si="20"/>
        <v>20</v>
      </c>
      <c r="M212" s="103"/>
      <c r="N212" s="103" t="s">
        <v>946</v>
      </c>
      <c r="O212" s="74">
        <f t="shared" si="19"/>
        <v>1596</v>
      </c>
    </row>
    <row r="213" spans="1:15" s="8" customFormat="1" ht="15.75" x14ac:dyDescent="0.25">
      <c r="A213" s="15" t="s">
        <v>441</v>
      </c>
      <c r="B213" s="102">
        <v>44193</v>
      </c>
      <c r="C213" s="26" t="s">
        <v>696</v>
      </c>
      <c r="D213" s="38">
        <v>9</v>
      </c>
      <c r="E213" s="13">
        <v>79.8</v>
      </c>
      <c r="F213" s="50">
        <f t="shared" si="21"/>
        <v>718.19999999999993</v>
      </c>
      <c r="G213" s="103"/>
      <c r="H213" s="103"/>
      <c r="I213" s="104"/>
      <c r="J213" s="103"/>
      <c r="K213" s="103"/>
      <c r="L213" s="103">
        <f t="shared" si="20"/>
        <v>9</v>
      </c>
      <c r="M213" s="103"/>
      <c r="N213" s="103" t="s">
        <v>946</v>
      </c>
      <c r="O213" s="74">
        <f t="shared" si="19"/>
        <v>718.19999999999993</v>
      </c>
    </row>
    <row r="214" spans="1:15" s="8" customFormat="1" ht="15.75" x14ac:dyDescent="0.25">
      <c r="A214" s="15" t="s">
        <v>442</v>
      </c>
      <c r="B214" s="102"/>
      <c r="C214" s="26" t="s">
        <v>808</v>
      </c>
      <c r="D214" s="38">
        <v>9</v>
      </c>
      <c r="E214" s="13">
        <v>352</v>
      </c>
      <c r="F214" s="50">
        <f t="shared" si="21"/>
        <v>3168</v>
      </c>
      <c r="G214" s="103"/>
      <c r="H214" s="103"/>
      <c r="I214" s="104"/>
      <c r="J214" s="103"/>
      <c r="K214" s="103"/>
      <c r="L214" s="103">
        <f t="shared" si="20"/>
        <v>9</v>
      </c>
      <c r="M214" s="103"/>
      <c r="N214" s="103" t="s">
        <v>946</v>
      </c>
      <c r="O214" s="74">
        <f t="shared" si="19"/>
        <v>3168</v>
      </c>
    </row>
    <row r="215" spans="1:15" s="92" customFormat="1" x14ac:dyDescent="0.3">
      <c r="A215" s="88" t="s">
        <v>443</v>
      </c>
      <c r="B215" s="102">
        <v>44456</v>
      </c>
      <c r="C215" s="26" t="s">
        <v>698</v>
      </c>
      <c r="D215" s="38">
        <v>3</v>
      </c>
      <c r="E215" s="13">
        <v>600</v>
      </c>
      <c r="F215" s="50">
        <f t="shared" si="21"/>
        <v>1800</v>
      </c>
      <c r="G215" s="103"/>
      <c r="H215" s="103"/>
      <c r="I215" s="104"/>
      <c r="J215" s="103"/>
      <c r="K215" s="103"/>
      <c r="L215" s="103">
        <f t="shared" si="20"/>
        <v>3</v>
      </c>
      <c r="M215" s="103"/>
      <c r="N215" s="103" t="s">
        <v>945</v>
      </c>
      <c r="O215" s="74">
        <f t="shared" si="19"/>
        <v>1800</v>
      </c>
    </row>
    <row r="216" spans="1:15" s="92" customFormat="1" x14ac:dyDescent="0.3">
      <c r="A216" s="88" t="s">
        <v>444</v>
      </c>
      <c r="B216" s="102">
        <v>44193</v>
      </c>
      <c r="C216" s="26" t="s">
        <v>699</v>
      </c>
      <c r="D216" s="38">
        <v>15</v>
      </c>
      <c r="E216" s="13">
        <v>140</v>
      </c>
      <c r="F216" s="50">
        <f t="shared" si="21"/>
        <v>2100</v>
      </c>
      <c r="G216" s="103"/>
      <c r="H216" s="103"/>
      <c r="I216" s="104"/>
      <c r="J216" s="103"/>
      <c r="K216" s="103"/>
      <c r="L216" s="103">
        <f t="shared" si="20"/>
        <v>15</v>
      </c>
      <c r="M216" s="103"/>
      <c r="N216" s="103" t="s">
        <v>945</v>
      </c>
      <c r="O216" s="74">
        <f t="shared" si="19"/>
        <v>2100</v>
      </c>
    </row>
    <row r="217" spans="1:15" s="8" customFormat="1" ht="15.75" x14ac:dyDescent="0.25">
      <c r="A217" s="15" t="s">
        <v>445</v>
      </c>
      <c r="B217" s="102">
        <v>44193</v>
      </c>
      <c r="C217" s="9" t="s">
        <v>706</v>
      </c>
      <c r="D217" s="48">
        <v>1</v>
      </c>
      <c r="E217" s="13">
        <v>5250</v>
      </c>
      <c r="F217" s="50">
        <f t="shared" si="21"/>
        <v>5250</v>
      </c>
      <c r="G217" s="103"/>
      <c r="H217" s="103"/>
      <c r="I217" s="104"/>
      <c r="J217" s="103"/>
      <c r="K217" s="103"/>
      <c r="L217" s="103">
        <f t="shared" si="20"/>
        <v>1</v>
      </c>
      <c r="M217" s="103"/>
      <c r="N217" s="103" t="s">
        <v>947</v>
      </c>
      <c r="O217" s="74">
        <f t="shared" si="19"/>
        <v>5250</v>
      </c>
    </row>
    <row r="218" spans="1:15" s="8" customFormat="1" ht="15.75" x14ac:dyDescent="0.25">
      <c r="A218" s="15" t="s">
        <v>446</v>
      </c>
      <c r="B218" s="102">
        <v>44193</v>
      </c>
      <c r="C218" s="9" t="s">
        <v>700</v>
      </c>
      <c r="D218" s="48">
        <f>9+12+12+24</f>
        <v>57</v>
      </c>
      <c r="E218" s="13">
        <v>12.93</v>
      </c>
      <c r="F218" s="50">
        <f t="shared" si="21"/>
        <v>737.01</v>
      </c>
      <c r="G218" s="103"/>
      <c r="H218" s="103"/>
      <c r="I218" s="104"/>
      <c r="J218" s="103"/>
      <c r="K218" s="103"/>
      <c r="L218" s="103">
        <f t="shared" si="20"/>
        <v>57</v>
      </c>
      <c r="M218" s="103"/>
      <c r="N218" s="103" t="s">
        <v>947</v>
      </c>
      <c r="O218" s="74">
        <f t="shared" si="19"/>
        <v>737.01</v>
      </c>
    </row>
    <row r="219" spans="1:15" s="8" customFormat="1" ht="15.75" x14ac:dyDescent="0.25">
      <c r="A219" s="15" t="s">
        <v>447</v>
      </c>
      <c r="B219" s="102">
        <v>44193</v>
      </c>
      <c r="C219" s="9" t="s">
        <v>701</v>
      </c>
      <c r="D219" s="48">
        <f>16+12+12</f>
        <v>40</v>
      </c>
      <c r="E219" s="13">
        <v>14.37</v>
      </c>
      <c r="F219" s="50">
        <f t="shared" si="21"/>
        <v>574.79999999999995</v>
      </c>
      <c r="G219" s="103"/>
      <c r="H219" s="103"/>
      <c r="I219" s="104"/>
      <c r="J219" s="103"/>
      <c r="K219" s="103"/>
      <c r="L219" s="103">
        <f t="shared" si="20"/>
        <v>40</v>
      </c>
      <c r="M219" s="103"/>
      <c r="N219" s="103" t="s">
        <v>947</v>
      </c>
      <c r="O219" s="74">
        <f t="shared" si="19"/>
        <v>574.79999999999995</v>
      </c>
    </row>
    <row r="220" spans="1:15" s="8" customFormat="1" ht="15.75" x14ac:dyDescent="0.25">
      <c r="A220" s="15" t="s">
        <v>448</v>
      </c>
      <c r="B220" s="102">
        <v>44193</v>
      </c>
      <c r="C220" s="9" t="s">
        <v>702</v>
      </c>
      <c r="D220" s="48">
        <v>6</v>
      </c>
      <c r="E220" s="13">
        <v>35</v>
      </c>
      <c r="F220" s="50">
        <f t="shared" si="21"/>
        <v>210</v>
      </c>
      <c r="G220" s="103"/>
      <c r="H220" s="103"/>
      <c r="I220" s="104"/>
      <c r="J220" s="103"/>
      <c r="K220" s="103"/>
      <c r="L220" s="103">
        <f t="shared" si="20"/>
        <v>6</v>
      </c>
      <c r="M220" s="103"/>
      <c r="N220" s="103" t="s">
        <v>947</v>
      </c>
      <c r="O220" s="74">
        <f t="shared" si="19"/>
        <v>210</v>
      </c>
    </row>
    <row r="221" spans="1:15" s="8" customFormat="1" ht="15.75" x14ac:dyDescent="0.25">
      <c r="A221" s="15" t="s">
        <v>449</v>
      </c>
      <c r="B221" s="102">
        <v>44193</v>
      </c>
      <c r="C221" s="9" t="s">
        <v>703</v>
      </c>
      <c r="D221" s="48"/>
      <c r="E221" s="13">
        <v>30</v>
      </c>
      <c r="F221" s="50">
        <f t="shared" si="21"/>
        <v>0</v>
      </c>
      <c r="G221" s="103"/>
      <c r="H221" s="103"/>
      <c r="I221" s="104"/>
      <c r="J221" s="103"/>
      <c r="K221" s="103"/>
      <c r="L221" s="103">
        <f t="shared" si="20"/>
        <v>0</v>
      </c>
      <c r="M221" s="103"/>
      <c r="N221" s="103" t="s">
        <v>947</v>
      </c>
      <c r="O221" s="74">
        <f t="shared" si="19"/>
        <v>0</v>
      </c>
    </row>
    <row r="222" spans="1:15" s="8" customFormat="1" ht="15.75" x14ac:dyDescent="0.25">
      <c r="A222" s="15" t="s">
        <v>450</v>
      </c>
      <c r="B222" s="102">
        <v>44193</v>
      </c>
      <c r="C222" s="9" t="s">
        <v>704</v>
      </c>
      <c r="D222" s="48">
        <v>1300</v>
      </c>
      <c r="E222" s="13">
        <v>2.6</v>
      </c>
      <c r="F222" s="50">
        <f t="shared" si="21"/>
        <v>3380</v>
      </c>
      <c r="G222" s="103"/>
      <c r="H222" s="103"/>
      <c r="I222" s="104"/>
      <c r="J222" s="103"/>
      <c r="K222" s="103"/>
      <c r="L222" s="103">
        <f t="shared" si="20"/>
        <v>1300</v>
      </c>
      <c r="M222" s="103"/>
      <c r="N222" s="103" t="s">
        <v>947</v>
      </c>
      <c r="O222" s="74">
        <f t="shared" si="19"/>
        <v>3380</v>
      </c>
    </row>
    <row r="223" spans="1:15" s="8" customFormat="1" ht="15.75" x14ac:dyDescent="0.25">
      <c r="A223" s="15" t="s">
        <v>451</v>
      </c>
      <c r="B223" s="102">
        <v>44193</v>
      </c>
      <c r="C223" s="9" t="s">
        <v>705</v>
      </c>
      <c r="D223" s="48">
        <v>1</v>
      </c>
      <c r="E223" s="13">
        <v>728.81</v>
      </c>
      <c r="F223" s="50">
        <f t="shared" si="21"/>
        <v>728.81</v>
      </c>
      <c r="G223" s="103"/>
      <c r="H223" s="103"/>
      <c r="I223" s="104"/>
      <c r="J223" s="103"/>
      <c r="K223" s="103"/>
      <c r="L223" s="103">
        <f t="shared" si="20"/>
        <v>1</v>
      </c>
      <c r="M223" s="103"/>
      <c r="N223" s="103" t="s">
        <v>947</v>
      </c>
      <c r="O223" s="74">
        <f t="shared" si="19"/>
        <v>728.81</v>
      </c>
    </row>
    <row r="224" spans="1:15" s="8" customFormat="1" ht="15.75" x14ac:dyDescent="0.25">
      <c r="A224" s="15" t="s">
        <v>452</v>
      </c>
      <c r="B224" s="102">
        <v>44193</v>
      </c>
      <c r="C224" s="9" t="s">
        <v>709</v>
      </c>
      <c r="D224" s="58">
        <v>2</v>
      </c>
      <c r="E224" s="13">
        <v>350</v>
      </c>
      <c r="F224" s="50">
        <f t="shared" si="21"/>
        <v>700</v>
      </c>
      <c r="G224" s="103"/>
      <c r="H224" s="103"/>
      <c r="I224" s="104"/>
      <c r="J224" s="103"/>
      <c r="K224" s="103"/>
      <c r="L224" s="103">
        <f t="shared" si="20"/>
        <v>2</v>
      </c>
      <c r="M224" s="103"/>
      <c r="N224" s="103" t="s">
        <v>947</v>
      </c>
      <c r="O224" s="74">
        <f t="shared" si="19"/>
        <v>700</v>
      </c>
    </row>
    <row r="225" spans="1:15" s="8" customFormat="1" ht="15.75" x14ac:dyDescent="0.25">
      <c r="A225" s="15" t="s">
        <v>453</v>
      </c>
      <c r="B225" s="102">
        <v>44193</v>
      </c>
      <c r="C225" s="9" t="s">
        <v>707</v>
      </c>
      <c r="D225" s="48">
        <v>5</v>
      </c>
      <c r="E225" s="13">
        <v>595</v>
      </c>
      <c r="F225" s="50">
        <f t="shared" si="21"/>
        <v>2975</v>
      </c>
      <c r="G225" s="103"/>
      <c r="H225" s="103"/>
      <c r="I225" s="104"/>
      <c r="J225" s="103"/>
      <c r="K225" s="103"/>
      <c r="L225" s="103">
        <f t="shared" si="20"/>
        <v>5</v>
      </c>
      <c r="M225" s="103"/>
      <c r="N225" s="103" t="s">
        <v>947</v>
      </c>
      <c r="O225" s="74">
        <f t="shared" si="19"/>
        <v>2975</v>
      </c>
    </row>
    <row r="226" spans="1:15" s="8" customFormat="1" ht="15.75" x14ac:dyDescent="0.25">
      <c r="A226" s="15" t="s">
        <v>454</v>
      </c>
      <c r="B226" s="102">
        <v>44193</v>
      </c>
      <c r="C226" s="9" t="s">
        <v>868</v>
      </c>
      <c r="D226" s="48">
        <v>2</v>
      </c>
      <c r="E226" s="13">
        <v>300</v>
      </c>
      <c r="F226" s="50">
        <f t="shared" si="21"/>
        <v>600</v>
      </c>
      <c r="G226" s="103"/>
      <c r="H226" s="103"/>
      <c r="I226" s="104"/>
      <c r="J226" s="103"/>
      <c r="K226" s="103"/>
      <c r="L226" s="103">
        <f t="shared" si="20"/>
        <v>2</v>
      </c>
      <c r="M226" s="103"/>
      <c r="N226" s="103" t="s">
        <v>947</v>
      </c>
      <c r="O226" s="74">
        <f t="shared" si="19"/>
        <v>600</v>
      </c>
    </row>
    <row r="227" spans="1:15" s="8" customFormat="1" ht="15.75" x14ac:dyDescent="0.25">
      <c r="A227" s="15" t="s">
        <v>455</v>
      </c>
      <c r="B227" s="102">
        <v>44193</v>
      </c>
      <c r="C227" s="26" t="s">
        <v>710</v>
      </c>
      <c r="D227" s="32">
        <v>0</v>
      </c>
      <c r="E227" s="13">
        <v>3950</v>
      </c>
      <c r="F227" s="50">
        <f t="shared" si="21"/>
        <v>0</v>
      </c>
      <c r="G227" s="103"/>
      <c r="H227" s="103"/>
      <c r="I227" s="104"/>
      <c r="J227" s="103"/>
      <c r="K227" s="103"/>
      <c r="L227" s="103">
        <f t="shared" si="20"/>
        <v>0</v>
      </c>
      <c r="M227" s="103"/>
      <c r="N227" s="103" t="s">
        <v>947</v>
      </c>
      <c r="O227" s="74">
        <f t="shared" si="19"/>
        <v>0</v>
      </c>
    </row>
    <row r="228" spans="1:15" s="8" customFormat="1" ht="15.75" x14ac:dyDescent="0.25">
      <c r="A228" s="15" t="s">
        <v>456</v>
      </c>
      <c r="B228" s="106" t="s">
        <v>108</v>
      </c>
      <c r="C228" s="26" t="s">
        <v>714</v>
      </c>
      <c r="D228" s="55">
        <v>6</v>
      </c>
      <c r="E228" s="51">
        <v>11000</v>
      </c>
      <c r="F228" s="50">
        <f t="shared" si="21"/>
        <v>66000</v>
      </c>
      <c r="G228" s="103"/>
      <c r="H228" s="103"/>
      <c r="I228" s="104"/>
      <c r="J228" s="103"/>
      <c r="K228" s="103"/>
      <c r="L228" s="103">
        <f t="shared" si="20"/>
        <v>6</v>
      </c>
      <c r="M228" s="103"/>
      <c r="N228" s="103" t="s">
        <v>947</v>
      </c>
      <c r="O228" s="74">
        <f t="shared" si="19"/>
        <v>66000</v>
      </c>
    </row>
    <row r="229" spans="1:15" s="8" customFormat="1" ht="15.75" x14ac:dyDescent="0.25">
      <c r="A229" s="15" t="s">
        <v>457</v>
      </c>
      <c r="B229" s="102">
        <v>44652</v>
      </c>
      <c r="C229" s="26" t="s">
        <v>856</v>
      </c>
      <c r="D229" s="38">
        <v>5</v>
      </c>
      <c r="E229" s="59">
        <v>1700</v>
      </c>
      <c r="F229" s="50">
        <f t="shared" si="21"/>
        <v>8500</v>
      </c>
      <c r="G229" s="103"/>
      <c r="H229" s="103"/>
      <c r="I229" s="104"/>
      <c r="J229" s="103"/>
      <c r="K229" s="103"/>
      <c r="L229" s="103">
        <f t="shared" si="20"/>
        <v>5</v>
      </c>
      <c r="M229" s="103"/>
      <c r="N229" s="103" t="s">
        <v>946</v>
      </c>
      <c r="O229" s="74">
        <f t="shared" si="19"/>
        <v>8500</v>
      </c>
    </row>
    <row r="230" spans="1:15" s="8" customFormat="1" ht="15.75" x14ac:dyDescent="0.25">
      <c r="A230" s="15" t="s">
        <v>458</v>
      </c>
      <c r="B230" s="102">
        <v>44193</v>
      </c>
      <c r="C230" s="26" t="s">
        <v>712</v>
      </c>
      <c r="D230" s="32">
        <v>0</v>
      </c>
      <c r="E230" s="13">
        <v>148.31</v>
      </c>
      <c r="F230" s="50">
        <f t="shared" si="21"/>
        <v>0</v>
      </c>
      <c r="G230" s="103"/>
      <c r="H230" s="103"/>
      <c r="I230" s="104"/>
      <c r="J230" s="103"/>
      <c r="K230" s="103"/>
      <c r="L230" s="103">
        <f t="shared" si="20"/>
        <v>0</v>
      </c>
      <c r="M230" s="103"/>
      <c r="N230" s="103" t="s">
        <v>946</v>
      </c>
      <c r="O230" s="74">
        <f t="shared" si="19"/>
        <v>0</v>
      </c>
    </row>
    <row r="231" spans="1:15" s="8" customFormat="1" ht="15.75" x14ac:dyDescent="0.25">
      <c r="A231" s="15" t="s">
        <v>459</v>
      </c>
      <c r="B231" s="102">
        <v>44193</v>
      </c>
      <c r="C231" s="26" t="s">
        <v>713</v>
      </c>
      <c r="D231" s="32">
        <v>0</v>
      </c>
      <c r="E231" s="13">
        <v>122.88</v>
      </c>
      <c r="F231" s="50">
        <f t="shared" si="21"/>
        <v>0</v>
      </c>
      <c r="G231" s="103"/>
      <c r="H231" s="103"/>
      <c r="I231" s="104"/>
      <c r="J231" s="103"/>
      <c r="K231" s="103"/>
      <c r="L231" s="103">
        <f t="shared" si="20"/>
        <v>0</v>
      </c>
      <c r="M231" s="103"/>
      <c r="N231" s="103" t="s">
        <v>946</v>
      </c>
      <c r="O231" s="74">
        <f t="shared" si="19"/>
        <v>0</v>
      </c>
    </row>
    <row r="232" spans="1:15" s="8" customFormat="1" ht="15.75" x14ac:dyDescent="0.25">
      <c r="A232" s="15" t="s">
        <v>460</v>
      </c>
      <c r="B232" s="102">
        <v>44193</v>
      </c>
      <c r="C232" s="26" t="s">
        <v>847</v>
      </c>
      <c r="D232" s="32">
        <v>0</v>
      </c>
      <c r="E232" s="13">
        <v>0</v>
      </c>
      <c r="F232" s="50">
        <f t="shared" si="21"/>
        <v>0</v>
      </c>
      <c r="G232" s="103"/>
      <c r="H232" s="103"/>
      <c r="I232" s="104"/>
      <c r="J232" s="103"/>
      <c r="K232" s="103"/>
      <c r="L232" s="103">
        <f t="shared" si="20"/>
        <v>0</v>
      </c>
      <c r="M232" s="103"/>
      <c r="N232" s="103" t="s">
        <v>946</v>
      </c>
      <c r="O232" s="74">
        <f t="shared" si="19"/>
        <v>0</v>
      </c>
    </row>
    <row r="233" spans="1:15" s="8" customFormat="1" ht="15.75" x14ac:dyDescent="0.25">
      <c r="A233" s="15" t="s">
        <v>461</v>
      </c>
      <c r="B233" s="102">
        <v>44193</v>
      </c>
      <c r="C233" s="26" t="s">
        <v>711</v>
      </c>
      <c r="D233" s="32">
        <v>0</v>
      </c>
      <c r="E233" s="13">
        <v>237.29</v>
      </c>
      <c r="F233" s="50">
        <f t="shared" si="21"/>
        <v>0</v>
      </c>
      <c r="G233" s="103"/>
      <c r="H233" s="103"/>
      <c r="I233" s="104"/>
      <c r="J233" s="103"/>
      <c r="K233" s="103">
        <v>1</v>
      </c>
      <c r="L233" s="103">
        <f t="shared" si="20"/>
        <v>-1</v>
      </c>
      <c r="M233" s="103"/>
      <c r="N233" s="103" t="s">
        <v>946</v>
      </c>
      <c r="O233" s="74">
        <f t="shared" si="19"/>
        <v>-237.29</v>
      </c>
    </row>
    <row r="234" spans="1:15" s="92" customFormat="1" x14ac:dyDescent="0.3">
      <c r="A234" s="88" t="s">
        <v>462</v>
      </c>
      <c r="B234" s="102">
        <v>44193</v>
      </c>
      <c r="C234" s="25" t="s">
        <v>716</v>
      </c>
      <c r="D234" s="32">
        <v>0</v>
      </c>
      <c r="E234" s="51">
        <v>82</v>
      </c>
      <c r="F234" s="50">
        <f t="shared" si="21"/>
        <v>0</v>
      </c>
      <c r="G234" s="103"/>
      <c r="H234" s="103"/>
      <c r="I234" s="104"/>
      <c r="J234" s="103"/>
      <c r="K234" s="103">
        <v>1</v>
      </c>
      <c r="L234" s="103">
        <f t="shared" si="20"/>
        <v>-1</v>
      </c>
      <c r="M234" s="103"/>
      <c r="N234" s="103" t="s">
        <v>945</v>
      </c>
      <c r="O234" s="74">
        <f t="shared" si="19"/>
        <v>-82</v>
      </c>
    </row>
    <row r="235" spans="1:15" s="92" customFormat="1" x14ac:dyDescent="0.3">
      <c r="A235" s="88" t="s">
        <v>463</v>
      </c>
      <c r="B235" s="102">
        <v>44193</v>
      </c>
      <c r="C235" s="25" t="s">
        <v>717</v>
      </c>
      <c r="D235" s="32">
        <v>0</v>
      </c>
      <c r="E235" s="51">
        <v>14.29</v>
      </c>
      <c r="F235" s="50">
        <f t="shared" si="21"/>
        <v>0</v>
      </c>
      <c r="G235" s="103"/>
      <c r="H235" s="103"/>
      <c r="I235" s="104"/>
      <c r="J235" s="103"/>
      <c r="K235" s="103"/>
      <c r="L235" s="103">
        <f t="shared" si="20"/>
        <v>0</v>
      </c>
      <c r="M235" s="103"/>
      <c r="N235" s="103" t="s">
        <v>945</v>
      </c>
      <c r="O235" s="74">
        <f t="shared" si="19"/>
        <v>0</v>
      </c>
    </row>
    <row r="236" spans="1:15" s="92" customFormat="1" x14ac:dyDescent="0.3">
      <c r="A236" s="88" t="s">
        <v>464</v>
      </c>
      <c r="B236" s="106" t="s">
        <v>770</v>
      </c>
      <c r="C236" s="25" t="s">
        <v>715</v>
      </c>
      <c r="D236" s="32">
        <v>6</v>
      </c>
      <c r="E236" s="51">
        <v>82</v>
      </c>
      <c r="F236" s="50">
        <f t="shared" si="21"/>
        <v>492</v>
      </c>
      <c r="G236" s="103"/>
      <c r="H236" s="103"/>
      <c r="I236" s="104"/>
      <c r="J236" s="103"/>
      <c r="K236" s="103"/>
      <c r="L236" s="103">
        <f t="shared" si="20"/>
        <v>6</v>
      </c>
      <c r="M236" s="103"/>
      <c r="N236" s="103" t="s">
        <v>945</v>
      </c>
      <c r="O236" s="74">
        <f t="shared" si="19"/>
        <v>492</v>
      </c>
    </row>
    <row r="237" spans="1:15" s="8" customFormat="1" ht="15.75" x14ac:dyDescent="0.25">
      <c r="A237" s="15" t="s">
        <v>465</v>
      </c>
      <c r="B237" s="106" t="s">
        <v>108</v>
      </c>
      <c r="C237" s="25" t="s">
        <v>718</v>
      </c>
      <c r="D237" s="32">
        <v>0</v>
      </c>
      <c r="E237" s="51">
        <v>6375</v>
      </c>
      <c r="F237" s="50">
        <f t="shared" si="21"/>
        <v>0</v>
      </c>
      <c r="G237" s="103"/>
      <c r="H237" s="103"/>
      <c r="I237" s="104"/>
      <c r="J237" s="103"/>
      <c r="K237" s="103">
        <v>1</v>
      </c>
      <c r="L237" s="103">
        <f t="shared" si="20"/>
        <v>-1</v>
      </c>
      <c r="M237" s="103"/>
      <c r="N237" s="103" t="s">
        <v>946</v>
      </c>
      <c r="O237" s="74">
        <f t="shared" si="19"/>
        <v>-6375</v>
      </c>
    </row>
    <row r="238" spans="1:15" s="8" customFormat="1" ht="15.75" x14ac:dyDescent="0.25">
      <c r="A238" s="15" t="s">
        <v>466</v>
      </c>
      <c r="B238" s="102">
        <v>44193</v>
      </c>
      <c r="C238" s="9" t="s">
        <v>781</v>
      </c>
      <c r="D238" s="48">
        <v>2</v>
      </c>
      <c r="E238" s="13">
        <v>725</v>
      </c>
      <c r="F238" s="50">
        <f t="shared" si="21"/>
        <v>1450</v>
      </c>
      <c r="G238" s="103"/>
      <c r="H238" s="103"/>
      <c r="I238" s="104"/>
      <c r="J238" s="103"/>
      <c r="K238" s="103"/>
      <c r="L238" s="103">
        <f t="shared" si="20"/>
        <v>2</v>
      </c>
      <c r="M238" s="103"/>
      <c r="N238" s="103" t="s">
        <v>947</v>
      </c>
      <c r="O238" s="74">
        <f t="shared" si="19"/>
        <v>1450</v>
      </c>
    </row>
    <row r="239" spans="1:15" s="8" customFormat="1" ht="15.75" x14ac:dyDescent="0.25">
      <c r="A239" s="15" t="s">
        <v>467</v>
      </c>
      <c r="B239" s="102">
        <v>44193</v>
      </c>
      <c r="C239" s="9" t="s">
        <v>721</v>
      </c>
      <c r="D239" s="30">
        <v>40</v>
      </c>
      <c r="E239" s="13">
        <v>230</v>
      </c>
      <c r="F239" s="50">
        <f t="shared" si="21"/>
        <v>9200</v>
      </c>
      <c r="G239" s="103"/>
      <c r="H239" s="103"/>
      <c r="I239" s="104"/>
      <c r="J239" s="103"/>
      <c r="K239" s="103">
        <v>6</v>
      </c>
      <c r="L239" s="103">
        <f t="shared" si="20"/>
        <v>34</v>
      </c>
      <c r="M239" s="103"/>
      <c r="N239" s="103" t="s">
        <v>947</v>
      </c>
      <c r="O239" s="74">
        <f t="shared" ref="O239:O243" si="22">+L239*E239</f>
        <v>7820</v>
      </c>
    </row>
    <row r="240" spans="1:15" s="8" customFormat="1" ht="15.75" x14ac:dyDescent="0.25">
      <c r="A240" s="15" t="s">
        <v>468</v>
      </c>
      <c r="B240" s="102">
        <v>44193</v>
      </c>
      <c r="C240" s="9" t="s">
        <v>722</v>
      </c>
      <c r="D240" s="48">
        <v>100</v>
      </c>
      <c r="E240" s="13">
        <v>2.25</v>
      </c>
      <c r="F240" s="50">
        <f t="shared" si="21"/>
        <v>225</v>
      </c>
      <c r="G240" s="103"/>
      <c r="H240" s="103"/>
      <c r="I240" s="104"/>
      <c r="J240" s="103"/>
      <c r="K240" s="103">
        <v>5</v>
      </c>
      <c r="L240" s="103">
        <f t="shared" si="20"/>
        <v>95</v>
      </c>
      <c r="M240" s="103"/>
      <c r="N240" s="103" t="s">
        <v>947</v>
      </c>
      <c r="O240" s="74">
        <f t="shared" si="22"/>
        <v>213.75</v>
      </c>
    </row>
    <row r="241" spans="1:15" s="8" customFormat="1" ht="15.75" x14ac:dyDescent="0.25">
      <c r="A241" s="15" t="s">
        <v>469</v>
      </c>
      <c r="B241" s="102">
        <v>44193</v>
      </c>
      <c r="C241" s="9" t="s">
        <v>724</v>
      </c>
      <c r="D241" s="48">
        <v>7</v>
      </c>
      <c r="E241" s="13">
        <v>250</v>
      </c>
      <c r="F241" s="50">
        <f t="shared" si="21"/>
        <v>1750</v>
      </c>
      <c r="G241" s="103"/>
      <c r="H241" s="103"/>
      <c r="I241" s="104"/>
      <c r="J241" s="103"/>
      <c r="K241" s="103"/>
      <c r="L241" s="103">
        <f t="shared" si="20"/>
        <v>7</v>
      </c>
      <c r="M241" s="103"/>
      <c r="N241" s="103" t="s">
        <v>947</v>
      </c>
      <c r="O241" s="74">
        <f t="shared" si="22"/>
        <v>1750</v>
      </c>
    </row>
    <row r="242" spans="1:15" s="8" customFormat="1" ht="15.75" x14ac:dyDescent="0.25">
      <c r="A242" s="15" t="s">
        <v>470</v>
      </c>
      <c r="B242" s="102">
        <v>44193</v>
      </c>
      <c r="C242" s="9" t="s">
        <v>725</v>
      </c>
      <c r="D242" s="48">
        <v>61</v>
      </c>
      <c r="E242" s="13">
        <v>30</v>
      </c>
      <c r="F242" s="50">
        <f t="shared" si="21"/>
        <v>1830</v>
      </c>
      <c r="G242" s="103"/>
      <c r="H242" s="103"/>
      <c r="I242" s="104"/>
      <c r="J242" s="103"/>
      <c r="K242" s="103">
        <v>15</v>
      </c>
      <c r="L242" s="103">
        <f t="shared" si="20"/>
        <v>46</v>
      </c>
      <c r="M242" s="103"/>
      <c r="N242" s="103" t="s">
        <v>947</v>
      </c>
      <c r="O242" s="74">
        <f t="shared" si="22"/>
        <v>1380</v>
      </c>
    </row>
    <row r="243" spans="1:15" s="8" customFormat="1" ht="15.75" x14ac:dyDescent="0.25">
      <c r="A243" s="15" t="s">
        <v>471</v>
      </c>
      <c r="B243" s="102">
        <v>44193</v>
      </c>
      <c r="C243" s="9" t="s">
        <v>726</v>
      </c>
      <c r="D243" s="58">
        <v>7</v>
      </c>
      <c r="E243" s="13">
        <v>120</v>
      </c>
      <c r="F243" s="50">
        <f t="shared" si="21"/>
        <v>840</v>
      </c>
      <c r="G243" s="103"/>
      <c r="H243" s="103"/>
      <c r="I243" s="104"/>
      <c r="J243" s="103"/>
      <c r="K243" s="103"/>
      <c r="L243" s="103">
        <f t="shared" si="20"/>
        <v>7</v>
      </c>
      <c r="M243" s="103"/>
      <c r="N243" s="103" t="s">
        <v>947</v>
      </c>
      <c r="O243" s="74">
        <f t="shared" si="22"/>
        <v>840</v>
      </c>
    </row>
    <row r="244" spans="1:15" s="8" customFormat="1" ht="15.75" x14ac:dyDescent="0.25">
      <c r="A244" s="15" t="s">
        <v>472</v>
      </c>
      <c r="B244" s="102">
        <v>44652</v>
      </c>
      <c r="C244" s="9" t="s">
        <v>727</v>
      </c>
      <c r="D244" s="14">
        <v>190</v>
      </c>
      <c r="E244" s="13">
        <v>560</v>
      </c>
      <c r="F244" s="50">
        <f t="shared" si="21"/>
        <v>106400</v>
      </c>
      <c r="G244" s="107">
        <v>44778</v>
      </c>
      <c r="H244" s="103">
        <f>70*6</f>
        <v>420</v>
      </c>
      <c r="I244" s="104">
        <f>65254/H244</f>
        <v>155.36666666666667</v>
      </c>
      <c r="J244" s="104">
        <f>+I244*H244</f>
        <v>65254</v>
      </c>
      <c r="K244" s="103">
        <f>4+4+4+2+4+3+6+6+3+12+4+4+3+6+1+2+4</f>
        <v>72</v>
      </c>
      <c r="L244" s="103">
        <f>+D244+H244-K244</f>
        <v>538</v>
      </c>
      <c r="M244" s="103" t="s">
        <v>943</v>
      </c>
      <c r="N244" s="103" t="s">
        <v>947</v>
      </c>
      <c r="O244" s="74">
        <f>+L244*I244</f>
        <v>83587.266666666677</v>
      </c>
    </row>
    <row r="245" spans="1:15" s="8" customFormat="1" ht="15.75" x14ac:dyDescent="0.25">
      <c r="A245" s="15" t="s">
        <v>473</v>
      </c>
      <c r="B245" s="106" t="s">
        <v>112</v>
      </c>
      <c r="C245" s="26" t="s">
        <v>752</v>
      </c>
      <c r="D245" s="38">
        <v>3</v>
      </c>
      <c r="E245" s="13">
        <v>135</v>
      </c>
      <c r="F245" s="50">
        <f t="shared" si="21"/>
        <v>405</v>
      </c>
      <c r="G245" s="103"/>
      <c r="H245" s="103"/>
      <c r="I245" s="104"/>
      <c r="J245" s="103"/>
      <c r="K245" s="103"/>
      <c r="L245" s="103">
        <f t="shared" si="20"/>
        <v>3</v>
      </c>
      <c r="M245" s="103"/>
      <c r="N245" s="103" t="s">
        <v>947</v>
      </c>
      <c r="O245" s="74">
        <f>+L245*E245</f>
        <v>405</v>
      </c>
    </row>
    <row r="246" spans="1:15" s="8" customFormat="1" ht="15.75" x14ac:dyDescent="0.25">
      <c r="A246" s="15" t="s">
        <v>507</v>
      </c>
      <c r="B246" s="102">
        <v>44193</v>
      </c>
      <c r="C246" s="9" t="s">
        <v>728</v>
      </c>
      <c r="D246" s="30">
        <v>0</v>
      </c>
      <c r="E246" s="13">
        <v>62.5</v>
      </c>
      <c r="F246" s="50">
        <f t="shared" si="21"/>
        <v>0</v>
      </c>
      <c r="G246" s="103"/>
      <c r="H246" s="103"/>
      <c r="I246" s="104"/>
      <c r="J246" s="103"/>
      <c r="K246" s="103">
        <v>1</v>
      </c>
      <c r="L246" s="103">
        <f t="shared" si="20"/>
        <v>-1</v>
      </c>
      <c r="M246" s="103"/>
      <c r="N246" s="103" t="s">
        <v>947</v>
      </c>
      <c r="O246" s="74">
        <f t="shared" ref="O246:O309" si="23">+L246*E246</f>
        <v>-62.5</v>
      </c>
    </row>
    <row r="247" spans="1:15" s="8" customFormat="1" ht="15.75" x14ac:dyDescent="0.25">
      <c r="A247" s="15" t="s">
        <v>508</v>
      </c>
      <c r="B247" s="102">
        <v>44193</v>
      </c>
      <c r="C247" s="9" t="s">
        <v>729</v>
      </c>
      <c r="D247" s="30">
        <v>226</v>
      </c>
      <c r="E247" s="13">
        <v>22.2</v>
      </c>
      <c r="F247" s="50">
        <f t="shared" si="21"/>
        <v>5017.2</v>
      </c>
      <c r="G247" s="103"/>
      <c r="H247" s="103"/>
      <c r="I247" s="104"/>
      <c r="J247" s="103"/>
      <c r="K247" s="103"/>
      <c r="L247" s="103">
        <f t="shared" si="20"/>
        <v>226</v>
      </c>
      <c r="M247" s="103"/>
      <c r="N247" s="103" t="s">
        <v>947</v>
      </c>
      <c r="O247" s="74">
        <f t="shared" si="23"/>
        <v>5017.2</v>
      </c>
    </row>
    <row r="248" spans="1:15" s="8" customFormat="1" ht="15.75" x14ac:dyDescent="0.25">
      <c r="A248" s="15" t="s">
        <v>509</v>
      </c>
      <c r="B248" s="102">
        <v>44193</v>
      </c>
      <c r="C248" s="9" t="s">
        <v>730</v>
      </c>
      <c r="D248" s="30">
        <v>2</v>
      </c>
      <c r="E248" s="13">
        <v>375</v>
      </c>
      <c r="F248" s="50">
        <f t="shared" si="21"/>
        <v>750</v>
      </c>
      <c r="G248" s="103"/>
      <c r="H248" s="103"/>
      <c r="I248" s="104"/>
      <c r="J248" s="103"/>
      <c r="K248" s="103"/>
      <c r="L248" s="103">
        <f t="shared" si="20"/>
        <v>2</v>
      </c>
      <c r="M248" s="103"/>
      <c r="N248" s="103" t="s">
        <v>947</v>
      </c>
      <c r="O248" s="74">
        <f t="shared" si="23"/>
        <v>750</v>
      </c>
    </row>
    <row r="249" spans="1:15" s="8" customFormat="1" ht="15.75" x14ac:dyDescent="0.25">
      <c r="A249" s="15" t="s">
        <v>869</v>
      </c>
      <c r="B249" s="102">
        <v>44193</v>
      </c>
      <c r="C249" s="25" t="s">
        <v>825</v>
      </c>
      <c r="D249" s="38">
        <v>11</v>
      </c>
      <c r="E249" s="13">
        <v>301</v>
      </c>
      <c r="F249" s="50">
        <f t="shared" si="21"/>
        <v>3311</v>
      </c>
      <c r="G249" s="103"/>
      <c r="H249" s="103"/>
      <c r="I249" s="104"/>
      <c r="J249" s="103"/>
      <c r="K249" s="103"/>
      <c r="L249" s="103">
        <f t="shared" si="20"/>
        <v>11</v>
      </c>
      <c r="M249" s="103"/>
      <c r="N249" s="103" t="s">
        <v>947</v>
      </c>
      <c r="O249" s="74">
        <f t="shared" si="23"/>
        <v>3311</v>
      </c>
    </row>
    <row r="250" spans="1:15" s="92" customFormat="1" x14ac:dyDescent="0.3">
      <c r="A250" s="88" t="s">
        <v>512</v>
      </c>
      <c r="B250" s="106" t="s">
        <v>106</v>
      </c>
      <c r="C250" s="25" t="s">
        <v>731</v>
      </c>
      <c r="D250" s="30">
        <v>0</v>
      </c>
      <c r="E250" s="51">
        <v>171.6</v>
      </c>
      <c r="F250" s="50">
        <f t="shared" si="21"/>
        <v>0</v>
      </c>
      <c r="G250" s="103"/>
      <c r="H250" s="103"/>
      <c r="I250" s="104"/>
      <c r="J250" s="103"/>
      <c r="K250" s="103">
        <f>3+3+3+6+3</f>
        <v>18</v>
      </c>
      <c r="L250" s="103">
        <f t="shared" si="20"/>
        <v>-18</v>
      </c>
      <c r="M250" s="103"/>
      <c r="N250" s="103" t="s">
        <v>945</v>
      </c>
      <c r="O250" s="74">
        <f t="shared" si="23"/>
        <v>-3088.7999999999997</v>
      </c>
    </row>
    <row r="251" spans="1:15" s="92" customFormat="1" x14ac:dyDescent="0.3">
      <c r="A251" s="88" t="s">
        <v>870</v>
      </c>
      <c r="B251" s="102">
        <v>44193</v>
      </c>
      <c r="C251" s="9" t="s">
        <v>950</v>
      </c>
      <c r="D251" s="30">
        <v>12</v>
      </c>
      <c r="E251" s="13">
        <v>65</v>
      </c>
      <c r="F251" s="50">
        <f t="shared" si="21"/>
        <v>780</v>
      </c>
      <c r="G251" s="103"/>
      <c r="H251" s="103"/>
      <c r="I251" s="104"/>
      <c r="J251" s="103"/>
      <c r="K251" s="103">
        <f>4+4</f>
        <v>8</v>
      </c>
      <c r="L251" s="103">
        <f t="shared" si="20"/>
        <v>4</v>
      </c>
      <c r="M251" s="103"/>
      <c r="N251" s="103" t="s">
        <v>945</v>
      </c>
      <c r="O251" s="74">
        <f t="shared" si="23"/>
        <v>260</v>
      </c>
    </row>
    <row r="252" spans="1:15" s="92" customFormat="1" x14ac:dyDescent="0.3">
      <c r="A252" s="88" t="s">
        <v>513</v>
      </c>
      <c r="B252" s="102">
        <v>44678</v>
      </c>
      <c r="C252" s="25" t="s">
        <v>853</v>
      </c>
      <c r="D252" s="56">
        <v>16</v>
      </c>
      <c r="E252" s="13">
        <v>3000</v>
      </c>
      <c r="F252" s="50">
        <f t="shared" si="21"/>
        <v>48000</v>
      </c>
      <c r="G252" s="103"/>
      <c r="H252" s="103"/>
      <c r="I252" s="104"/>
      <c r="J252" s="103"/>
      <c r="K252" s="103"/>
      <c r="L252" s="103">
        <f t="shared" si="20"/>
        <v>16</v>
      </c>
      <c r="M252" s="103"/>
      <c r="N252" s="103" t="s">
        <v>945</v>
      </c>
      <c r="O252" s="74">
        <f t="shared" si="23"/>
        <v>48000</v>
      </c>
    </row>
    <row r="253" spans="1:15" s="92" customFormat="1" x14ac:dyDescent="0.3">
      <c r="A253" s="88" t="s">
        <v>514</v>
      </c>
      <c r="B253" s="102">
        <v>44193</v>
      </c>
      <c r="C253" s="25" t="s">
        <v>734</v>
      </c>
      <c r="D253" s="38">
        <v>0</v>
      </c>
      <c r="E253" s="13">
        <v>1500</v>
      </c>
      <c r="F253" s="50">
        <f t="shared" si="21"/>
        <v>0</v>
      </c>
      <c r="G253" s="103"/>
      <c r="H253" s="103"/>
      <c r="I253" s="104"/>
      <c r="J253" s="103"/>
      <c r="K253" s="103"/>
      <c r="L253" s="103">
        <f t="shared" si="20"/>
        <v>0</v>
      </c>
      <c r="M253" s="103"/>
      <c r="N253" s="103" t="s">
        <v>945</v>
      </c>
      <c r="O253" s="74">
        <f t="shared" si="23"/>
        <v>0</v>
      </c>
    </row>
    <row r="254" spans="1:15" s="92" customFormat="1" x14ac:dyDescent="0.3">
      <c r="A254" s="88" t="s">
        <v>871</v>
      </c>
      <c r="B254" s="102">
        <v>44678</v>
      </c>
      <c r="C254" s="25" t="s">
        <v>852</v>
      </c>
      <c r="D254" s="57">
        <v>11</v>
      </c>
      <c r="E254" s="13">
        <v>1500</v>
      </c>
      <c r="F254" s="50">
        <f t="shared" si="21"/>
        <v>16500</v>
      </c>
      <c r="G254" s="103"/>
      <c r="H254" s="103"/>
      <c r="I254" s="104"/>
      <c r="J254" s="103"/>
      <c r="K254" s="103"/>
      <c r="L254" s="103">
        <f t="shared" si="20"/>
        <v>11</v>
      </c>
      <c r="M254" s="103"/>
      <c r="N254" s="103" t="s">
        <v>945</v>
      </c>
      <c r="O254" s="74">
        <f t="shared" si="23"/>
        <v>16500</v>
      </c>
    </row>
    <row r="255" spans="1:15" s="92" customFormat="1" x14ac:dyDescent="0.3">
      <c r="A255" s="88" t="s">
        <v>872</v>
      </c>
      <c r="B255" s="102">
        <v>44678</v>
      </c>
      <c r="C255" s="25" t="s">
        <v>735</v>
      </c>
      <c r="D255" s="57">
        <v>3</v>
      </c>
      <c r="E255" s="13">
        <v>3800</v>
      </c>
      <c r="F255" s="50">
        <f t="shared" si="21"/>
        <v>11400</v>
      </c>
      <c r="G255" s="103"/>
      <c r="H255" s="103"/>
      <c r="I255" s="104"/>
      <c r="J255" s="103"/>
      <c r="K255" s="103"/>
      <c r="L255" s="103">
        <f t="shared" si="20"/>
        <v>3</v>
      </c>
      <c r="M255" s="103"/>
      <c r="N255" s="103" t="s">
        <v>945</v>
      </c>
      <c r="O255" s="74">
        <f t="shared" si="23"/>
        <v>11400</v>
      </c>
    </row>
    <row r="256" spans="1:15" s="92" customFormat="1" x14ac:dyDescent="0.3">
      <c r="A256" s="88" t="s">
        <v>515</v>
      </c>
      <c r="B256" s="102">
        <v>44678</v>
      </c>
      <c r="C256" s="25" t="s">
        <v>737</v>
      </c>
      <c r="D256" s="57">
        <v>2</v>
      </c>
      <c r="E256" s="13">
        <v>1500</v>
      </c>
      <c r="F256" s="50">
        <f t="shared" si="21"/>
        <v>3000</v>
      </c>
      <c r="G256" s="103"/>
      <c r="H256" s="103"/>
      <c r="I256" s="104"/>
      <c r="J256" s="103"/>
      <c r="K256" s="103"/>
      <c r="L256" s="103">
        <f t="shared" si="20"/>
        <v>2</v>
      </c>
      <c r="M256" s="103"/>
      <c r="N256" s="103" t="s">
        <v>945</v>
      </c>
      <c r="O256" s="74">
        <f t="shared" si="23"/>
        <v>3000</v>
      </c>
    </row>
    <row r="257" spans="1:15" s="92" customFormat="1" x14ac:dyDescent="0.3">
      <c r="A257" s="88" t="s">
        <v>516</v>
      </c>
      <c r="B257" s="102">
        <v>44678</v>
      </c>
      <c r="C257" s="25" t="s">
        <v>736</v>
      </c>
      <c r="D257" s="57">
        <v>2</v>
      </c>
      <c r="E257" s="13">
        <v>3800</v>
      </c>
      <c r="F257" s="50">
        <f t="shared" si="21"/>
        <v>7600</v>
      </c>
      <c r="G257" s="103"/>
      <c r="H257" s="103"/>
      <c r="I257" s="104"/>
      <c r="J257" s="103"/>
      <c r="K257" s="103"/>
      <c r="L257" s="103">
        <f t="shared" si="20"/>
        <v>2</v>
      </c>
      <c r="M257" s="103"/>
      <c r="N257" s="103" t="s">
        <v>945</v>
      </c>
      <c r="O257" s="74">
        <f>+L257*E257</f>
        <v>7600</v>
      </c>
    </row>
    <row r="258" spans="1:15" s="92" customFormat="1" x14ac:dyDescent="0.3">
      <c r="A258" s="88" t="s">
        <v>517</v>
      </c>
      <c r="B258" s="102">
        <v>44678</v>
      </c>
      <c r="C258" s="25" t="s">
        <v>738</v>
      </c>
      <c r="D258" s="57">
        <v>4</v>
      </c>
      <c r="E258" s="13">
        <v>3800</v>
      </c>
      <c r="F258" s="50">
        <f t="shared" si="21"/>
        <v>15200</v>
      </c>
      <c r="G258" s="103"/>
      <c r="H258" s="103"/>
      <c r="I258" s="104"/>
      <c r="J258" s="103"/>
      <c r="K258" s="103"/>
      <c r="L258" s="103">
        <f t="shared" si="20"/>
        <v>4</v>
      </c>
      <c r="M258" s="103"/>
      <c r="N258" s="103" t="s">
        <v>945</v>
      </c>
      <c r="O258" s="74">
        <f t="shared" si="23"/>
        <v>15200</v>
      </c>
    </row>
    <row r="259" spans="1:15" s="92" customFormat="1" x14ac:dyDescent="0.3">
      <c r="A259" s="88" t="s">
        <v>518</v>
      </c>
      <c r="B259" s="102">
        <v>44678</v>
      </c>
      <c r="C259" s="26" t="s">
        <v>751</v>
      </c>
      <c r="D259" s="57">
        <v>16</v>
      </c>
      <c r="E259" s="13">
        <v>3000</v>
      </c>
      <c r="F259" s="50">
        <f t="shared" si="21"/>
        <v>48000</v>
      </c>
      <c r="G259" s="103"/>
      <c r="H259" s="103"/>
      <c r="I259" s="104"/>
      <c r="J259" s="103"/>
      <c r="K259" s="103"/>
      <c r="L259" s="103">
        <f t="shared" si="20"/>
        <v>16</v>
      </c>
      <c r="M259" s="103"/>
      <c r="N259" s="103" t="s">
        <v>945</v>
      </c>
      <c r="O259" s="74">
        <f t="shared" si="23"/>
        <v>48000</v>
      </c>
    </row>
    <row r="260" spans="1:15" s="92" customFormat="1" x14ac:dyDescent="0.3">
      <c r="A260" s="88" t="s">
        <v>519</v>
      </c>
      <c r="B260" s="102">
        <v>44678</v>
      </c>
      <c r="C260" s="25" t="s">
        <v>845</v>
      </c>
      <c r="D260" s="38">
        <v>2</v>
      </c>
      <c r="E260" s="13">
        <v>200</v>
      </c>
      <c r="F260" s="50">
        <f t="shared" si="21"/>
        <v>400</v>
      </c>
      <c r="G260" s="103"/>
      <c r="H260" s="103"/>
      <c r="I260" s="104"/>
      <c r="J260" s="103"/>
      <c r="K260" s="103"/>
      <c r="L260" s="103">
        <f t="shared" si="20"/>
        <v>2</v>
      </c>
      <c r="M260" s="103"/>
      <c r="N260" s="103" t="s">
        <v>945</v>
      </c>
      <c r="O260" s="74">
        <f t="shared" si="23"/>
        <v>400</v>
      </c>
    </row>
    <row r="261" spans="1:15" s="8" customFormat="1" ht="15.75" x14ac:dyDescent="0.25">
      <c r="A261" s="15" t="s">
        <v>520</v>
      </c>
      <c r="B261" s="102">
        <v>44193</v>
      </c>
      <c r="C261" s="9" t="s">
        <v>740</v>
      </c>
      <c r="D261" s="30">
        <v>3</v>
      </c>
      <c r="E261" s="13">
        <v>75</v>
      </c>
      <c r="F261" s="50">
        <f>D261*E261</f>
        <v>225</v>
      </c>
      <c r="G261" s="103"/>
      <c r="H261" s="103"/>
      <c r="I261" s="104"/>
      <c r="J261" s="103"/>
      <c r="K261" s="103"/>
      <c r="L261" s="103">
        <f t="shared" si="20"/>
        <v>3</v>
      </c>
      <c r="M261" s="103"/>
      <c r="N261" s="103" t="s">
        <v>947</v>
      </c>
      <c r="O261" s="74">
        <f t="shared" si="23"/>
        <v>225</v>
      </c>
    </row>
    <row r="262" spans="1:15" s="8" customFormat="1" ht="15.75" x14ac:dyDescent="0.25">
      <c r="A262" s="15" t="s">
        <v>521</v>
      </c>
      <c r="B262" s="102">
        <v>44193</v>
      </c>
      <c r="C262" s="9" t="s">
        <v>739</v>
      </c>
      <c r="D262" s="30">
        <v>300</v>
      </c>
      <c r="E262" s="13">
        <v>29</v>
      </c>
      <c r="F262" s="50">
        <f>D262*E262</f>
        <v>8700</v>
      </c>
      <c r="G262" s="103"/>
      <c r="H262" s="103"/>
      <c r="I262" s="104"/>
      <c r="J262" s="103"/>
      <c r="K262" s="103"/>
      <c r="L262" s="103">
        <f t="shared" si="20"/>
        <v>300</v>
      </c>
      <c r="M262" s="103"/>
      <c r="N262" s="103" t="s">
        <v>947</v>
      </c>
      <c r="O262" s="74">
        <f t="shared" si="23"/>
        <v>8700</v>
      </c>
    </row>
    <row r="263" spans="1:15" s="8" customFormat="1" ht="15.75" x14ac:dyDescent="0.25">
      <c r="A263" s="15" t="s">
        <v>522</v>
      </c>
      <c r="B263" s="102">
        <v>44193</v>
      </c>
      <c r="C263" s="25" t="s">
        <v>826</v>
      </c>
      <c r="D263" s="38">
        <v>16</v>
      </c>
      <c r="E263" s="13">
        <v>143</v>
      </c>
      <c r="F263" s="50">
        <f>D263*E263</f>
        <v>2288</v>
      </c>
      <c r="G263" s="103"/>
      <c r="H263" s="103"/>
      <c r="I263" s="104"/>
      <c r="J263" s="103"/>
      <c r="K263" s="103"/>
      <c r="L263" s="103">
        <f t="shared" si="20"/>
        <v>16</v>
      </c>
      <c r="M263" s="103"/>
      <c r="N263" s="103" t="s">
        <v>946</v>
      </c>
      <c r="O263" s="74">
        <f t="shared" si="23"/>
        <v>2288</v>
      </c>
    </row>
    <row r="264" spans="1:15" s="8" customFormat="1" ht="15.75" x14ac:dyDescent="0.25">
      <c r="A264" s="15" t="s">
        <v>523</v>
      </c>
      <c r="B264" s="102">
        <v>44193</v>
      </c>
      <c r="C264" s="9" t="s">
        <v>741</v>
      </c>
      <c r="D264" s="56">
        <v>112</v>
      </c>
      <c r="E264" s="13">
        <v>8.5</v>
      </c>
      <c r="F264" s="50">
        <f t="shared" ref="F264:F271" si="24">D264*E264</f>
        <v>952</v>
      </c>
      <c r="G264" s="103"/>
      <c r="H264" s="103"/>
      <c r="I264" s="104"/>
      <c r="J264" s="103"/>
      <c r="K264" s="103"/>
      <c r="L264" s="103">
        <f t="shared" si="20"/>
        <v>112</v>
      </c>
      <c r="M264" s="103"/>
      <c r="N264" s="103" t="s">
        <v>947</v>
      </c>
      <c r="O264" s="74">
        <f t="shared" si="23"/>
        <v>952</v>
      </c>
    </row>
    <row r="265" spans="1:15" s="8" customFormat="1" ht="15.75" x14ac:dyDescent="0.25">
      <c r="A265" s="15" t="s">
        <v>524</v>
      </c>
      <c r="B265" s="102">
        <v>44193</v>
      </c>
      <c r="C265" s="9" t="s">
        <v>742</v>
      </c>
      <c r="D265" s="56">
        <v>24</v>
      </c>
      <c r="E265" s="13">
        <v>12</v>
      </c>
      <c r="F265" s="50">
        <f t="shared" si="24"/>
        <v>288</v>
      </c>
      <c r="G265" s="103"/>
      <c r="H265" s="103"/>
      <c r="I265" s="104"/>
      <c r="J265" s="103"/>
      <c r="K265" s="103"/>
      <c r="L265" s="103">
        <f t="shared" ref="L265:L325" si="25">+D265+H265-K265</f>
        <v>24</v>
      </c>
      <c r="M265" s="103"/>
      <c r="N265" s="103" t="s">
        <v>947</v>
      </c>
      <c r="O265" s="74">
        <f t="shared" si="23"/>
        <v>288</v>
      </c>
    </row>
    <row r="266" spans="1:15" s="8" customFormat="1" ht="15.75" x14ac:dyDescent="0.25">
      <c r="A266" s="15" t="s">
        <v>525</v>
      </c>
      <c r="B266" s="102">
        <v>44193</v>
      </c>
      <c r="C266" s="9" t="s">
        <v>743</v>
      </c>
      <c r="D266" s="30">
        <v>34</v>
      </c>
      <c r="E266" s="13">
        <v>8</v>
      </c>
      <c r="F266" s="50">
        <f t="shared" si="24"/>
        <v>272</v>
      </c>
      <c r="G266" s="103"/>
      <c r="H266" s="103"/>
      <c r="I266" s="104"/>
      <c r="J266" s="103"/>
      <c r="K266" s="103"/>
      <c r="L266" s="103">
        <f t="shared" si="25"/>
        <v>34</v>
      </c>
      <c r="M266" s="103"/>
      <c r="N266" s="103" t="s">
        <v>947</v>
      </c>
      <c r="O266" s="74">
        <f t="shared" si="23"/>
        <v>272</v>
      </c>
    </row>
    <row r="267" spans="1:15" s="8" customFormat="1" ht="15.75" x14ac:dyDescent="0.25">
      <c r="A267" s="15" t="s">
        <v>526</v>
      </c>
      <c r="B267" s="102">
        <v>44193</v>
      </c>
      <c r="C267" s="9" t="s">
        <v>744</v>
      </c>
      <c r="D267" s="30">
        <v>1</v>
      </c>
      <c r="E267" s="13">
        <v>150</v>
      </c>
      <c r="F267" s="50">
        <f t="shared" si="24"/>
        <v>150</v>
      </c>
      <c r="G267" s="103"/>
      <c r="H267" s="103"/>
      <c r="I267" s="104"/>
      <c r="J267" s="103"/>
      <c r="K267" s="103"/>
      <c r="L267" s="103">
        <f t="shared" si="25"/>
        <v>1</v>
      </c>
      <c r="M267" s="103"/>
      <c r="N267" s="103" t="s">
        <v>947</v>
      </c>
      <c r="O267" s="74">
        <f>+L267*E267</f>
        <v>150</v>
      </c>
    </row>
    <row r="268" spans="1:15" s="8" customFormat="1" ht="15.75" x14ac:dyDescent="0.25">
      <c r="A268" s="15" t="s">
        <v>527</v>
      </c>
      <c r="B268" s="102">
        <v>44193</v>
      </c>
      <c r="C268" s="9" t="s">
        <v>745</v>
      </c>
      <c r="D268" s="30">
        <v>1</v>
      </c>
      <c r="E268" s="13">
        <v>211.86</v>
      </c>
      <c r="F268" s="50">
        <f t="shared" si="24"/>
        <v>211.86</v>
      </c>
      <c r="G268" s="103"/>
      <c r="H268" s="103"/>
      <c r="I268" s="104"/>
      <c r="J268" s="103"/>
      <c r="K268" s="103"/>
      <c r="L268" s="103">
        <f t="shared" si="25"/>
        <v>1</v>
      </c>
      <c r="M268" s="103"/>
      <c r="N268" s="103" t="s">
        <v>946</v>
      </c>
      <c r="O268" s="74">
        <f t="shared" si="23"/>
        <v>211.86</v>
      </c>
    </row>
    <row r="269" spans="1:15" s="8" customFormat="1" ht="15.75" x14ac:dyDescent="0.25">
      <c r="A269" s="15" t="s">
        <v>528</v>
      </c>
      <c r="B269" s="106" t="s">
        <v>105</v>
      </c>
      <c r="C269" s="9" t="s">
        <v>747</v>
      </c>
      <c r="D269" s="30">
        <f>90+44</f>
        <v>134</v>
      </c>
      <c r="E269" s="13">
        <v>25.42</v>
      </c>
      <c r="F269" s="50">
        <f t="shared" si="24"/>
        <v>3406.28</v>
      </c>
      <c r="G269" s="103"/>
      <c r="H269" s="103"/>
      <c r="I269" s="104"/>
      <c r="J269" s="103"/>
      <c r="K269" s="103"/>
      <c r="L269" s="103">
        <f t="shared" si="25"/>
        <v>134</v>
      </c>
      <c r="M269" s="103"/>
      <c r="N269" s="103" t="s">
        <v>947</v>
      </c>
      <c r="O269" s="74">
        <f t="shared" si="23"/>
        <v>3406.28</v>
      </c>
    </row>
    <row r="270" spans="1:15" s="8" customFormat="1" ht="15.75" x14ac:dyDescent="0.25">
      <c r="A270" s="15" t="s">
        <v>529</v>
      </c>
      <c r="B270" s="102">
        <v>44193</v>
      </c>
      <c r="C270" s="9" t="s">
        <v>748</v>
      </c>
      <c r="D270" s="30">
        <v>31</v>
      </c>
      <c r="E270" s="13">
        <v>50</v>
      </c>
      <c r="F270" s="50">
        <f t="shared" si="24"/>
        <v>1550</v>
      </c>
      <c r="G270" s="103"/>
      <c r="H270" s="103"/>
      <c r="I270" s="104"/>
      <c r="J270" s="103"/>
      <c r="K270" s="103"/>
      <c r="L270" s="103">
        <f t="shared" si="25"/>
        <v>31</v>
      </c>
      <c r="M270" s="103"/>
      <c r="N270" s="103" t="s">
        <v>947</v>
      </c>
      <c r="O270" s="74">
        <f t="shared" si="23"/>
        <v>1550</v>
      </c>
    </row>
    <row r="271" spans="1:15" s="8" customFormat="1" ht="15.75" x14ac:dyDescent="0.25">
      <c r="A271" s="15" t="s">
        <v>873</v>
      </c>
      <c r="B271" s="102">
        <v>44193</v>
      </c>
      <c r="C271" s="25" t="s">
        <v>785</v>
      </c>
      <c r="D271" s="38">
        <v>4</v>
      </c>
      <c r="E271" s="13">
        <v>45</v>
      </c>
      <c r="F271" s="50">
        <f t="shared" si="24"/>
        <v>180</v>
      </c>
      <c r="G271" s="103"/>
      <c r="H271" s="103"/>
      <c r="I271" s="104"/>
      <c r="J271" s="103"/>
      <c r="K271" s="103"/>
      <c r="L271" s="103">
        <f t="shared" si="25"/>
        <v>4</v>
      </c>
      <c r="M271" s="103"/>
      <c r="N271" s="103" t="s">
        <v>947</v>
      </c>
      <c r="O271" s="74">
        <f t="shared" si="23"/>
        <v>180</v>
      </c>
    </row>
    <row r="272" spans="1:15" s="8" customFormat="1" ht="15.75" x14ac:dyDescent="0.25">
      <c r="A272" s="15" t="s">
        <v>874</v>
      </c>
      <c r="B272" s="106" t="s">
        <v>105</v>
      </c>
      <c r="C272" s="9" t="s">
        <v>746</v>
      </c>
      <c r="D272" s="30">
        <v>7</v>
      </c>
      <c r="E272" s="51">
        <v>48</v>
      </c>
      <c r="F272" s="50">
        <f>D272*E272</f>
        <v>336</v>
      </c>
      <c r="G272" s="103"/>
      <c r="H272" s="103"/>
      <c r="I272" s="104"/>
      <c r="J272" s="103"/>
      <c r="K272" s="103"/>
      <c r="L272" s="103">
        <f t="shared" si="25"/>
        <v>7</v>
      </c>
      <c r="M272" s="103"/>
      <c r="N272" s="103" t="s">
        <v>947</v>
      </c>
      <c r="O272" s="74">
        <f t="shared" si="23"/>
        <v>336</v>
      </c>
    </row>
    <row r="273" spans="1:15" s="8" customFormat="1" ht="15.75" x14ac:dyDescent="0.25">
      <c r="A273" s="15" t="s">
        <v>875</v>
      </c>
      <c r="B273" s="102"/>
      <c r="C273" s="25" t="s">
        <v>815</v>
      </c>
      <c r="D273" s="38">
        <v>6</v>
      </c>
      <c r="E273" s="13"/>
      <c r="F273" s="50"/>
      <c r="G273" s="103"/>
      <c r="H273" s="103"/>
      <c r="I273" s="104"/>
      <c r="J273" s="103"/>
      <c r="K273" s="103"/>
      <c r="L273" s="103">
        <f t="shared" si="25"/>
        <v>6</v>
      </c>
      <c r="M273" s="103"/>
      <c r="N273" s="103" t="s">
        <v>946</v>
      </c>
      <c r="O273" s="74">
        <f t="shared" si="23"/>
        <v>0</v>
      </c>
    </row>
    <row r="274" spans="1:15" s="92" customFormat="1" x14ac:dyDescent="0.3">
      <c r="A274" s="88" t="s">
        <v>876</v>
      </c>
      <c r="B274" s="102">
        <v>44193</v>
      </c>
      <c r="C274" s="26" t="s">
        <v>750</v>
      </c>
      <c r="D274" s="38">
        <v>20</v>
      </c>
      <c r="E274" s="13">
        <v>1449.14</v>
      </c>
      <c r="F274" s="50">
        <f t="shared" ref="F274:F286" si="26">D274*E274</f>
        <v>28982.800000000003</v>
      </c>
      <c r="G274" s="103"/>
      <c r="H274" s="103"/>
      <c r="I274" s="104"/>
      <c r="J274" s="103"/>
      <c r="K274" s="103"/>
      <c r="L274" s="103">
        <f t="shared" si="25"/>
        <v>20</v>
      </c>
      <c r="M274" s="103"/>
      <c r="N274" s="103" t="s">
        <v>945</v>
      </c>
      <c r="O274" s="74">
        <f t="shared" si="23"/>
        <v>28982.800000000003</v>
      </c>
    </row>
    <row r="275" spans="1:15" s="92" customFormat="1" x14ac:dyDescent="0.3">
      <c r="A275" s="88" t="s">
        <v>877</v>
      </c>
      <c r="B275" s="102">
        <v>44193</v>
      </c>
      <c r="C275" s="26" t="s">
        <v>771</v>
      </c>
      <c r="D275" s="38">
        <v>3</v>
      </c>
      <c r="E275" s="13">
        <v>289</v>
      </c>
      <c r="F275" s="50">
        <f t="shared" si="26"/>
        <v>867</v>
      </c>
      <c r="G275" s="107">
        <v>44778</v>
      </c>
      <c r="H275" s="103">
        <v>10</v>
      </c>
      <c r="I275" s="104">
        <v>3481</v>
      </c>
      <c r="J275" s="103">
        <f>+I275/10</f>
        <v>348.1</v>
      </c>
      <c r="K275" s="103"/>
      <c r="L275" s="103">
        <f t="shared" si="25"/>
        <v>13</v>
      </c>
      <c r="M275" s="103" t="s">
        <v>943</v>
      </c>
      <c r="N275" s="103" t="s">
        <v>945</v>
      </c>
      <c r="O275" s="74">
        <f>+L275*E275</f>
        <v>3757</v>
      </c>
    </row>
    <row r="276" spans="1:15" s="8" customFormat="1" ht="15.75" x14ac:dyDescent="0.25">
      <c r="A276" s="15" t="s">
        <v>878</v>
      </c>
      <c r="B276" s="102">
        <v>44193</v>
      </c>
      <c r="C276" s="26" t="s">
        <v>754</v>
      </c>
      <c r="D276" s="38">
        <v>7</v>
      </c>
      <c r="E276" s="13">
        <v>38</v>
      </c>
      <c r="F276" s="50">
        <f t="shared" si="26"/>
        <v>266</v>
      </c>
      <c r="G276" s="103"/>
      <c r="H276" s="103"/>
      <c r="I276" s="104"/>
      <c r="J276" s="103"/>
      <c r="K276" s="103"/>
      <c r="L276" s="103">
        <f t="shared" si="25"/>
        <v>7</v>
      </c>
      <c r="M276" s="103"/>
      <c r="N276" s="103" t="s">
        <v>946</v>
      </c>
      <c r="O276" s="74">
        <f t="shared" si="23"/>
        <v>266</v>
      </c>
    </row>
    <row r="277" spans="1:15" s="8" customFormat="1" ht="15.75" x14ac:dyDescent="0.25">
      <c r="A277" s="15" t="s">
        <v>879</v>
      </c>
      <c r="B277" s="106" t="s">
        <v>105</v>
      </c>
      <c r="C277" s="26" t="s">
        <v>753</v>
      </c>
      <c r="D277" s="38">
        <v>12</v>
      </c>
      <c r="E277" s="13">
        <v>38</v>
      </c>
      <c r="F277" s="50">
        <f t="shared" si="26"/>
        <v>456</v>
      </c>
      <c r="G277" s="103"/>
      <c r="H277" s="103"/>
      <c r="I277" s="104"/>
      <c r="J277" s="103"/>
      <c r="K277" s="103"/>
      <c r="L277" s="103">
        <f t="shared" si="25"/>
        <v>12</v>
      </c>
      <c r="M277" s="103"/>
      <c r="N277" s="103" t="s">
        <v>946</v>
      </c>
      <c r="O277" s="74">
        <f t="shared" si="23"/>
        <v>456</v>
      </c>
    </row>
    <row r="278" spans="1:15" s="8" customFormat="1" ht="15.75" x14ac:dyDescent="0.25">
      <c r="A278" s="15" t="s">
        <v>880</v>
      </c>
      <c r="B278" s="102">
        <v>44193</v>
      </c>
      <c r="C278" s="26" t="s">
        <v>757</v>
      </c>
      <c r="D278" s="38">
        <v>1</v>
      </c>
      <c r="E278" s="13">
        <v>38</v>
      </c>
      <c r="F278" s="50">
        <f t="shared" si="26"/>
        <v>38</v>
      </c>
      <c r="G278" s="103"/>
      <c r="H278" s="103"/>
      <c r="I278" s="104"/>
      <c r="J278" s="103"/>
      <c r="K278" s="103"/>
      <c r="L278" s="103">
        <f t="shared" si="25"/>
        <v>1</v>
      </c>
      <c r="M278" s="103"/>
      <c r="N278" s="103" t="s">
        <v>946</v>
      </c>
      <c r="O278" s="74">
        <f t="shared" si="23"/>
        <v>38</v>
      </c>
    </row>
    <row r="279" spans="1:15" s="8" customFormat="1" ht="15.75" x14ac:dyDescent="0.25">
      <c r="A279" s="15" t="s">
        <v>881</v>
      </c>
      <c r="B279" s="102">
        <v>44193</v>
      </c>
      <c r="C279" s="26" t="s">
        <v>760</v>
      </c>
      <c r="D279" s="38">
        <v>1</v>
      </c>
      <c r="E279" s="13">
        <v>41</v>
      </c>
      <c r="F279" s="50">
        <f t="shared" si="26"/>
        <v>41</v>
      </c>
      <c r="G279" s="103"/>
      <c r="H279" s="103"/>
      <c r="I279" s="104"/>
      <c r="J279" s="103"/>
      <c r="K279" s="103"/>
      <c r="L279" s="103">
        <f t="shared" si="25"/>
        <v>1</v>
      </c>
      <c r="M279" s="103"/>
      <c r="N279" s="103" t="s">
        <v>946</v>
      </c>
      <c r="O279" s="74">
        <f t="shared" si="23"/>
        <v>41</v>
      </c>
    </row>
    <row r="280" spans="1:15" s="8" customFormat="1" ht="15.75" x14ac:dyDescent="0.25">
      <c r="A280" s="15" t="s">
        <v>882</v>
      </c>
      <c r="B280" s="102">
        <v>44193</v>
      </c>
      <c r="C280" s="26" t="s">
        <v>758</v>
      </c>
      <c r="D280" s="38">
        <v>1</v>
      </c>
      <c r="E280" s="13">
        <v>38</v>
      </c>
      <c r="F280" s="50">
        <f t="shared" si="26"/>
        <v>38</v>
      </c>
      <c r="G280" s="103"/>
      <c r="H280" s="103"/>
      <c r="I280" s="104"/>
      <c r="J280" s="103"/>
      <c r="K280" s="103"/>
      <c r="L280" s="103">
        <f t="shared" si="25"/>
        <v>1</v>
      </c>
      <c r="M280" s="103"/>
      <c r="N280" s="103" t="s">
        <v>946</v>
      </c>
      <c r="O280" s="74">
        <f t="shared" si="23"/>
        <v>38</v>
      </c>
    </row>
    <row r="281" spans="1:15" s="8" customFormat="1" ht="15.75" x14ac:dyDescent="0.25">
      <c r="A281" s="15" t="s">
        <v>883</v>
      </c>
      <c r="B281" s="102">
        <v>44193</v>
      </c>
      <c r="C281" s="26" t="s">
        <v>759</v>
      </c>
      <c r="D281" s="38">
        <v>1</v>
      </c>
      <c r="E281" s="13">
        <v>38</v>
      </c>
      <c r="F281" s="50">
        <f t="shared" si="26"/>
        <v>38</v>
      </c>
      <c r="G281" s="103"/>
      <c r="H281" s="103"/>
      <c r="I281" s="104"/>
      <c r="J281" s="103"/>
      <c r="K281" s="103"/>
      <c r="L281" s="103">
        <f t="shared" si="25"/>
        <v>1</v>
      </c>
      <c r="M281" s="103"/>
      <c r="N281" s="103" t="s">
        <v>946</v>
      </c>
      <c r="O281" s="74">
        <f t="shared" si="23"/>
        <v>38</v>
      </c>
    </row>
    <row r="282" spans="1:15" s="8" customFormat="1" ht="15.75" x14ac:dyDescent="0.25">
      <c r="A282" s="15" t="s">
        <v>884</v>
      </c>
      <c r="B282" s="106" t="s">
        <v>105</v>
      </c>
      <c r="C282" s="26" t="s">
        <v>755</v>
      </c>
      <c r="D282" s="38">
        <v>1</v>
      </c>
      <c r="E282" s="13">
        <v>38</v>
      </c>
      <c r="F282" s="50">
        <f t="shared" si="26"/>
        <v>38</v>
      </c>
      <c r="G282" s="103"/>
      <c r="H282" s="103"/>
      <c r="I282" s="104"/>
      <c r="J282" s="103"/>
      <c r="K282" s="103"/>
      <c r="L282" s="103">
        <f t="shared" si="25"/>
        <v>1</v>
      </c>
      <c r="M282" s="103"/>
      <c r="N282" s="103" t="s">
        <v>946</v>
      </c>
      <c r="O282" s="74">
        <f>+L282*E282</f>
        <v>38</v>
      </c>
    </row>
    <row r="283" spans="1:15" s="8" customFormat="1" ht="15.75" x14ac:dyDescent="0.25">
      <c r="A283" s="15" t="s">
        <v>885</v>
      </c>
      <c r="B283" s="102">
        <v>44193</v>
      </c>
      <c r="C283" s="26" t="s">
        <v>756</v>
      </c>
      <c r="D283" s="38">
        <v>1</v>
      </c>
      <c r="E283" s="13">
        <v>38</v>
      </c>
      <c r="F283" s="50">
        <f t="shared" si="26"/>
        <v>38</v>
      </c>
      <c r="G283" s="103"/>
      <c r="H283" s="103"/>
      <c r="I283" s="104"/>
      <c r="J283" s="103"/>
      <c r="K283" s="103"/>
      <c r="L283" s="103">
        <f t="shared" si="25"/>
        <v>1</v>
      </c>
      <c r="M283" s="103"/>
      <c r="N283" s="103" t="s">
        <v>946</v>
      </c>
      <c r="O283" s="74">
        <f t="shared" si="23"/>
        <v>38</v>
      </c>
    </row>
    <row r="284" spans="1:15" s="8" customFormat="1" ht="15.75" x14ac:dyDescent="0.25">
      <c r="A284" s="15" t="s">
        <v>886</v>
      </c>
      <c r="B284" s="102">
        <v>44193</v>
      </c>
      <c r="C284" s="26" t="s">
        <v>762</v>
      </c>
      <c r="D284" s="38">
        <v>7</v>
      </c>
      <c r="E284" s="13">
        <v>537</v>
      </c>
      <c r="F284" s="50">
        <f t="shared" si="26"/>
        <v>3759</v>
      </c>
      <c r="G284" s="103"/>
      <c r="H284" s="103"/>
      <c r="I284" s="104"/>
      <c r="J284" s="103"/>
      <c r="K284" s="103"/>
      <c r="L284" s="103">
        <f t="shared" si="25"/>
        <v>7</v>
      </c>
      <c r="M284" s="103"/>
      <c r="N284" s="103" t="s">
        <v>946</v>
      </c>
      <c r="O284" s="74">
        <f t="shared" si="23"/>
        <v>3759</v>
      </c>
    </row>
    <row r="285" spans="1:15" s="8" customFormat="1" ht="15.75" x14ac:dyDescent="0.25">
      <c r="A285" s="15" t="s">
        <v>887</v>
      </c>
      <c r="B285" s="102">
        <v>44193</v>
      </c>
      <c r="C285" s="26" t="s">
        <v>761</v>
      </c>
      <c r="D285" s="38">
        <v>3</v>
      </c>
      <c r="E285" s="13">
        <v>537</v>
      </c>
      <c r="F285" s="50">
        <f t="shared" si="26"/>
        <v>1611</v>
      </c>
      <c r="G285" s="103"/>
      <c r="H285" s="103"/>
      <c r="I285" s="104"/>
      <c r="J285" s="103"/>
      <c r="K285" s="103"/>
      <c r="L285" s="103">
        <f t="shared" si="25"/>
        <v>3</v>
      </c>
      <c r="M285" s="103"/>
      <c r="N285" s="103" t="s">
        <v>946</v>
      </c>
      <c r="O285" s="74">
        <f t="shared" si="23"/>
        <v>1611</v>
      </c>
    </row>
    <row r="286" spans="1:15" s="8" customFormat="1" ht="15.75" x14ac:dyDescent="0.25">
      <c r="A286" s="15" t="s">
        <v>888</v>
      </c>
      <c r="B286" s="102">
        <v>44193</v>
      </c>
      <c r="C286" s="9" t="s">
        <v>763</v>
      </c>
      <c r="D286" s="30">
        <v>13</v>
      </c>
      <c r="E286" s="13">
        <v>13.87</v>
      </c>
      <c r="F286" s="50">
        <f t="shared" si="26"/>
        <v>180.31</v>
      </c>
      <c r="G286" s="103"/>
      <c r="H286" s="103"/>
      <c r="I286" s="104"/>
      <c r="J286" s="103"/>
      <c r="K286" s="103"/>
      <c r="L286" s="103">
        <f t="shared" si="25"/>
        <v>13</v>
      </c>
      <c r="M286" s="103"/>
      <c r="N286" s="103" t="s">
        <v>947</v>
      </c>
      <c r="O286" s="74">
        <f t="shared" si="23"/>
        <v>180.31</v>
      </c>
    </row>
    <row r="287" spans="1:15" s="8" customFormat="1" ht="15.75" x14ac:dyDescent="0.25">
      <c r="A287" s="15" t="s">
        <v>889</v>
      </c>
      <c r="B287" s="102"/>
      <c r="C287" s="25" t="s">
        <v>814</v>
      </c>
      <c r="D287" s="38">
        <v>5</v>
      </c>
      <c r="E287" s="13"/>
      <c r="F287" s="50"/>
      <c r="G287" s="103"/>
      <c r="H287" s="103"/>
      <c r="I287" s="104"/>
      <c r="J287" s="103"/>
      <c r="K287" s="103"/>
      <c r="L287" s="103">
        <f t="shared" si="25"/>
        <v>5</v>
      </c>
      <c r="M287" s="103"/>
      <c r="N287" s="103" t="s">
        <v>946</v>
      </c>
      <c r="O287" s="74">
        <f t="shared" si="23"/>
        <v>0</v>
      </c>
    </row>
    <row r="288" spans="1:15" s="8" customFormat="1" ht="15.75" x14ac:dyDescent="0.25">
      <c r="A288" s="15" t="s">
        <v>890</v>
      </c>
      <c r="B288" s="102"/>
      <c r="C288" s="25" t="s">
        <v>805</v>
      </c>
      <c r="D288" s="38">
        <v>9</v>
      </c>
      <c r="E288" s="13"/>
      <c r="F288" s="50"/>
      <c r="G288" s="103"/>
      <c r="H288" s="103"/>
      <c r="I288" s="104"/>
      <c r="J288" s="103"/>
      <c r="K288" s="103"/>
      <c r="L288" s="103">
        <f t="shared" si="25"/>
        <v>9</v>
      </c>
      <c r="M288" s="103"/>
      <c r="N288" s="103" t="s">
        <v>946</v>
      </c>
      <c r="O288" s="74">
        <f t="shared" si="23"/>
        <v>0</v>
      </c>
    </row>
    <row r="289" spans="1:15" s="8" customFormat="1" ht="15.75" x14ac:dyDescent="0.25">
      <c r="A289" s="15" t="s">
        <v>891</v>
      </c>
      <c r="B289" s="102"/>
      <c r="C289" s="25" t="s">
        <v>784</v>
      </c>
      <c r="D289" s="38">
        <v>29</v>
      </c>
      <c r="E289" s="13"/>
      <c r="F289" s="50"/>
      <c r="G289" s="103"/>
      <c r="H289" s="103"/>
      <c r="I289" s="104"/>
      <c r="J289" s="103"/>
      <c r="K289" s="103">
        <v>1</v>
      </c>
      <c r="L289" s="103">
        <f t="shared" si="25"/>
        <v>28</v>
      </c>
      <c r="M289" s="103"/>
      <c r="N289" s="103" t="s">
        <v>947</v>
      </c>
      <c r="O289" s="74">
        <f t="shared" si="23"/>
        <v>0</v>
      </c>
    </row>
    <row r="290" spans="1:15" s="8" customFormat="1" ht="15.75" x14ac:dyDescent="0.25">
      <c r="A290" s="15" t="s">
        <v>892</v>
      </c>
      <c r="B290" s="102">
        <v>44729</v>
      </c>
      <c r="C290" s="25" t="s">
        <v>860</v>
      </c>
      <c r="D290" s="38">
        <v>12</v>
      </c>
      <c r="E290" s="13">
        <v>1637.5</v>
      </c>
      <c r="F290" s="50">
        <f>+D290*E290</f>
        <v>19650</v>
      </c>
      <c r="G290" s="103"/>
      <c r="H290" s="103"/>
      <c r="I290" s="104"/>
      <c r="J290" s="103"/>
      <c r="K290" s="103"/>
      <c r="L290" s="103">
        <f t="shared" si="25"/>
        <v>12</v>
      </c>
      <c r="M290" s="103"/>
      <c r="N290" s="103" t="s">
        <v>946</v>
      </c>
      <c r="O290" s="74">
        <f t="shared" si="23"/>
        <v>19650</v>
      </c>
    </row>
    <row r="291" spans="1:15" s="92" customFormat="1" x14ac:dyDescent="0.3">
      <c r="A291" s="88" t="s">
        <v>893</v>
      </c>
      <c r="B291" s="102">
        <v>44652</v>
      </c>
      <c r="C291" s="25" t="s">
        <v>859</v>
      </c>
      <c r="D291" s="38">
        <f>11+6+12+11</f>
        <v>40</v>
      </c>
      <c r="E291" s="13">
        <v>159</v>
      </c>
      <c r="F291" s="50">
        <f>+D291*E291</f>
        <v>6360</v>
      </c>
      <c r="G291" s="103"/>
      <c r="H291" s="103"/>
      <c r="I291" s="104"/>
      <c r="J291" s="103"/>
      <c r="K291" s="103">
        <f>3+1+1+1</f>
        <v>6</v>
      </c>
      <c r="L291" s="103">
        <f t="shared" si="25"/>
        <v>34</v>
      </c>
      <c r="M291" s="103"/>
      <c r="N291" s="103" t="s">
        <v>945</v>
      </c>
      <c r="O291" s="74">
        <f t="shared" si="23"/>
        <v>5406</v>
      </c>
    </row>
    <row r="292" spans="1:15" s="92" customFormat="1" x14ac:dyDescent="0.3">
      <c r="A292" s="88" t="s">
        <v>894</v>
      </c>
      <c r="B292" s="102">
        <v>44652</v>
      </c>
      <c r="C292" s="25" t="s">
        <v>858</v>
      </c>
      <c r="D292" s="38">
        <v>11</v>
      </c>
      <c r="E292" s="13"/>
      <c r="F292" s="50">
        <f>+D292*E292</f>
        <v>0</v>
      </c>
      <c r="G292" s="103"/>
      <c r="H292" s="103"/>
      <c r="I292" s="104"/>
      <c r="J292" s="103"/>
      <c r="K292" s="103"/>
      <c r="L292" s="103">
        <f t="shared" si="25"/>
        <v>11</v>
      </c>
      <c r="M292" s="103"/>
      <c r="N292" s="103" t="s">
        <v>945</v>
      </c>
      <c r="O292" s="74">
        <f t="shared" si="23"/>
        <v>0</v>
      </c>
    </row>
    <row r="293" spans="1:15" s="92" customFormat="1" x14ac:dyDescent="0.3">
      <c r="A293" s="88" t="s">
        <v>895</v>
      </c>
      <c r="B293" s="102">
        <v>44652</v>
      </c>
      <c r="C293" s="25" t="s">
        <v>920</v>
      </c>
      <c r="D293" s="38">
        <f>9+11+7</f>
        <v>27</v>
      </c>
      <c r="E293" s="13">
        <v>145</v>
      </c>
      <c r="F293" s="50">
        <f>+D293*E293</f>
        <v>3915</v>
      </c>
      <c r="G293" s="103"/>
      <c r="H293" s="103"/>
      <c r="I293" s="104"/>
      <c r="J293" s="103"/>
      <c r="K293" s="103"/>
      <c r="L293" s="103">
        <f t="shared" si="25"/>
        <v>27</v>
      </c>
      <c r="M293" s="103"/>
      <c r="N293" s="103" t="s">
        <v>945</v>
      </c>
      <c r="O293" s="74">
        <f t="shared" si="23"/>
        <v>3915</v>
      </c>
    </row>
    <row r="294" spans="1:15" s="8" customFormat="1" ht="15.75" x14ac:dyDescent="0.25">
      <c r="A294" s="15" t="s">
        <v>896</v>
      </c>
      <c r="B294" s="102"/>
      <c r="C294" s="25" t="s">
        <v>795</v>
      </c>
      <c r="D294" s="38">
        <v>29</v>
      </c>
      <c r="E294" s="13">
        <v>29.35</v>
      </c>
      <c r="F294" s="50">
        <f t="shared" ref="F294:F310" si="27">+D294*E294</f>
        <v>851.15000000000009</v>
      </c>
      <c r="G294" s="103"/>
      <c r="H294" s="103"/>
      <c r="I294" s="104"/>
      <c r="J294" s="103"/>
      <c r="K294" s="103"/>
      <c r="L294" s="103">
        <f t="shared" si="25"/>
        <v>29</v>
      </c>
      <c r="M294" s="103"/>
      <c r="N294" s="103" t="s">
        <v>946</v>
      </c>
      <c r="O294" s="74">
        <f t="shared" si="23"/>
        <v>851.15000000000009</v>
      </c>
    </row>
    <row r="295" spans="1:15" s="8" customFormat="1" ht="15.75" x14ac:dyDescent="0.25">
      <c r="A295" s="15" t="s">
        <v>897</v>
      </c>
      <c r="B295" s="102"/>
      <c r="C295" s="25" t="s">
        <v>843</v>
      </c>
      <c r="D295" s="38">
        <v>8</v>
      </c>
      <c r="E295" s="13"/>
      <c r="F295" s="50">
        <f t="shared" si="27"/>
        <v>0</v>
      </c>
      <c r="G295" s="103"/>
      <c r="H295" s="103"/>
      <c r="I295" s="104"/>
      <c r="J295" s="103"/>
      <c r="K295" s="103"/>
      <c r="L295" s="103">
        <f t="shared" si="25"/>
        <v>8</v>
      </c>
      <c r="M295" s="103"/>
      <c r="N295" s="103" t="s">
        <v>946</v>
      </c>
      <c r="O295" s="74">
        <f t="shared" si="23"/>
        <v>0</v>
      </c>
    </row>
    <row r="296" spans="1:15" s="8" customFormat="1" ht="15.75" x14ac:dyDescent="0.25">
      <c r="A296" s="15" t="s">
        <v>898</v>
      </c>
      <c r="B296" s="102"/>
      <c r="C296" s="25" t="s">
        <v>793</v>
      </c>
      <c r="D296" s="38">
        <f>3+1</f>
        <v>4</v>
      </c>
      <c r="E296" s="13"/>
      <c r="F296" s="50">
        <f t="shared" si="27"/>
        <v>0</v>
      </c>
      <c r="G296" s="103"/>
      <c r="H296" s="103"/>
      <c r="I296" s="104"/>
      <c r="J296" s="103"/>
      <c r="K296" s="103"/>
      <c r="L296" s="103">
        <f t="shared" si="25"/>
        <v>4</v>
      </c>
      <c r="M296" s="103"/>
      <c r="N296" s="103" t="s">
        <v>946</v>
      </c>
      <c r="O296" s="74">
        <f t="shared" si="23"/>
        <v>0</v>
      </c>
    </row>
    <row r="297" spans="1:15" s="8" customFormat="1" ht="15.75" x14ac:dyDescent="0.25">
      <c r="A297" s="15" t="s">
        <v>899</v>
      </c>
      <c r="B297" s="102"/>
      <c r="C297" s="25" t="s">
        <v>842</v>
      </c>
      <c r="D297" s="38">
        <v>2</v>
      </c>
      <c r="E297" s="13"/>
      <c r="F297" s="50">
        <f t="shared" si="27"/>
        <v>0</v>
      </c>
      <c r="G297" s="103"/>
      <c r="H297" s="103"/>
      <c r="I297" s="104"/>
      <c r="J297" s="103"/>
      <c r="K297" s="103"/>
      <c r="L297" s="103">
        <f t="shared" si="25"/>
        <v>2</v>
      </c>
      <c r="M297" s="103"/>
      <c r="N297" s="103" t="s">
        <v>946</v>
      </c>
      <c r="O297" s="74">
        <f t="shared" si="23"/>
        <v>0</v>
      </c>
    </row>
    <row r="298" spans="1:15" s="8" customFormat="1" ht="15.75" x14ac:dyDescent="0.25">
      <c r="A298" s="15" t="s">
        <v>900</v>
      </c>
      <c r="B298" s="102">
        <v>44193</v>
      </c>
      <c r="C298" s="25" t="s">
        <v>841</v>
      </c>
      <c r="D298" s="38">
        <v>1</v>
      </c>
      <c r="E298" s="13">
        <v>18.86</v>
      </c>
      <c r="F298" s="50">
        <f t="shared" si="27"/>
        <v>18.86</v>
      </c>
      <c r="G298" s="103"/>
      <c r="H298" s="103"/>
      <c r="I298" s="104"/>
      <c r="J298" s="103"/>
      <c r="K298" s="103"/>
      <c r="L298" s="103">
        <f t="shared" si="25"/>
        <v>1</v>
      </c>
      <c r="M298" s="103"/>
      <c r="N298" s="103" t="s">
        <v>946</v>
      </c>
      <c r="O298" s="74">
        <f t="shared" si="23"/>
        <v>18.86</v>
      </c>
    </row>
    <row r="299" spans="1:15" s="8" customFormat="1" ht="15.75" x14ac:dyDescent="0.25">
      <c r="A299" s="15" t="s">
        <v>901</v>
      </c>
      <c r="B299" s="102">
        <v>44193</v>
      </c>
      <c r="C299" s="25" t="s">
        <v>848</v>
      </c>
      <c r="D299" s="38">
        <v>1</v>
      </c>
      <c r="E299" s="13"/>
      <c r="F299" s="50">
        <f t="shared" si="27"/>
        <v>0</v>
      </c>
      <c r="G299" s="103"/>
      <c r="H299" s="103"/>
      <c r="I299" s="104"/>
      <c r="J299" s="103"/>
      <c r="K299" s="103"/>
      <c r="L299" s="103">
        <f t="shared" si="25"/>
        <v>1</v>
      </c>
      <c r="M299" s="103"/>
      <c r="N299" s="103" t="s">
        <v>946</v>
      </c>
      <c r="O299" s="74">
        <f t="shared" si="23"/>
        <v>0</v>
      </c>
    </row>
    <row r="300" spans="1:15" s="8" customFormat="1" ht="15.75" x14ac:dyDescent="0.25">
      <c r="A300" s="15" t="s">
        <v>902</v>
      </c>
      <c r="B300" s="102">
        <v>44193</v>
      </c>
      <c r="C300" s="25" t="s">
        <v>839</v>
      </c>
      <c r="D300" s="38">
        <v>7</v>
      </c>
      <c r="E300" s="13"/>
      <c r="F300" s="50">
        <f t="shared" si="27"/>
        <v>0</v>
      </c>
      <c r="G300" s="103"/>
      <c r="H300" s="103"/>
      <c r="I300" s="104"/>
      <c r="J300" s="103"/>
      <c r="K300" s="103"/>
      <c r="L300" s="103">
        <f t="shared" si="25"/>
        <v>7</v>
      </c>
      <c r="M300" s="103"/>
      <c r="N300" s="103" t="s">
        <v>946</v>
      </c>
      <c r="O300" s="74">
        <f t="shared" si="23"/>
        <v>0</v>
      </c>
    </row>
    <row r="301" spans="1:15" s="8" customFormat="1" ht="15.75" x14ac:dyDescent="0.25">
      <c r="A301" s="15" t="s">
        <v>903</v>
      </c>
      <c r="B301" s="102">
        <v>44193</v>
      </c>
      <c r="C301" s="25" t="s">
        <v>867</v>
      </c>
      <c r="D301" s="38">
        <v>6</v>
      </c>
      <c r="E301" s="13">
        <v>176</v>
      </c>
      <c r="F301" s="50">
        <f t="shared" si="27"/>
        <v>1056</v>
      </c>
      <c r="G301" s="103"/>
      <c r="H301" s="103"/>
      <c r="I301" s="104"/>
      <c r="J301" s="103"/>
      <c r="K301" s="103"/>
      <c r="L301" s="103">
        <f t="shared" si="25"/>
        <v>6</v>
      </c>
      <c r="M301" s="103"/>
      <c r="N301" s="103" t="s">
        <v>947</v>
      </c>
      <c r="O301" s="74">
        <f t="shared" si="23"/>
        <v>1056</v>
      </c>
    </row>
    <row r="302" spans="1:15" s="8" customFormat="1" ht="15.75" x14ac:dyDescent="0.25">
      <c r="A302" s="15" t="s">
        <v>904</v>
      </c>
      <c r="B302" s="102">
        <v>44193</v>
      </c>
      <c r="C302" s="25" t="s">
        <v>798</v>
      </c>
      <c r="D302" s="38">
        <v>3</v>
      </c>
      <c r="E302" s="13">
        <v>234</v>
      </c>
      <c r="F302" s="50">
        <f t="shared" si="27"/>
        <v>702</v>
      </c>
      <c r="G302" s="103"/>
      <c r="H302" s="103"/>
      <c r="I302" s="104"/>
      <c r="J302" s="103"/>
      <c r="K302" s="103"/>
      <c r="L302" s="103">
        <f t="shared" si="25"/>
        <v>3</v>
      </c>
      <c r="M302" s="103"/>
      <c r="N302" s="103" t="s">
        <v>946</v>
      </c>
      <c r="O302" s="74">
        <f t="shared" si="23"/>
        <v>702</v>
      </c>
    </row>
    <row r="303" spans="1:15" s="92" customFormat="1" x14ac:dyDescent="0.3">
      <c r="A303" s="88" t="s">
        <v>905</v>
      </c>
      <c r="B303" s="102">
        <v>44193</v>
      </c>
      <c r="C303" s="25" t="s">
        <v>764</v>
      </c>
      <c r="D303" s="38">
        <v>0</v>
      </c>
      <c r="E303" s="13">
        <v>39</v>
      </c>
      <c r="F303" s="50">
        <f t="shared" si="27"/>
        <v>0</v>
      </c>
      <c r="G303" s="107">
        <v>44755</v>
      </c>
      <c r="H303" s="103">
        <v>25</v>
      </c>
      <c r="I303" s="104">
        <v>50.84</v>
      </c>
      <c r="J303" s="108">
        <f>+H303*I303</f>
        <v>1271</v>
      </c>
      <c r="K303" s="38">
        <f>1+1+2+1+1</f>
        <v>6</v>
      </c>
      <c r="L303" s="103">
        <f t="shared" si="25"/>
        <v>19</v>
      </c>
      <c r="M303" s="103" t="s">
        <v>928</v>
      </c>
      <c r="N303" s="103" t="s">
        <v>945</v>
      </c>
      <c r="O303" s="74">
        <f t="shared" si="23"/>
        <v>741</v>
      </c>
    </row>
    <row r="304" spans="1:15" s="8" customFormat="1" ht="15.75" x14ac:dyDescent="0.25">
      <c r="A304" s="15" t="s">
        <v>906</v>
      </c>
      <c r="B304" s="102"/>
      <c r="C304" s="25" t="s">
        <v>799</v>
      </c>
      <c r="D304" s="38">
        <v>120</v>
      </c>
      <c r="E304" s="13"/>
      <c r="F304" s="50">
        <f t="shared" si="27"/>
        <v>0</v>
      </c>
      <c r="G304" s="103"/>
      <c r="H304" s="103"/>
      <c r="I304" s="104"/>
      <c r="J304" s="103"/>
      <c r="K304" s="103"/>
      <c r="L304" s="103">
        <f t="shared" si="25"/>
        <v>120</v>
      </c>
      <c r="M304" s="103"/>
      <c r="N304" s="103" t="s">
        <v>946</v>
      </c>
      <c r="O304" s="74">
        <f t="shared" si="23"/>
        <v>0</v>
      </c>
    </row>
    <row r="305" spans="1:15" s="8" customFormat="1" ht="15.75" x14ac:dyDescent="0.25">
      <c r="A305" s="15" t="s">
        <v>907</v>
      </c>
      <c r="B305" s="102"/>
      <c r="C305" s="25" t="s">
        <v>824</v>
      </c>
      <c r="D305" s="38">
        <v>15</v>
      </c>
      <c r="E305" s="13"/>
      <c r="F305" s="50">
        <f t="shared" si="27"/>
        <v>0</v>
      </c>
      <c r="G305" s="107"/>
      <c r="H305" s="103"/>
      <c r="I305" s="104"/>
      <c r="J305" s="108"/>
      <c r="K305" s="108"/>
      <c r="L305" s="103">
        <f t="shared" si="25"/>
        <v>15</v>
      </c>
      <c r="M305" s="103"/>
      <c r="N305" s="103" t="s">
        <v>946</v>
      </c>
      <c r="O305" s="74">
        <f t="shared" si="23"/>
        <v>0</v>
      </c>
    </row>
    <row r="306" spans="1:15" s="8" customFormat="1" ht="15.75" x14ac:dyDescent="0.25">
      <c r="A306" s="15" t="s">
        <v>908</v>
      </c>
      <c r="B306" s="102"/>
      <c r="C306" s="25" t="s">
        <v>837</v>
      </c>
      <c r="D306" s="38">
        <v>9</v>
      </c>
      <c r="E306" s="13"/>
      <c r="F306" s="50">
        <f t="shared" si="27"/>
        <v>0</v>
      </c>
      <c r="G306" s="103"/>
      <c r="H306" s="103"/>
      <c r="I306" s="104"/>
      <c r="J306" s="103"/>
      <c r="K306" s="103"/>
      <c r="L306" s="103">
        <f t="shared" si="25"/>
        <v>9</v>
      </c>
      <c r="M306" s="103"/>
      <c r="N306" s="103" t="s">
        <v>946</v>
      </c>
      <c r="O306" s="74">
        <f t="shared" si="23"/>
        <v>0</v>
      </c>
    </row>
    <row r="307" spans="1:15" s="8" customFormat="1" ht="15.75" x14ac:dyDescent="0.25">
      <c r="A307" s="15" t="s">
        <v>909</v>
      </c>
      <c r="B307" s="102"/>
      <c r="C307" s="25" t="s">
        <v>792</v>
      </c>
      <c r="D307" s="38">
        <v>19</v>
      </c>
      <c r="E307" s="13"/>
      <c r="F307" s="50">
        <f t="shared" si="27"/>
        <v>0</v>
      </c>
      <c r="G307" s="103"/>
      <c r="H307" s="103"/>
      <c r="I307" s="104"/>
      <c r="J307" s="103"/>
      <c r="K307" s="103"/>
      <c r="L307" s="103">
        <f t="shared" si="25"/>
        <v>19</v>
      </c>
      <c r="M307" s="103"/>
      <c r="N307" s="103" t="s">
        <v>946</v>
      </c>
      <c r="O307" s="74">
        <f t="shared" si="23"/>
        <v>0</v>
      </c>
    </row>
    <row r="308" spans="1:15" s="8" customFormat="1" ht="15.75" x14ac:dyDescent="0.25">
      <c r="A308" s="15" t="s">
        <v>910</v>
      </c>
      <c r="B308" s="102"/>
      <c r="C308" s="25" t="s">
        <v>329</v>
      </c>
      <c r="D308" s="38">
        <v>21</v>
      </c>
      <c r="E308" s="13"/>
      <c r="F308" s="50">
        <f t="shared" si="27"/>
        <v>0</v>
      </c>
      <c r="G308" s="103"/>
      <c r="H308" s="103"/>
      <c r="I308" s="104"/>
      <c r="J308" s="103"/>
      <c r="K308" s="103"/>
      <c r="L308" s="103">
        <f t="shared" si="25"/>
        <v>21</v>
      </c>
      <c r="M308" s="103"/>
      <c r="N308" s="103" t="s">
        <v>946</v>
      </c>
      <c r="O308" s="74">
        <f t="shared" si="23"/>
        <v>0</v>
      </c>
    </row>
    <row r="309" spans="1:15" s="8" customFormat="1" ht="15.75" x14ac:dyDescent="0.25">
      <c r="A309" s="15" t="s">
        <v>911</v>
      </c>
      <c r="B309" s="102"/>
      <c r="C309" s="25" t="s">
        <v>330</v>
      </c>
      <c r="D309" s="38">
        <f>2+18</f>
        <v>20</v>
      </c>
      <c r="E309" s="13"/>
      <c r="F309" s="50">
        <f t="shared" si="27"/>
        <v>0</v>
      </c>
      <c r="G309" s="103"/>
      <c r="H309" s="103"/>
      <c r="I309" s="104"/>
      <c r="J309" s="103"/>
      <c r="K309" s="103"/>
      <c r="L309" s="103">
        <f t="shared" si="25"/>
        <v>20</v>
      </c>
      <c r="M309" s="103"/>
      <c r="N309" s="103" t="s">
        <v>946</v>
      </c>
      <c r="O309" s="74">
        <f t="shared" si="23"/>
        <v>0</v>
      </c>
    </row>
    <row r="310" spans="1:15" s="8" customFormat="1" ht="15.75" x14ac:dyDescent="0.25">
      <c r="A310" s="15" t="s">
        <v>912</v>
      </c>
      <c r="B310" s="102">
        <v>44193</v>
      </c>
      <c r="C310" s="25" t="s">
        <v>836</v>
      </c>
      <c r="D310" s="38">
        <v>19</v>
      </c>
      <c r="E310" s="13">
        <v>30</v>
      </c>
      <c r="F310" s="50">
        <f t="shared" si="27"/>
        <v>570</v>
      </c>
      <c r="G310" s="103"/>
      <c r="H310" s="103"/>
      <c r="I310" s="104"/>
      <c r="J310" s="103"/>
      <c r="K310" s="103"/>
      <c r="L310" s="103">
        <f t="shared" si="25"/>
        <v>19</v>
      </c>
      <c r="M310" s="103"/>
      <c r="N310" s="103" t="s">
        <v>946</v>
      </c>
      <c r="O310" s="74">
        <f t="shared" ref="O310:O326" si="28">+L310*E310</f>
        <v>570</v>
      </c>
    </row>
    <row r="311" spans="1:15" s="8" customFormat="1" ht="15.75" x14ac:dyDescent="0.25">
      <c r="A311" s="15" t="s">
        <v>530</v>
      </c>
      <c r="B311" s="102">
        <v>44193</v>
      </c>
      <c r="C311" s="25" t="s">
        <v>810</v>
      </c>
      <c r="D311" s="38">
        <v>6</v>
      </c>
      <c r="E311" s="13">
        <v>299.72000000000003</v>
      </c>
      <c r="F311" s="50">
        <f>+D311*E311</f>
        <v>1798.3200000000002</v>
      </c>
      <c r="G311" s="103"/>
      <c r="H311" s="103"/>
      <c r="I311" s="104"/>
      <c r="J311" s="103"/>
      <c r="K311" s="103"/>
      <c r="L311" s="103">
        <f t="shared" si="25"/>
        <v>6</v>
      </c>
      <c r="M311" s="103"/>
      <c r="N311" s="103" t="s">
        <v>946</v>
      </c>
      <c r="O311" s="74">
        <f t="shared" si="28"/>
        <v>1798.3200000000002</v>
      </c>
    </row>
    <row r="312" spans="1:15" s="8" customFormat="1" ht="15.75" x14ac:dyDescent="0.25">
      <c r="A312" s="15" t="s">
        <v>916</v>
      </c>
      <c r="B312" s="102"/>
      <c r="C312" s="25" t="s">
        <v>836</v>
      </c>
      <c r="D312" s="38">
        <v>19</v>
      </c>
      <c r="E312" s="13"/>
      <c r="F312" s="50"/>
      <c r="G312" s="103"/>
      <c r="H312" s="103"/>
      <c r="I312" s="104"/>
      <c r="J312" s="103"/>
      <c r="K312" s="103"/>
      <c r="L312" s="103">
        <f t="shared" si="25"/>
        <v>19</v>
      </c>
      <c r="M312" s="103"/>
      <c r="N312" s="103" t="s">
        <v>946</v>
      </c>
      <c r="O312" s="74">
        <f t="shared" si="28"/>
        <v>0</v>
      </c>
    </row>
    <row r="313" spans="1:15" s="92" customFormat="1" x14ac:dyDescent="0.3">
      <c r="A313" s="88" t="s">
        <v>917</v>
      </c>
      <c r="B313" s="102"/>
      <c r="C313" s="25" t="s">
        <v>918</v>
      </c>
      <c r="D313" s="38">
        <v>5</v>
      </c>
      <c r="E313" s="13"/>
      <c r="F313" s="50"/>
      <c r="G313" s="103"/>
      <c r="H313" s="103"/>
      <c r="I313" s="104"/>
      <c r="J313" s="103"/>
      <c r="K313" s="103"/>
      <c r="L313" s="103">
        <f t="shared" si="25"/>
        <v>5</v>
      </c>
      <c r="M313" s="103"/>
      <c r="N313" s="103" t="s">
        <v>945</v>
      </c>
      <c r="O313" s="74">
        <f t="shared" si="28"/>
        <v>0</v>
      </c>
    </row>
    <row r="314" spans="1:15" s="92" customFormat="1" x14ac:dyDescent="0.3">
      <c r="A314" s="88" t="s">
        <v>921</v>
      </c>
      <c r="B314" s="102"/>
      <c r="C314" s="25" t="s">
        <v>919</v>
      </c>
      <c r="D314" s="38">
        <f>12+10+11</f>
        <v>33</v>
      </c>
      <c r="E314" s="13">
        <v>150</v>
      </c>
      <c r="F314" s="50"/>
      <c r="G314" s="103"/>
      <c r="H314" s="103"/>
      <c r="I314" s="104"/>
      <c r="J314" s="103"/>
      <c r="K314" s="103"/>
      <c r="L314" s="103">
        <f t="shared" si="25"/>
        <v>33</v>
      </c>
      <c r="M314" s="103"/>
      <c r="N314" s="103" t="s">
        <v>945</v>
      </c>
      <c r="O314" s="74">
        <f t="shared" si="28"/>
        <v>4950</v>
      </c>
    </row>
    <row r="315" spans="1:15" s="92" customFormat="1" x14ac:dyDescent="0.3">
      <c r="A315" s="88" t="s">
        <v>922</v>
      </c>
      <c r="B315" s="102"/>
      <c r="C315" s="25" t="s">
        <v>926</v>
      </c>
      <c r="D315" s="38">
        <v>1</v>
      </c>
      <c r="E315" s="13"/>
      <c r="F315" s="50"/>
      <c r="G315" s="103"/>
      <c r="H315" s="103"/>
      <c r="I315" s="104"/>
      <c r="J315" s="103"/>
      <c r="K315" s="103"/>
      <c r="L315" s="103">
        <f t="shared" si="25"/>
        <v>1</v>
      </c>
      <c r="M315" s="103"/>
      <c r="N315" s="103" t="s">
        <v>945</v>
      </c>
      <c r="O315" s="74">
        <f t="shared" si="28"/>
        <v>0</v>
      </c>
    </row>
    <row r="316" spans="1:15" s="92" customFormat="1" x14ac:dyDescent="0.3">
      <c r="A316" s="88" t="s">
        <v>923</v>
      </c>
      <c r="B316" s="102"/>
      <c r="C316" s="25" t="s">
        <v>930</v>
      </c>
      <c r="D316" s="38"/>
      <c r="E316" s="13"/>
      <c r="F316" s="50"/>
      <c r="G316" s="103"/>
      <c r="H316" s="103"/>
      <c r="I316" s="104"/>
      <c r="J316" s="103"/>
      <c r="K316" s="103">
        <f>2+2+2</f>
        <v>6</v>
      </c>
      <c r="L316" s="103">
        <f t="shared" si="25"/>
        <v>-6</v>
      </c>
      <c r="M316" s="103"/>
      <c r="N316" s="103" t="s">
        <v>945</v>
      </c>
      <c r="O316" s="74">
        <f t="shared" si="28"/>
        <v>0</v>
      </c>
    </row>
    <row r="317" spans="1:15" s="8" customFormat="1" ht="15.75" x14ac:dyDescent="0.25">
      <c r="A317" s="15" t="s">
        <v>932</v>
      </c>
      <c r="B317" s="102"/>
      <c r="C317" s="25" t="s">
        <v>931</v>
      </c>
      <c r="D317" s="38"/>
      <c r="E317" s="13"/>
      <c r="F317" s="50"/>
      <c r="G317" s="103"/>
      <c r="H317" s="103"/>
      <c r="I317" s="104"/>
      <c r="J317" s="103"/>
      <c r="K317" s="103">
        <f>1+1</f>
        <v>2</v>
      </c>
      <c r="L317" s="103">
        <f t="shared" si="25"/>
        <v>-2</v>
      </c>
      <c r="M317" s="103"/>
      <c r="N317" s="103" t="s">
        <v>947</v>
      </c>
      <c r="O317" s="74">
        <f t="shared" si="28"/>
        <v>0</v>
      </c>
    </row>
    <row r="318" spans="1:15" s="8" customFormat="1" ht="15.75" x14ac:dyDescent="0.25">
      <c r="A318" s="15" t="s">
        <v>933</v>
      </c>
      <c r="B318" s="102"/>
      <c r="C318" s="68" t="s">
        <v>934</v>
      </c>
      <c r="D318" s="38"/>
      <c r="E318" s="13"/>
      <c r="F318" s="50"/>
      <c r="G318" s="103"/>
      <c r="H318" s="103"/>
      <c r="I318" s="104"/>
      <c r="J318" s="103"/>
      <c r="K318" s="103">
        <f>1+1+15+1</f>
        <v>18</v>
      </c>
      <c r="L318" s="103">
        <f t="shared" si="25"/>
        <v>-18</v>
      </c>
      <c r="M318" s="103"/>
      <c r="N318" s="103" t="s">
        <v>946</v>
      </c>
      <c r="O318" s="74">
        <f t="shared" si="28"/>
        <v>0</v>
      </c>
    </row>
    <row r="319" spans="1:15" s="8" customFormat="1" ht="15.75" x14ac:dyDescent="0.25">
      <c r="A319" s="15" t="s">
        <v>936</v>
      </c>
      <c r="B319" s="102">
        <v>44193</v>
      </c>
      <c r="C319" s="25" t="s">
        <v>613</v>
      </c>
      <c r="D319" s="38">
        <v>25</v>
      </c>
      <c r="E319" s="13">
        <v>5.78</v>
      </c>
      <c r="F319" s="50">
        <f>+D319*E319</f>
        <v>144.5</v>
      </c>
      <c r="G319" s="103"/>
      <c r="H319" s="103"/>
      <c r="I319" s="104"/>
      <c r="J319" s="103"/>
      <c r="K319" s="103">
        <v>1</v>
      </c>
      <c r="L319" s="103">
        <f t="shared" si="25"/>
        <v>24</v>
      </c>
      <c r="M319" s="103"/>
      <c r="N319" s="103" t="s">
        <v>946</v>
      </c>
      <c r="O319" s="74">
        <f t="shared" si="28"/>
        <v>138.72</v>
      </c>
    </row>
    <row r="320" spans="1:15" s="8" customFormat="1" ht="15.75" x14ac:dyDescent="0.25">
      <c r="A320" s="15" t="s">
        <v>937</v>
      </c>
      <c r="B320" s="102"/>
      <c r="C320" s="25" t="s">
        <v>935</v>
      </c>
      <c r="D320" s="38"/>
      <c r="E320" s="13"/>
      <c r="F320" s="50"/>
      <c r="G320" s="103"/>
      <c r="H320" s="103"/>
      <c r="I320" s="104"/>
      <c r="J320" s="103"/>
      <c r="K320" s="103">
        <v>2</v>
      </c>
      <c r="L320" s="103">
        <f t="shared" si="25"/>
        <v>-2</v>
      </c>
      <c r="M320" s="103"/>
      <c r="N320" s="103" t="s">
        <v>946</v>
      </c>
      <c r="O320" s="74">
        <f t="shared" si="28"/>
        <v>0</v>
      </c>
    </row>
    <row r="321" spans="1:15" s="8" customFormat="1" ht="15.75" x14ac:dyDescent="0.25">
      <c r="A321" s="15" t="s">
        <v>938</v>
      </c>
      <c r="B321" s="102"/>
      <c r="C321" s="25" t="s">
        <v>939</v>
      </c>
      <c r="D321" s="38"/>
      <c r="E321" s="13"/>
      <c r="F321" s="50"/>
      <c r="G321" s="103"/>
      <c r="H321" s="103"/>
      <c r="I321" s="104"/>
      <c r="J321" s="103"/>
      <c r="K321" s="103">
        <v>1</v>
      </c>
      <c r="L321" s="103">
        <f t="shared" si="25"/>
        <v>-1</v>
      </c>
      <c r="M321" s="103"/>
      <c r="N321" s="103" t="s">
        <v>946</v>
      </c>
      <c r="O321" s="74">
        <f t="shared" si="28"/>
        <v>0</v>
      </c>
    </row>
    <row r="322" spans="1:15" s="8" customFormat="1" ht="15.75" x14ac:dyDescent="0.25">
      <c r="A322" s="15" t="s">
        <v>941</v>
      </c>
      <c r="B322" s="102"/>
      <c r="C322" s="25" t="s">
        <v>940</v>
      </c>
      <c r="D322" s="38"/>
      <c r="E322" s="13"/>
      <c r="F322" s="50"/>
      <c r="G322" s="103"/>
      <c r="H322" s="103"/>
      <c r="I322" s="104"/>
      <c r="J322" s="103"/>
      <c r="K322" s="103">
        <v>1</v>
      </c>
      <c r="L322" s="103">
        <f t="shared" si="25"/>
        <v>-1</v>
      </c>
      <c r="M322" s="103"/>
      <c r="N322" s="103" t="s">
        <v>946</v>
      </c>
      <c r="O322" s="74">
        <f t="shared" si="28"/>
        <v>0</v>
      </c>
    </row>
    <row r="323" spans="1:15" s="8" customFormat="1" ht="15.75" x14ac:dyDescent="0.25">
      <c r="A323" s="15" t="s">
        <v>948</v>
      </c>
      <c r="B323" s="102"/>
      <c r="C323" s="25" t="s">
        <v>942</v>
      </c>
      <c r="D323" s="38"/>
      <c r="E323" s="13"/>
      <c r="F323" s="50"/>
      <c r="G323" s="107">
        <v>44778</v>
      </c>
      <c r="H323" s="103">
        <f>120*12</f>
        <v>1440</v>
      </c>
      <c r="I323" s="104">
        <f>111864/H323</f>
        <v>77.683333333333337</v>
      </c>
      <c r="J323" s="104">
        <f>+I323*H323</f>
        <v>111864</v>
      </c>
      <c r="K323" s="103">
        <f>1+4+3+12+12+3+12+4+4+3+12+4+5+4</f>
        <v>83</v>
      </c>
      <c r="L323" s="103">
        <f t="shared" si="25"/>
        <v>1357</v>
      </c>
      <c r="M323" s="103"/>
      <c r="N323" s="103" t="s">
        <v>946</v>
      </c>
      <c r="O323" s="74">
        <f t="shared" si="28"/>
        <v>0</v>
      </c>
    </row>
    <row r="324" spans="1:15" s="8" customFormat="1" ht="15.75" x14ac:dyDescent="0.25">
      <c r="A324" s="15" t="s">
        <v>953</v>
      </c>
      <c r="B324" s="102"/>
      <c r="C324" s="25" t="s">
        <v>949</v>
      </c>
      <c r="D324" s="38"/>
      <c r="E324" s="13"/>
      <c r="F324" s="50"/>
      <c r="G324" s="103"/>
      <c r="H324" s="103"/>
      <c r="I324" s="104"/>
      <c r="J324" s="103"/>
      <c r="K324" s="103">
        <v>1</v>
      </c>
      <c r="L324" s="103">
        <f t="shared" si="25"/>
        <v>-1</v>
      </c>
      <c r="M324" s="103"/>
      <c r="N324" s="103" t="s">
        <v>946</v>
      </c>
      <c r="O324" s="74">
        <f t="shared" si="28"/>
        <v>0</v>
      </c>
    </row>
    <row r="325" spans="1:15" s="92" customFormat="1" x14ac:dyDescent="0.3">
      <c r="A325" s="88" t="s">
        <v>954</v>
      </c>
      <c r="B325" s="102"/>
      <c r="C325" s="25" t="s">
        <v>952</v>
      </c>
      <c r="D325" s="38"/>
      <c r="E325" s="13"/>
      <c r="F325" s="50"/>
      <c r="G325" s="103"/>
      <c r="H325" s="103"/>
      <c r="I325" s="104"/>
      <c r="J325" s="103"/>
      <c r="K325" s="103">
        <f>1+1+2</f>
        <v>4</v>
      </c>
      <c r="L325" s="103">
        <f t="shared" si="25"/>
        <v>-4</v>
      </c>
      <c r="M325" s="103"/>
      <c r="N325" s="103" t="s">
        <v>945</v>
      </c>
      <c r="O325" s="74">
        <f t="shared" si="28"/>
        <v>0</v>
      </c>
    </row>
    <row r="326" spans="1:15" s="92" customFormat="1" x14ac:dyDescent="0.3">
      <c r="A326" s="88" t="s">
        <v>957</v>
      </c>
      <c r="B326" s="102"/>
      <c r="C326" s="25" t="s">
        <v>958</v>
      </c>
      <c r="D326" s="38"/>
      <c r="E326" s="13"/>
      <c r="F326" s="50"/>
      <c r="G326" s="103"/>
      <c r="H326" s="103"/>
      <c r="I326" s="104"/>
      <c r="J326" s="103"/>
      <c r="K326" s="103">
        <v>2</v>
      </c>
      <c r="L326" s="103"/>
      <c r="M326" s="103"/>
      <c r="N326" s="103" t="s">
        <v>945</v>
      </c>
      <c r="O326" s="74">
        <f t="shared" si="28"/>
        <v>0</v>
      </c>
    </row>
    <row r="327" spans="1:15" customFormat="1" ht="15.75" x14ac:dyDescent="0.25">
      <c r="A327" s="69" t="s">
        <v>98</v>
      </c>
      <c r="B327" s="247"/>
      <c r="C327" s="248"/>
      <c r="D327" s="248"/>
      <c r="E327" s="249"/>
      <c r="F327" s="110">
        <f>SUM(F8:F322)</f>
        <v>1412181.9203600003</v>
      </c>
      <c r="G327" s="111"/>
      <c r="H327" s="111"/>
      <c r="I327" s="112"/>
      <c r="J327" s="111"/>
      <c r="K327" s="111"/>
      <c r="L327" s="111"/>
      <c r="M327" s="111"/>
      <c r="N327" s="111"/>
      <c r="O327" s="111"/>
    </row>
    <row r="328" spans="1:15" s="2" customFormat="1" ht="60.75" hidden="1" customHeight="1" x14ac:dyDescent="0.25">
      <c r="C328" s="43"/>
      <c r="I328" s="65"/>
    </row>
    <row r="329" spans="1:15" x14ac:dyDescent="0.3">
      <c r="C329" s="96"/>
      <c r="F329" s="63">
        <f>SUBTOTAL(9,F34:F327)</f>
        <v>2766550.6107200007</v>
      </c>
      <c r="O329" s="50">
        <f>SUBTOTAL(9,O8:O328)</f>
        <v>1741959.2335866664</v>
      </c>
    </row>
    <row r="330" spans="1:15" ht="23.25" customHeight="1" x14ac:dyDescent="0.3">
      <c r="A330" s="85" t="s">
        <v>7</v>
      </c>
      <c r="C330" s="96"/>
    </row>
    <row r="331" spans="1:15" x14ac:dyDescent="0.3">
      <c r="C331" s="96"/>
    </row>
    <row r="332" spans="1:15" ht="23.25" customHeight="1" x14ac:dyDescent="0.3">
      <c r="B332" s="85" t="s">
        <v>531</v>
      </c>
      <c r="C332" s="96"/>
    </row>
    <row r="333" spans="1:15" x14ac:dyDescent="0.3">
      <c r="C333" s="96"/>
    </row>
    <row r="334" spans="1:15" x14ac:dyDescent="0.3">
      <c r="A334" s="97" t="s">
        <v>5</v>
      </c>
      <c r="C334" s="96"/>
    </row>
    <row r="335" spans="1:15" x14ac:dyDescent="0.3">
      <c r="C335" s="96"/>
    </row>
    <row r="336" spans="1:15" x14ac:dyDescent="0.3">
      <c r="A336" s="97"/>
      <c r="C336" s="96"/>
    </row>
    <row r="337" spans="1:3" x14ac:dyDescent="0.3">
      <c r="A337" s="98" t="s">
        <v>924</v>
      </c>
      <c r="C337" s="96"/>
    </row>
    <row r="338" spans="1:3" x14ac:dyDescent="0.3">
      <c r="A338" s="85" t="s">
        <v>925</v>
      </c>
      <c r="C338" s="96"/>
    </row>
    <row r="339" spans="1:3" x14ac:dyDescent="0.3">
      <c r="C339" s="96" t="s">
        <v>506</v>
      </c>
    </row>
    <row r="340" spans="1:3" x14ac:dyDescent="0.3">
      <c r="C340" s="96"/>
    </row>
    <row r="341" spans="1:3" x14ac:dyDescent="0.3">
      <c r="C341" s="96"/>
    </row>
    <row r="342" spans="1:3" x14ac:dyDescent="0.3">
      <c r="C342" s="96"/>
    </row>
    <row r="343" spans="1:3" x14ac:dyDescent="0.3">
      <c r="C343" s="96"/>
    </row>
    <row r="344" spans="1:3" x14ac:dyDescent="0.3">
      <c r="C344" s="96"/>
    </row>
    <row r="345" spans="1:3" x14ac:dyDescent="0.3">
      <c r="C345" s="96"/>
    </row>
    <row r="346" spans="1:3" x14ac:dyDescent="0.3">
      <c r="C346" s="96"/>
    </row>
  </sheetData>
  <autoFilter ref="A7:N327"/>
  <mergeCells count="4">
    <mergeCell ref="A3:F3"/>
    <mergeCell ref="A4:F4"/>
    <mergeCell ref="A5:F5"/>
    <mergeCell ref="B327:E327"/>
  </mergeCells>
  <phoneticPr fontId="12" type="noConversion"/>
  <pageMargins left="0.7" right="0.7" top="0.75" bottom="0.75" header="0.3" footer="0.3"/>
  <pageSetup scale="32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5"/>
  <sheetViews>
    <sheetView zoomScale="90" zoomScaleNormal="90" workbookViewId="0">
      <pane ySplit="7" topLeftCell="A308" activePane="bottomLeft" state="frozen"/>
      <selection pane="bottomLeft" activeCell="A290" sqref="A290:XFD290"/>
    </sheetView>
  </sheetViews>
  <sheetFormatPr baseColWidth="10" defaultColWidth="11.42578125" defaultRowHeight="18.75" x14ac:dyDescent="0.3"/>
  <cols>
    <col min="1" max="1" width="16" style="85" customWidth="1"/>
    <col min="2" max="2" width="19.28515625" style="85" customWidth="1"/>
    <col min="3" max="3" width="51.28515625" style="85" customWidth="1"/>
    <col min="4" max="4" width="14.140625" customWidth="1"/>
    <col min="5" max="5" width="17.140625" customWidth="1"/>
    <col min="6" max="6" width="22.42578125" customWidth="1"/>
    <col min="7" max="7" width="18.5703125" customWidth="1"/>
    <col min="8" max="8" width="11.140625" customWidth="1"/>
    <col min="9" max="9" width="16.85546875" style="63" customWidth="1"/>
    <col min="10" max="11" width="13.140625" customWidth="1"/>
    <col min="12" max="12" width="12.7109375" style="85" bestFit="1" customWidth="1"/>
    <col min="13" max="13" width="21.140625" customWidth="1"/>
    <col min="14" max="14" width="17.7109375" style="85" bestFit="1" customWidth="1"/>
    <col min="15" max="15" width="15" style="120" bestFit="1" customWidth="1"/>
    <col min="16" max="16384" width="11.42578125" style="85"/>
  </cols>
  <sheetData>
    <row r="3" spans="1:15" ht="26.25" x14ac:dyDescent="0.4">
      <c r="A3" s="244" t="s">
        <v>0</v>
      </c>
      <c r="B3" s="244"/>
      <c r="C3" s="244"/>
      <c r="D3" s="234"/>
      <c r="E3" s="234"/>
      <c r="F3" s="234"/>
    </row>
    <row r="4" spans="1:15" x14ac:dyDescent="0.3">
      <c r="A4" s="245" t="s">
        <v>1</v>
      </c>
      <c r="B4" s="246"/>
      <c r="C4" s="246"/>
      <c r="D4" s="236"/>
      <c r="E4" s="236"/>
      <c r="F4" s="236"/>
    </row>
    <row r="5" spans="1:15" x14ac:dyDescent="0.3">
      <c r="A5" s="237" t="s">
        <v>955</v>
      </c>
      <c r="B5" s="237"/>
      <c r="C5" s="237"/>
      <c r="D5" s="237"/>
      <c r="E5" s="237"/>
      <c r="F5" s="237"/>
    </row>
    <row r="7" spans="1:15" ht="56.25" x14ac:dyDescent="0.3">
      <c r="A7" s="86" t="s">
        <v>118</v>
      </c>
      <c r="B7" s="86" t="s">
        <v>9</v>
      </c>
      <c r="C7" s="87" t="s">
        <v>2</v>
      </c>
      <c r="D7" s="83" t="s">
        <v>3</v>
      </c>
      <c r="E7" s="83" t="s">
        <v>117</v>
      </c>
      <c r="F7" s="83" t="s">
        <v>4</v>
      </c>
      <c r="G7" s="82" t="s">
        <v>9</v>
      </c>
      <c r="H7" s="83" t="s">
        <v>915</v>
      </c>
      <c r="I7" s="84" t="s">
        <v>117</v>
      </c>
      <c r="J7" s="83" t="s">
        <v>4</v>
      </c>
      <c r="K7" s="83" t="s">
        <v>929</v>
      </c>
      <c r="L7" s="87" t="s">
        <v>914</v>
      </c>
      <c r="M7" s="83" t="s">
        <v>927</v>
      </c>
      <c r="N7" s="87" t="s">
        <v>944</v>
      </c>
      <c r="O7" s="84" t="s">
        <v>4</v>
      </c>
    </row>
    <row r="8" spans="1:15" s="105" customFormat="1" ht="15.75" x14ac:dyDescent="0.25">
      <c r="A8" s="113" t="s">
        <v>11</v>
      </c>
      <c r="B8" s="102">
        <v>44652</v>
      </c>
      <c r="C8" s="25" t="s">
        <v>857</v>
      </c>
      <c r="D8" s="14">
        <f>18*30</f>
        <v>540</v>
      </c>
      <c r="E8" s="13">
        <v>850</v>
      </c>
      <c r="F8" s="50">
        <f>+E8*18</f>
        <v>15300</v>
      </c>
      <c r="G8" s="103"/>
      <c r="H8" s="103"/>
      <c r="I8" s="104"/>
      <c r="J8" s="103"/>
      <c r="K8" s="103">
        <f>4+2+2+2+5+4+2</f>
        <v>21</v>
      </c>
      <c r="L8" s="103">
        <f>+D8+H8-K8</f>
        <v>519</v>
      </c>
      <c r="M8" s="103"/>
      <c r="N8" s="103" t="s">
        <v>945</v>
      </c>
      <c r="O8" s="104">
        <f>+E8*L8</f>
        <v>441150</v>
      </c>
    </row>
    <row r="9" spans="1:15" s="105" customFormat="1" ht="15.75" x14ac:dyDescent="0.25">
      <c r="A9" s="113" t="s">
        <v>120</v>
      </c>
      <c r="B9" s="102">
        <v>44193</v>
      </c>
      <c r="C9" s="25" t="s">
        <v>533</v>
      </c>
      <c r="D9" s="14">
        <v>43</v>
      </c>
      <c r="E9" s="13">
        <v>215</v>
      </c>
      <c r="F9" s="50">
        <f>D9*E9</f>
        <v>9245</v>
      </c>
      <c r="G9" s="103"/>
      <c r="H9" s="103"/>
      <c r="I9" s="104"/>
      <c r="J9" s="103"/>
      <c r="K9" s="103">
        <f>1+1</f>
        <v>2</v>
      </c>
      <c r="L9" s="103">
        <f t="shared" ref="L9:L72" si="0">+D9+H9-K9</f>
        <v>41</v>
      </c>
      <c r="M9" s="103"/>
      <c r="N9" s="103" t="s">
        <v>946</v>
      </c>
      <c r="O9" s="104">
        <f t="shared" ref="O9:O33" si="1">+E9*L9</f>
        <v>8815</v>
      </c>
    </row>
    <row r="10" spans="1:15" s="105" customFormat="1" ht="14.25" customHeight="1" x14ac:dyDescent="0.25">
      <c r="A10" s="113" t="s">
        <v>12</v>
      </c>
      <c r="B10" s="102">
        <v>44453</v>
      </c>
      <c r="C10" s="25" t="s">
        <v>534</v>
      </c>
      <c r="D10" s="14">
        <f>2+9</f>
        <v>11</v>
      </c>
      <c r="E10" s="13">
        <v>1350</v>
      </c>
      <c r="F10" s="50">
        <f>D10*E10</f>
        <v>14850</v>
      </c>
      <c r="G10" s="103"/>
      <c r="H10" s="103"/>
      <c r="I10" s="104"/>
      <c r="J10" s="103"/>
      <c r="K10" s="103"/>
      <c r="L10" s="103">
        <f t="shared" si="0"/>
        <v>11</v>
      </c>
      <c r="M10" s="103"/>
      <c r="N10" s="103" t="s">
        <v>946</v>
      </c>
      <c r="O10" s="104">
        <f t="shared" si="1"/>
        <v>14850</v>
      </c>
    </row>
    <row r="11" spans="1:15" s="105" customFormat="1" ht="15.75" x14ac:dyDescent="0.25">
      <c r="A11" s="113" t="s">
        <v>121</v>
      </c>
      <c r="B11" s="102">
        <v>44193</v>
      </c>
      <c r="C11" s="25" t="s">
        <v>535</v>
      </c>
      <c r="D11" s="30">
        <v>0</v>
      </c>
      <c r="E11" s="13">
        <v>127.12</v>
      </c>
      <c r="F11" s="50">
        <f t="shared" ref="F11:F23" si="2">D11*E11</f>
        <v>0</v>
      </c>
      <c r="G11" s="103"/>
      <c r="H11" s="103"/>
      <c r="I11" s="104"/>
      <c r="J11" s="103"/>
      <c r="K11" s="103"/>
      <c r="L11" s="103">
        <f t="shared" si="0"/>
        <v>0</v>
      </c>
      <c r="M11" s="103"/>
      <c r="N11" s="103" t="s">
        <v>946</v>
      </c>
      <c r="O11" s="104">
        <f t="shared" si="1"/>
        <v>0</v>
      </c>
    </row>
    <row r="12" spans="1:15" s="105" customFormat="1" ht="15.75" x14ac:dyDescent="0.25">
      <c r="A12" s="113" t="s">
        <v>122</v>
      </c>
      <c r="B12" s="102">
        <v>44193</v>
      </c>
      <c r="C12" s="25" t="s">
        <v>838</v>
      </c>
      <c r="D12" s="38">
        <v>1</v>
      </c>
      <c r="E12" s="13">
        <v>30</v>
      </c>
      <c r="F12" s="50">
        <f t="shared" si="2"/>
        <v>30</v>
      </c>
      <c r="G12" s="103"/>
      <c r="H12" s="103"/>
      <c r="I12" s="104"/>
      <c r="J12" s="103"/>
      <c r="K12" s="103"/>
      <c r="L12" s="103">
        <f t="shared" si="0"/>
        <v>1</v>
      </c>
      <c r="M12" s="103"/>
      <c r="N12" s="103" t="s">
        <v>946</v>
      </c>
      <c r="O12" s="104">
        <f t="shared" si="1"/>
        <v>30</v>
      </c>
    </row>
    <row r="13" spans="1:15" s="105" customFormat="1" ht="15.75" x14ac:dyDescent="0.25">
      <c r="A13" s="113" t="s">
        <v>123</v>
      </c>
      <c r="B13" s="102">
        <v>44193</v>
      </c>
      <c r="C13" s="25" t="s">
        <v>840</v>
      </c>
      <c r="D13" s="14">
        <v>10</v>
      </c>
      <c r="E13" s="13">
        <v>11</v>
      </c>
      <c r="F13" s="50">
        <f t="shared" si="2"/>
        <v>110</v>
      </c>
      <c r="G13" s="103"/>
      <c r="H13" s="103"/>
      <c r="I13" s="104"/>
      <c r="J13" s="103"/>
      <c r="K13" s="103"/>
      <c r="L13" s="103">
        <f t="shared" si="0"/>
        <v>10</v>
      </c>
      <c r="M13" s="103"/>
      <c r="N13" s="103" t="s">
        <v>946</v>
      </c>
      <c r="O13" s="104">
        <f t="shared" si="1"/>
        <v>110</v>
      </c>
    </row>
    <row r="14" spans="1:15" s="105" customFormat="1" ht="15.75" x14ac:dyDescent="0.25">
      <c r="A14" s="113" t="s">
        <v>13</v>
      </c>
      <c r="B14" s="102">
        <v>44193</v>
      </c>
      <c r="C14" s="25" t="s">
        <v>536</v>
      </c>
      <c r="D14" s="14">
        <f>49+60+2</f>
        <v>111</v>
      </c>
      <c r="E14" s="13">
        <v>15.84</v>
      </c>
      <c r="F14" s="50">
        <f t="shared" si="2"/>
        <v>1758.24</v>
      </c>
      <c r="G14" s="103"/>
      <c r="H14" s="103"/>
      <c r="I14" s="104"/>
      <c r="J14" s="103"/>
      <c r="K14" s="103"/>
      <c r="L14" s="103">
        <f t="shared" si="0"/>
        <v>111</v>
      </c>
      <c r="M14" s="103"/>
      <c r="N14" s="103" t="s">
        <v>946</v>
      </c>
      <c r="O14" s="104">
        <f t="shared" si="1"/>
        <v>1758.24</v>
      </c>
    </row>
    <row r="15" spans="1:15" s="105" customFormat="1" ht="15.75" x14ac:dyDescent="0.25">
      <c r="A15" s="113" t="s">
        <v>14</v>
      </c>
      <c r="B15" s="102">
        <v>44193</v>
      </c>
      <c r="C15" s="25" t="s">
        <v>537</v>
      </c>
      <c r="D15" s="14">
        <v>52</v>
      </c>
      <c r="E15" s="13">
        <v>22.41</v>
      </c>
      <c r="F15" s="50">
        <f t="shared" si="2"/>
        <v>1165.32</v>
      </c>
      <c r="G15" s="103"/>
      <c r="H15" s="103"/>
      <c r="I15" s="104"/>
      <c r="J15" s="103"/>
      <c r="K15" s="103"/>
      <c r="L15" s="103">
        <f t="shared" si="0"/>
        <v>52</v>
      </c>
      <c r="M15" s="103"/>
      <c r="N15" s="103" t="s">
        <v>946</v>
      </c>
      <c r="O15" s="104">
        <f t="shared" si="1"/>
        <v>1165.32</v>
      </c>
    </row>
    <row r="16" spans="1:15" s="105" customFormat="1" ht="15.75" x14ac:dyDescent="0.25">
      <c r="A16" s="113" t="s">
        <v>15</v>
      </c>
      <c r="B16" s="102">
        <v>44193</v>
      </c>
      <c r="C16" s="25" t="s">
        <v>538</v>
      </c>
      <c r="D16" s="14">
        <v>42</v>
      </c>
      <c r="E16" s="13">
        <v>5.5</v>
      </c>
      <c r="F16" s="50">
        <f t="shared" si="2"/>
        <v>231</v>
      </c>
      <c r="G16" s="103"/>
      <c r="H16" s="103"/>
      <c r="I16" s="104"/>
      <c r="J16" s="103"/>
      <c r="K16" s="103"/>
      <c r="L16" s="103">
        <f t="shared" si="0"/>
        <v>42</v>
      </c>
      <c r="M16" s="103"/>
      <c r="N16" s="103" t="s">
        <v>946</v>
      </c>
      <c r="O16" s="104">
        <f t="shared" si="1"/>
        <v>231</v>
      </c>
    </row>
    <row r="17" spans="1:15" s="105" customFormat="1" ht="15.75" x14ac:dyDescent="0.25">
      <c r="A17" s="113" t="s">
        <v>124</v>
      </c>
      <c r="B17" s="102">
        <v>44193</v>
      </c>
      <c r="C17" s="25" t="s">
        <v>539</v>
      </c>
      <c r="D17" s="14">
        <v>32</v>
      </c>
      <c r="E17" s="13">
        <v>78.099999999999994</v>
      </c>
      <c r="F17" s="50">
        <f t="shared" si="2"/>
        <v>2499.1999999999998</v>
      </c>
      <c r="G17" s="103"/>
      <c r="H17" s="103"/>
      <c r="I17" s="104"/>
      <c r="J17" s="103"/>
      <c r="K17" s="103"/>
      <c r="L17" s="103">
        <f t="shared" si="0"/>
        <v>32</v>
      </c>
      <c r="M17" s="103"/>
      <c r="N17" s="103" t="s">
        <v>946</v>
      </c>
      <c r="O17" s="104">
        <f t="shared" si="1"/>
        <v>2499.1999999999998</v>
      </c>
    </row>
    <row r="18" spans="1:15" s="105" customFormat="1" ht="15.75" x14ac:dyDescent="0.25">
      <c r="A18" s="113" t="s">
        <v>16</v>
      </c>
      <c r="B18" s="102" t="s">
        <v>107</v>
      </c>
      <c r="C18" s="25" t="s">
        <v>540</v>
      </c>
      <c r="D18" s="14">
        <v>131</v>
      </c>
      <c r="E18" s="13">
        <v>5.17</v>
      </c>
      <c r="F18" s="50">
        <f t="shared" si="2"/>
        <v>677.27</v>
      </c>
      <c r="G18" s="103"/>
      <c r="H18" s="103"/>
      <c r="I18" s="104"/>
      <c r="J18" s="103"/>
      <c r="K18" s="103"/>
      <c r="L18" s="103">
        <f t="shared" si="0"/>
        <v>131</v>
      </c>
      <c r="M18" s="103"/>
      <c r="N18" s="103" t="s">
        <v>946</v>
      </c>
      <c r="O18" s="104">
        <f t="shared" si="1"/>
        <v>677.27</v>
      </c>
    </row>
    <row r="19" spans="1:15" s="105" customFormat="1" ht="15.75" x14ac:dyDescent="0.25">
      <c r="A19" s="113" t="s">
        <v>17</v>
      </c>
      <c r="B19" s="102" t="s">
        <v>107</v>
      </c>
      <c r="C19" s="25" t="s">
        <v>541</v>
      </c>
      <c r="D19" s="14">
        <v>10</v>
      </c>
      <c r="E19" s="51">
        <v>15</v>
      </c>
      <c r="F19" s="50">
        <f t="shared" si="2"/>
        <v>150</v>
      </c>
      <c r="G19" s="103"/>
      <c r="H19" s="103"/>
      <c r="I19" s="104"/>
      <c r="J19" s="103"/>
      <c r="K19" s="103"/>
      <c r="L19" s="103">
        <f t="shared" si="0"/>
        <v>10</v>
      </c>
      <c r="M19" s="103"/>
      <c r="N19" s="103" t="s">
        <v>946</v>
      </c>
      <c r="O19" s="104">
        <f t="shared" si="1"/>
        <v>150</v>
      </c>
    </row>
    <row r="20" spans="1:15" s="105" customFormat="1" ht="15.75" x14ac:dyDescent="0.25">
      <c r="A20" s="113" t="s">
        <v>18</v>
      </c>
      <c r="B20" s="102">
        <v>44193</v>
      </c>
      <c r="C20" s="25" t="s">
        <v>542</v>
      </c>
      <c r="D20" s="30">
        <f>4+7+1</f>
        <v>12</v>
      </c>
      <c r="E20" s="13">
        <v>15</v>
      </c>
      <c r="F20" s="50">
        <f t="shared" si="2"/>
        <v>180</v>
      </c>
      <c r="G20" s="103"/>
      <c r="H20" s="103"/>
      <c r="I20" s="104"/>
      <c r="J20" s="103"/>
      <c r="K20" s="103"/>
      <c r="L20" s="103">
        <f t="shared" si="0"/>
        <v>12</v>
      </c>
      <c r="M20" s="103"/>
      <c r="N20" s="103" t="s">
        <v>946</v>
      </c>
      <c r="O20" s="104">
        <f t="shared" si="1"/>
        <v>180</v>
      </c>
    </row>
    <row r="21" spans="1:15" s="105" customFormat="1" ht="15.75" x14ac:dyDescent="0.25">
      <c r="A21" s="113" t="s">
        <v>19</v>
      </c>
      <c r="B21" s="102">
        <v>44193</v>
      </c>
      <c r="C21" s="25" t="s">
        <v>543</v>
      </c>
      <c r="D21" s="30">
        <v>8</v>
      </c>
      <c r="E21" s="22">
        <v>15</v>
      </c>
      <c r="F21" s="50">
        <f t="shared" si="2"/>
        <v>120</v>
      </c>
      <c r="G21" s="103"/>
      <c r="H21" s="103"/>
      <c r="I21" s="104"/>
      <c r="J21" s="103"/>
      <c r="K21" s="103"/>
      <c r="L21" s="103">
        <f t="shared" si="0"/>
        <v>8</v>
      </c>
      <c r="M21" s="103"/>
      <c r="N21" s="103" t="s">
        <v>946</v>
      </c>
      <c r="O21" s="104">
        <f t="shared" si="1"/>
        <v>120</v>
      </c>
    </row>
    <row r="22" spans="1:15" s="105" customFormat="1" ht="15.75" x14ac:dyDescent="0.25">
      <c r="A22" s="113" t="s">
        <v>20</v>
      </c>
      <c r="B22" s="102">
        <v>44193</v>
      </c>
      <c r="C22" s="25" t="s">
        <v>835</v>
      </c>
      <c r="D22" s="30">
        <v>1</v>
      </c>
      <c r="E22" s="22">
        <v>15</v>
      </c>
      <c r="F22" s="50">
        <f t="shared" si="2"/>
        <v>15</v>
      </c>
      <c r="G22" s="103"/>
      <c r="H22" s="103"/>
      <c r="I22" s="104"/>
      <c r="J22" s="103"/>
      <c r="K22" s="103"/>
      <c r="L22" s="103">
        <f t="shared" si="0"/>
        <v>1</v>
      </c>
      <c r="M22" s="103"/>
      <c r="N22" s="103" t="s">
        <v>946</v>
      </c>
      <c r="O22" s="104">
        <f t="shared" si="1"/>
        <v>15</v>
      </c>
    </row>
    <row r="23" spans="1:15" s="105" customFormat="1" ht="15.75" x14ac:dyDescent="0.25">
      <c r="A23" s="113" t="s">
        <v>21</v>
      </c>
      <c r="B23" s="102" t="s">
        <v>107</v>
      </c>
      <c r="C23" s="25" t="s">
        <v>544</v>
      </c>
      <c r="D23" s="30">
        <v>32</v>
      </c>
      <c r="E23" s="51">
        <v>15</v>
      </c>
      <c r="F23" s="50">
        <f t="shared" si="2"/>
        <v>480</v>
      </c>
      <c r="G23" s="103"/>
      <c r="H23" s="103"/>
      <c r="I23" s="104"/>
      <c r="J23" s="103"/>
      <c r="K23" s="103"/>
      <c r="L23" s="103">
        <f t="shared" si="0"/>
        <v>32</v>
      </c>
      <c r="M23" s="103"/>
      <c r="N23" s="103" t="s">
        <v>946</v>
      </c>
      <c r="O23" s="104">
        <f t="shared" si="1"/>
        <v>480</v>
      </c>
    </row>
    <row r="24" spans="1:15" s="105" customFormat="1" ht="15.75" x14ac:dyDescent="0.25">
      <c r="A24" s="113" t="s">
        <v>23</v>
      </c>
      <c r="B24" s="102">
        <v>44193</v>
      </c>
      <c r="C24" s="25" t="s">
        <v>811</v>
      </c>
      <c r="D24" s="30">
        <v>24</v>
      </c>
      <c r="E24" s="51"/>
      <c r="F24" s="50"/>
      <c r="G24" s="103"/>
      <c r="H24" s="103"/>
      <c r="I24" s="104"/>
      <c r="J24" s="103"/>
      <c r="K24" s="103">
        <f>1+3</f>
        <v>4</v>
      </c>
      <c r="L24" s="103">
        <f t="shared" si="0"/>
        <v>20</v>
      </c>
      <c r="M24" s="103"/>
      <c r="N24" s="103" t="s">
        <v>946</v>
      </c>
      <c r="O24" s="104">
        <f t="shared" si="1"/>
        <v>0</v>
      </c>
    </row>
    <row r="25" spans="1:15" s="105" customFormat="1" ht="15.75" x14ac:dyDescent="0.25">
      <c r="A25" s="113" t="s">
        <v>24</v>
      </c>
      <c r="B25" s="102">
        <v>44193</v>
      </c>
      <c r="C25" s="25" t="s">
        <v>809</v>
      </c>
      <c r="D25" s="30">
        <v>12</v>
      </c>
      <c r="E25" s="51"/>
      <c r="F25" s="50"/>
      <c r="G25" s="103"/>
      <c r="H25" s="103"/>
      <c r="I25" s="104"/>
      <c r="J25" s="103"/>
      <c r="K25" s="103"/>
      <c r="L25" s="103">
        <f t="shared" si="0"/>
        <v>12</v>
      </c>
      <c r="M25" s="103"/>
      <c r="N25" s="103" t="s">
        <v>946</v>
      </c>
      <c r="O25" s="104">
        <f t="shared" si="1"/>
        <v>0</v>
      </c>
    </row>
    <row r="26" spans="1:15" s="105" customFormat="1" ht="15.75" x14ac:dyDescent="0.25">
      <c r="A26" s="113" t="s">
        <v>110</v>
      </c>
      <c r="B26" s="102">
        <v>44193</v>
      </c>
      <c r="C26" s="9" t="s">
        <v>545</v>
      </c>
      <c r="D26" s="31">
        <v>10</v>
      </c>
      <c r="E26" s="13">
        <v>225</v>
      </c>
      <c r="F26" s="50">
        <f>D26*E26</f>
        <v>2250</v>
      </c>
      <c r="G26" s="103"/>
      <c r="H26" s="103"/>
      <c r="I26" s="104"/>
      <c r="J26" s="103"/>
      <c r="K26" s="103"/>
      <c r="L26" s="103">
        <f t="shared" si="0"/>
        <v>10</v>
      </c>
      <c r="M26" s="103"/>
      <c r="N26" s="103" t="s">
        <v>945</v>
      </c>
      <c r="O26" s="104">
        <f t="shared" si="1"/>
        <v>2250</v>
      </c>
    </row>
    <row r="27" spans="1:15" s="105" customFormat="1" ht="15.75" x14ac:dyDescent="0.25">
      <c r="A27" s="113" t="s">
        <v>125</v>
      </c>
      <c r="B27" s="102">
        <v>44193</v>
      </c>
      <c r="C27" s="25" t="s">
        <v>546</v>
      </c>
      <c r="D27" s="30">
        <v>0</v>
      </c>
      <c r="E27" s="13">
        <v>68</v>
      </c>
      <c r="F27" s="50">
        <f>D27*E27</f>
        <v>0</v>
      </c>
      <c r="G27" s="103"/>
      <c r="H27" s="103"/>
      <c r="I27" s="104"/>
      <c r="J27" s="103"/>
      <c r="K27" s="103"/>
      <c r="L27" s="103">
        <f t="shared" si="0"/>
        <v>0</v>
      </c>
      <c r="M27" s="103"/>
      <c r="N27" s="103" t="s">
        <v>946</v>
      </c>
      <c r="O27" s="104">
        <f>+E27*L27</f>
        <v>0</v>
      </c>
    </row>
    <row r="28" spans="1:15" s="105" customFormat="1" ht="15.75" x14ac:dyDescent="0.25">
      <c r="A28" s="113" t="s">
        <v>25</v>
      </c>
      <c r="B28" s="102">
        <v>44193</v>
      </c>
      <c r="C28" s="25" t="s">
        <v>547</v>
      </c>
      <c r="D28" s="30">
        <v>4</v>
      </c>
      <c r="E28" s="13">
        <v>470</v>
      </c>
      <c r="F28" s="50">
        <f>D28*E28</f>
        <v>1880</v>
      </c>
      <c r="G28" s="103"/>
      <c r="H28" s="103"/>
      <c r="I28" s="104"/>
      <c r="J28" s="103"/>
      <c r="K28" s="103"/>
      <c r="L28" s="103">
        <f t="shared" si="0"/>
        <v>4</v>
      </c>
      <c r="M28" s="103"/>
      <c r="N28" s="103" t="s">
        <v>945</v>
      </c>
      <c r="O28" s="104">
        <f t="shared" si="1"/>
        <v>1880</v>
      </c>
    </row>
    <row r="29" spans="1:15" s="105" customFormat="1" ht="15.75" x14ac:dyDescent="0.25">
      <c r="A29" s="113" t="s">
        <v>126</v>
      </c>
      <c r="B29" s="102" t="s">
        <v>107</v>
      </c>
      <c r="C29" s="26" t="s">
        <v>807</v>
      </c>
      <c r="D29" s="30">
        <v>70</v>
      </c>
      <c r="E29" s="13">
        <v>16.46</v>
      </c>
      <c r="F29" s="50">
        <f>+D29*E29</f>
        <v>1152.2</v>
      </c>
      <c r="G29" s="103"/>
      <c r="H29" s="103"/>
      <c r="I29" s="104"/>
      <c r="J29" s="103"/>
      <c r="K29" s="103"/>
      <c r="L29" s="103">
        <f t="shared" si="0"/>
        <v>70</v>
      </c>
      <c r="M29" s="103"/>
      <c r="N29" s="103" t="s">
        <v>946</v>
      </c>
      <c r="O29" s="104">
        <f t="shared" si="1"/>
        <v>1152.2</v>
      </c>
    </row>
    <row r="30" spans="1:15" s="105" customFormat="1" ht="15.75" x14ac:dyDescent="0.25">
      <c r="A30" s="113" t="s">
        <v>26</v>
      </c>
      <c r="B30" s="102" t="s">
        <v>107</v>
      </c>
      <c r="C30" s="26" t="s">
        <v>549</v>
      </c>
      <c r="D30" s="30">
        <v>0</v>
      </c>
      <c r="E30" s="51">
        <v>6.4</v>
      </c>
      <c r="F30" s="50">
        <f>D30*E30</f>
        <v>0</v>
      </c>
      <c r="G30" s="103"/>
      <c r="H30" s="103"/>
      <c r="I30" s="104"/>
      <c r="J30" s="103"/>
      <c r="K30" s="103"/>
      <c r="L30" s="103">
        <f t="shared" si="0"/>
        <v>0</v>
      </c>
      <c r="M30" s="103"/>
      <c r="N30" s="103" t="s">
        <v>946</v>
      </c>
      <c r="O30" s="104">
        <f t="shared" si="1"/>
        <v>0</v>
      </c>
    </row>
    <row r="31" spans="1:15" s="105" customFormat="1" ht="15.75" x14ac:dyDescent="0.25">
      <c r="A31" s="113" t="s">
        <v>27</v>
      </c>
      <c r="B31" s="102">
        <v>44193</v>
      </c>
      <c r="C31" s="26" t="s">
        <v>550</v>
      </c>
      <c r="D31" s="30">
        <v>0</v>
      </c>
      <c r="E31" s="13">
        <v>105.93</v>
      </c>
      <c r="F31" s="50">
        <f>D31*E31</f>
        <v>0</v>
      </c>
      <c r="G31" s="103"/>
      <c r="H31" s="103"/>
      <c r="I31" s="104"/>
      <c r="J31" s="103"/>
      <c r="K31" s="103"/>
      <c r="L31" s="103">
        <f t="shared" si="0"/>
        <v>0</v>
      </c>
      <c r="M31" s="103"/>
      <c r="N31" s="103" t="s">
        <v>946</v>
      </c>
      <c r="O31" s="104">
        <f t="shared" si="1"/>
        <v>0</v>
      </c>
    </row>
    <row r="32" spans="1:15" s="105" customFormat="1" ht="15.75" x14ac:dyDescent="0.25">
      <c r="A32" s="113" t="s">
        <v>28</v>
      </c>
      <c r="B32" s="102">
        <v>44193</v>
      </c>
      <c r="C32" s="25" t="s">
        <v>806</v>
      </c>
      <c r="D32" s="38">
        <v>2</v>
      </c>
      <c r="E32" s="13">
        <v>160</v>
      </c>
      <c r="F32" s="50">
        <f>D32*E32</f>
        <v>320</v>
      </c>
      <c r="G32" s="103"/>
      <c r="H32" s="103"/>
      <c r="I32" s="104"/>
      <c r="J32" s="103"/>
      <c r="K32" s="103">
        <v>1</v>
      </c>
      <c r="L32" s="103">
        <f t="shared" si="0"/>
        <v>1</v>
      </c>
      <c r="M32" s="103"/>
      <c r="N32" s="103" t="s">
        <v>946</v>
      </c>
      <c r="O32" s="104">
        <f t="shared" si="1"/>
        <v>160</v>
      </c>
    </row>
    <row r="33" spans="1:15" s="105" customFormat="1" ht="15.75" x14ac:dyDescent="0.25">
      <c r="A33" s="113" t="s">
        <v>127</v>
      </c>
      <c r="B33" s="102">
        <v>44449</v>
      </c>
      <c r="C33" s="25" t="s">
        <v>551</v>
      </c>
      <c r="D33" s="30">
        <v>9</v>
      </c>
      <c r="E33" s="13">
        <v>600</v>
      </c>
      <c r="F33" s="50">
        <f t="shared" ref="F33:F61" si="3">D33*E33</f>
        <v>5400</v>
      </c>
      <c r="G33" s="103"/>
      <c r="H33" s="103"/>
      <c r="I33" s="104"/>
      <c r="J33" s="103"/>
      <c r="K33" s="103">
        <v>1</v>
      </c>
      <c r="L33" s="103">
        <f t="shared" si="0"/>
        <v>8</v>
      </c>
      <c r="M33" s="103"/>
      <c r="N33" s="103" t="s">
        <v>945</v>
      </c>
      <c r="O33" s="104">
        <f t="shared" si="1"/>
        <v>4800</v>
      </c>
    </row>
    <row r="34" spans="1:15" s="105" customFormat="1" ht="15.75" x14ac:dyDescent="0.25">
      <c r="A34" s="113" t="s">
        <v>29</v>
      </c>
      <c r="B34" s="102">
        <v>44193</v>
      </c>
      <c r="C34" s="9" t="s">
        <v>552</v>
      </c>
      <c r="D34" s="30">
        <f>20+23</f>
        <v>43</v>
      </c>
      <c r="E34" s="13">
        <v>200</v>
      </c>
      <c r="F34" s="50">
        <f t="shared" si="3"/>
        <v>8600</v>
      </c>
      <c r="G34" s="103"/>
      <c r="H34" s="103"/>
      <c r="I34" s="104"/>
      <c r="J34" s="103"/>
      <c r="K34" s="103"/>
      <c r="L34" s="103">
        <f t="shared" si="0"/>
        <v>43</v>
      </c>
      <c r="M34" s="103"/>
      <c r="N34" s="103" t="s">
        <v>947</v>
      </c>
      <c r="O34" s="104">
        <f>+L34*E34</f>
        <v>8600</v>
      </c>
    </row>
    <row r="35" spans="1:15" s="105" customFormat="1" ht="15.75" x14ac:dyDescent="0.25">
      <c r="A35" s="113" t="s">
        <v>30</v>
      </c>
      <c r="B35" s="102">
        <v>44193</v>
      </c>
      <c r="C35" s="9" t="s">
        <v>553</v>
      </c>
      <c r="D35" s="30">
        <v>9</v>
      </c>
      <c r="E35" s="13">
        <v>200</v>
      </c>
      <c r="F35" s="50">
        <f t="shared" si="3"/>
        <v>1800</v>
      </c>
      <c r="G35" s="103"/>
      <c r="H35" s="103"/>
      <c r="I35" s="104"/>
      <c r="J35" s="103"/>
      <c r="K35" s="103"/>
      <c r="L35" s="103">
        <f t="shared" si="0"/>
        <v>9</v>
      </c>
      <c r="M35" s="103"/>
      <c r="N35" s="103" t="s">
        <v>947</v>
      </c>
      <c r="O35" s="104">
        <f>+L35*E35</f>
        <v>1800</v>
      </c>
    </row>
    <row r="36" spans="1:15" s="105" customFormat="1" ht="15.75" x14ac:dyDescent="0.25">
      <c r="A36" s="113" t="s">
        <v>99</v>
      </c>
      <c r="B36" s="102">
        <v>44193</v>
      </c>
      <c r="C36" s="25" t="s">
        <v>548</v>
      </c>
      <c r="D36" s="30">
        <v>36</v>
      </c>
      <c r="E36" s="13">
        <v>75</v>
      </c>
      <c r="F36" s="50">
        <f t="shared" si="3"/>
        <v>2700</v>
      </c>
      <c r="G36" s="103"/>
      <c r="H36" s="103"/>
      <c r="I36" s="104"/>
      <c r="J36" s="103"/>
      <c r="K36" s="103"/>
      <c r="L36" s="103">
        <f t="shared" si="0"/>
        <v>36</v>
      </c>
      <c r="M36" s="103"/>
      <c r="N36" s="103" t="s">
        <v>945</v>
      </c>
      <c r="O36" s="104">
        <f t="shared" ref="O36:O40" si="4">+L36*E36</f>
        <v>2700</v>
      </c>
    </row>
    <row r="37" spans="1:15" s="105" customFormat="1" ht="15.75" x14ac:dyDescent="0.25">
      <c r="A37" s="113" t="s">
        <v>31</v>
      </c>
      <c r="B37" s="102">
        <v>44193</v>
      </c>
      <c r="C37" s="25" t="s">
        <v>554</v>
      </c>
      <c r="D37" s="30">
        <v>0</v>
      </c>
      <c r="E37" s="13">
        <v>4.24</v>
      </c>
      <c r="F37" s="50">
        <f t="shared" si="3"/>
        <v>0</v>
      </c>
      <c r="G37" s="103"/>
      <c r="H37" s="103"/>
      <c r="I37" s="104"/>
      <c r="J37" s="103"/>
      <c r="K37" s="103"/>
      <c r="L37" s="103">
        <f t="shared" si="0"/>
        <v>0</v>
      </c>
      <c r="M37" s="103"/>
      <c r="N37" s="103" t="s">
        <v>946</v>
      </c>
      <c r="O37" s="104">
        <f t="shared" si="4"/>
        <v>0</v>
      </c>
    </row>
    <row r="38" spans="1:15" s="105" customFormat="1" ht="15.75" x14ac:dyDescent="0.25">
      <c r="A38" s="113" t="s">
        <v>32</v>
      </c>
      <c r="B38" s="102">
        <v>44193</v>
      </c>
      <c r="C38" s="25" t="s">
        <v>555</v>
      </c>
      <c r="D38" s="30">
        <v>0</v>
      </c>
      <c r="E38" s="13">
        <v>3.39</v>
      </c>
      <c r="F38" s="50">
        <f t="shared" si="3"/>
        <v>0</v>
      </c>
      <c r="G38" s="103"/>
      <c r="H38" s="103"/>
      <c r="I38" s="104"/>
      <c r="J38" s="103"/>
      <c r="K38" s="103"/>
      <c r="L38" s="103">
        <f t="shared" si="0"/>
        <v>0</v>
      </c>
      <c r="M38" s="103"/>
      <c r="N38" s="103" t="s">
        <v>946</v>
      </c>
      <c r="O38" s="104">
        <f t="shared" si="4"/>
        <v>0</v>
      </c>
    </row>
    <row r="39" spans="1:15" s="105" customFormat="1" ht="15.75" x14ac:dyDescent="0.25">
      <c r="A39" s="113" t="s">
        <v>33</v>
      </c>
      <c r="B39" s="102">
        <v>44193</v>
      </c>
      <c r="C39" s="9" t="s">
        <v>556</v>
      </c>
      <c r="D39" s="30">
        <v>23</v>
      </c>
      <c r="E39" s="13">
        <v>1625</v>
      </c>
      <c r="F39" s="50">
        <f t="shared" si="3"/>
        <v>37375</v>
      </c>
      <c r="G39" s="103"/>
      <c r="H39" s="103"/>
      <c r="I39" s="104"/>
      <c r="J39" s="103"/>
      <c r="K39" s="103"/>
      <c r="L39" s="103">
        <f t="shared" si="0"/>
        <v>23</v>
      </c>
      <c r="M39" s="103"/>
      <c r="N39" s="103" t="s">
        <v>946</v>
      </c>
      <c r="O39" s="104">
        <f t="shared" si="4"/>
        <v>37375</v>
      </c>
    </row>
    <row r="40" spans="1:15" s="105" customFormat="1" ht="15.75" x14ac:dyDescent="0.25">
      <c r="A40" s="113" t="s">
        <v>34</v>
      </c>
      <c r="B40" s="102">
        <v>44193</v>
      </c>
      <c r="C40" s="9" t="s">
        <v>557</v>
      </c>
      <c r="D40" s="30">
        <v>0</v>
      </c>
      <c r="E40" s="13">
        <v>1625</v>
      </c>
      <c r="F40" s="50">
        <f t="shared" si="3"/>
        <v>0</v>
      </c>
      <c r="G40" s="103"/>
      <c r="H40" s="103"/>
      <c r="I40" s="104"/>
      <c r="J40" s="103"/>
      <c r="K40" s="103"/>
      <c r="L40" s="103">
        <f t="shared" si="0"/>
        <v>0</v>
      </c>
      <c r="M40" s="103"/>
      <c r="N40" s="103" t="s">
        <v>946</v>
      </c>
      <c r="O40" s="104">
        <f t="shared" si="4"/>
        <v>0</v>
      </c>
    </row>
    <row r="41" spans="1:15" s="105" customFormat="1" ht="15.75" x14ac:dyDescent="0.25">
      <c r="A41" s="113" t="s">
        <v>111</v>
      </c>
      <c r="B41" s="102">
        <v>44193</v>
      </c>
      <c r="C41" s="9" t="s">
        <v>558</v>
      </c>
      <c r="D41" s="30">
        <v>10</v>
      </c>
      <c r="E41" s="13">
        <v>66.3</v>
      </c>
      <c r="F41" s="50">
        <f t="shared" si="3"/>
        <v>663</v>
      </c>
      <c r="G41" s="107">
        <v>44852</v>
      </c>
      <c r="H41" s="103">
        <v>10</v>
      </c>
      <c r="I41" s="104">
        <v>26</v>
      </c>
      <c r="J41" s="108">
        <f>+H41*I41</f>
        <v>260</v>
      </c>
      <c r="K41" s="103">
        <v>1</v>
      </c>
      <c r="L41" s="103">
        <f t="shared" si="0"/>
        <v>19</v>
      </c>
      <c r="M41" s="103"/>
      <c r="N41" s="103" t="s">
        <v>947</v>
      </c>
      <c r="O41" s="104">
        <f>+L41*I41</f>
        <v>494</v>
      </c>
    </row>
    <row r="42" spans="1:15" s="105" customFormat="1" ht="15.75" x14ac:dyDescent="0.25">
      <c r="A42" s="113" t="s">
        <v>128</v>
      </c>
      <c r="B42" s="102">
        <v>44488</v>
      </c>
      <c r="C42" s="26" t="s">
        <v>560</v>
      </c>
      <c r="D42" s="30">
        <v>13</v>
      </c>
      <c r="E42" s="13">
        <v>40</v>
      </c>
      <c r="F42" s="50">
        <f t="shared" si="3"/>
        <v>520</v>
      </c>
      <c r="G42" s="103"/>
      <c r="H42" s="103"/>
      <c r="I42" s="104"/>
      <c r="J42" s="103"/>
      <c r="K42" s="103"/>
      <c r="L42" s="103">
        <f t="shared" si="0"/>
        <v>13</v>
      </c>
      <c r="M42" s="103"/>
      <c r="N42" s="103" t="s">
        <v>946</v>
      </c>
      <c r="O42" s="104">
        <f t="shared" ref="O42:O49" si="5">+L42*E42</f>
        <v>520</v>
      </c>
    </row>
    <row r="43" spans="1:15" s="105" customFormat="1" ht="15.75" x14ac:dyDescent="0.25">
      <c r="A43" s="113" t="s">
        <v>129</v>
      </c>
      <c r="B43" s="102">
        <v>44193</v>
      </c>
      <c r="C43" s="9" t="s">
        <v>772</v>
      </c>
      <c r="D43" s="30">
        <v>23</v>
      </c>
      <c r="E43" s="13">
        <v>2.4</v>
      </c>
      <c r="F43" s="50">
        <f t="shared" si="3"/>
        <v>55.199999999999996</v>
      </c>
      <c r="G43" s="103"/>
      <c r="H43" s="103"/>
      <c r="I43" s="104"/>
      <c r="J43" s="103"/>
      <c r="K43" s="103">
        <f>12+2</f>
        <v>14</v>
      </c>
      <c r="L43" s="103">
        <f t="shared" si="0"/>
        <v>9</v>
      </c>
      <c r="M43" s="103"/>
      <c r="N43" s="103" t="s">
        <v>947</v>
      </c>
      <c r="O43" s="104">
        <f t="shared" si="5"/>
        <v>21.599999999999998</v>
      </c>
    </row>
    <row r="44" spans="1:15" s="105" customFormat="1" ht="15.75" x14ac:dyDescent="0.25">
      <c r="A44" s="113" t="s">
        <v>130</v>
      </c>
      <c r="B44" s="102">
        <v>44193</v>
      </c>
      <c r="C44" s="26" t="s">
        <v>562</v>
      </c>
      <c r="D44" s="32">
        <v>0</v>
      </c>
      <c r="E44" s="13">
        <v>700</v>
      </c>
      <c r="F44" s="50">
        <f t="shared" si="3"/>
        <v>0</v>
      </c>
      <c r="G44" s="103"/>
      <c r="H44" s="103"/>
      <c r="I44" s="104"/>
      <c r="J44" s="103"/>
      <c r="K44" s="103"/>
      <c r="L44" s="103">
        <f t="shared" si="0"/>
        <v>0</v>
      </c>
      <c r="M44" s="103"/>
      <c r="N44" s="103" t="s">
        <v>946</v>
      </c>
      <c r="O44" s="104">
        <f t="shared" si="5"/>
        <v>0</v>
      </c>
    </row>
    <row r="45" spans="1:15" s="105" customFormat="1" ht="15.75" x14ac:dyDescent="0.25">
      <c r="A45" s="113" t="s">
        <v>35</v>
      </c>
      <c r="B45" s="102">
        <v>44193</v>
      </c>
      <c r="C45" s="9" t="s">
        <v>563</v>
      </c>
      <c r="D45" s="30">
        <v>1</v>
      </c>
      <c r="E45" s="13">
        <v>35</v>
      </c>
      <c r="F45" s="50">
        <f t="shared" si="3"/>
        <v>35</v>
      </c>
      <c r="G45" s="103"/>
      <c r="H45" s="103"/>
      <c r="I45" s="104"/>
      <c r="J45" s="103"/>
      <c r="K45" s="103"/>
      <c r="L45" s="103">
        <f t="shared" si="0"/>
        <v>1</v>
      </c>
      <c r="M45" s="103"/>
      <c r="N45" s="103" t="s">
        <v>947</v>
      </c>
      <c r="O45" s="104">
        <f t="shared" si="5"/>
        <v>35</v>
      </c>
    </row>
    <row r="46" spans="1:15" s="105" customFormat="1" ht="15.75" x14ac:dyDescent="0.25">
      <c r="A46" s="113" t="s">
        <v>36</v>
      </c>
      <c r="B46" s="102">
        <v>44193</v>
      </c>
      <c r="C46" s="9" t="s">
        <v>564</v>
      </c>
      <c r="D46" s="30">
        <v>0</v>
      </c>
      <c r="E46" s="13">
        <v>2719</v>
      </c>
      <c r="F46" s="50">
        <f t="shared" si="3"/>
        <v>0</v>
      </c>
      <c r="G46" s="103"/>
      <c r="H46" s="103"/>
      <c r="I46" s="104"/>
      <c r="J46" s="103"/>
      <c r="K46" s="103"/>
      <c r="L46" s="103">
        <f t="shared" si="0"/>
        <v>0</v>
      </c>
      <c r="M46" s="103"/>
      <c r="N46" s="103" t="s">
        <v>945</v>
      </c>
      <c r="O46" s="104">
        <f t="shared" si="5"/>
        <v>0</v>
      </c>
    </row>
    <row r="47" spans="1:15" s="105" customFormat="1" ht="15.75" x14ac:dyDescent="0.25">
      <c r="A47" s="113" t="s">
        <v>37</v>
      </c>
      <c r="B47" s="102">
        <v>44193</v>
      </c>
      <c r="C47" s="26" t="s">
        <v>797</v>
      </c>
      <c r="D47" s="30">
        <v>2</v>
      </c>
      <c r="E47" s="13">
        <v>600</v>
      </c>
      <c r="F47" s="50">
        <f t="shared" si="3"/>
        <v>1200</v>
      </c>
      <c r="G47" s="103"/>
      <c r="H47" s="103"/>
      <c r="I47" s="104"/>
      <c r="J47" s="103"/>
      <c r="K47" s="103"/>
      <c r="L47" s="103">
        <f t="shared" si="0"/>
        <v>2</v>
      </c>
      <c r="M47" s="103"/>
      <c r="N47" s="103" t="s">
        <v>946</v>
      </c>
      <c r="O47" s="104">
        <f t="shared" si="5"/>
        <v>1200</v>
      </c>
    </row>
    <row r="48" spans="1:15" s="105" customFormat="1" ht="15.75" x14ac:dyDescent="0.25">
      <c r="A48" s="113" t="s">
        <v>38</v>
      </c>
      <c r="B48" s="102">
        <v>44678</v>
      </c>
      <c r="C48" s="26" t="s">
        <v>565</v>
      </c>
      <c r="D48" s="32">
        <v>5</v>
      </c>
      <c r="E48" s="13">
        <v>1400</v>
      </c>
      <c r="F48" s="50">
        <f t="shared" si="3"/>
        <v>7000</v>
      </c>
      <c r="G48" s="103"/>
      <c r="H48" s="103"/>
      <c r="I48" s="104"/>
      <c r="J48" s="103"/>
      <c r="K48" s="103"/>
      <c r="L48" s="103">
        <f t="shared" si="0"/>
        <v>5</v>
      </c>
      <c r="M48" s="103"/>
      <c r="N48" s="103" t="s">
        <v>946</v>
      </c>
      <c r="O48" s="104">
        <f t="shared" si="5"/>
        <v>7000</v>
      </c>
    </row>
    <row r="49" spans="1:15" s="105" customFormat="1" ht="15.75" x14ac:dyDescent="0.25">
      <c r="A49" s="113" t="s">
        <v>131</v>
      </c>
      <c r="B49" s="102">
        <v>44678</v>
      </c>
      <c r="C49" s="26" t="s">
        <v>567</v>
      </c>
      <c r="D49" s="32">
        <v>10</v>
      </c>
      <c r="E49" s="13">
        <v>500</v>
      </c>
      <c r="F49" s="50">
        <f t="shared" si="3"/>
        <v>5000</v>
      </c>
      <c r="G49" s="103"/>
      <c r="H49" s="103"/>
      <c r="I49" s="104"/>
      <c r="J49" s="103"/>
      <c r="K49" s="103"/>
      <c r="L49" s="103">
        <f t="shared" si="0"/>
        <v>10</v>
      </c>
      <c r="M49" s="103"/>
      <c r="N49" s="103" t="s">
        <v>946</v>
      </c>
      <c r="O49" s="104">
        <f t="shared" si="5"/>
        <v>5000</v>
      </c>
    </row>
    <row r="50" spans="1:15" s="105" customFormat="1" ht="15.75" x14ac:dyDescent="0.25">
      <c r="A50" s="113" t="s">
        <v>39</v>
      </c>
      <c r="B50" s="102">
        <v>44678</v>
      </c>
      <c r="C50" s="26" t="s">
        <v>568</v>
      </c>
      <c r="D50" s="32">
        <v>6</v>
      </c>
      <c r="E50" s="13">
        <v>5000</v>
      </c>
      <c r="F50" s="50">
        <f t="shared" si="3"/>
        <v>30000</v>
      </c>
      <c r="G50" s="103"/>
      <c r="H50" s="103"/>
      <c r="I50" s="104"/>
      <c r="J50" s="103"/>
      <c r="K50" s="103"/>
      <c r="L50" s="103">
        <f t="shared" si="0"/>
        <v>6</v>
      </c>
      <c r="M50" s="103"/>
      <c r="N50" s="103" t="s">
        <v>946</v>
      </c>
      <c r="O50" s="104">
        <f>+L50*E50</f>
        <v>30000</v>
      </c>
    </row>
    <row r="51" spans="1:15" s="105" customFormat="1" ht="15.75" x14ac:dyDescent="0.25">
      <c r="A51" s="113" t="s">
        <v>40</v>
      </c>
      <c r="B51" s="102">
        <v>44193</v>
      </c>
      <c r="C51" s="26" t="s">
        <v>803</v>
      </c>
      <c r="D51" s="32">
        <v>6</v>
      </c>
      <c r="E51" s="13">
        <v>2600</v>
      </c>
      <c r="F51" s="50">
        <f t="shared" si="3"/>
        <v>15600</v>
      </c>
      <c r="G51" s="103"/>
      <c r="H51" s="103"/>
      <c r="I51" s="104"/>
      <c r="J51" s="103"/>
      <c r="K51" s="103"/>
      <c r="L51" s="103">
        <f t="shared" si="0"/>
        <v>6</v>
      </c>
      <c r="M51" s="103"/>
      <c r="N51" s="103" t="s">
        <v>946</v>
      </c>
      <c r="O51" s="104">
        <f t="shared" ref="O51:O54" si="6">+L51*E51</f>
        <v>15600</v>
      </c>
    </row>
    <row r="52" spans="1:15" s="105" customFormat="1" ht="15.75" x14ac:dyDescent="0.25">
      <c r="A52" s="113" t="s">
        <v>132</v>
      </c>
      <c r="B52" s="102">
        <v>44193</v>
      </c>
      <c r="C52" s="25" t="s">
        <v>773</v>
      </c>
      <c r="D52" s="14">
        <v>2</v>
      </c>
      <c r="E52" s="13">
        <v>325</v>
      </c>
      <c r="F52" s="50">
        <f t="shared" si="3"/>
        <v>650</v>
      </c>
      <c r="G52" s="103"/>
      <c r="H52" s="103"/>
      <c r="I52" s="104"/>
      <c r="J52" s="103"/>
      <c r="K52" s="103"/>
      <c r="L52" s="103">
        <f t="shared" si="0"/>
        <v>2</v>
      </c>
      <c r="M52" s="103"/>
      <c r="N52" s="103" t="s">
        <v>945</v>
      </c>
      <c r="O52" s="104">
        <f t="shared" si="6"/>
        <v>650</v>
      </c>
    </row>
    <row r="53" spans="1:15" s="105" customFormat="1" ht="15.75" x14ac:dyDescent="0.25">
      <c r="A53" s="113" t="s">
        <v>41</v>
      </c>
      <c r="B53" s="102">
        <v>44193</v>
      </c>
      <c r="C53" s="25" t="s">
        <v>570</v>
      </c>
      <c r="D53" s="14">
        <f>(43*3)+1</f>
        <v>130</v>
      </c>
      <c r="E53" s="13">
        <v>25</v>
      </c>
      <c r="F53" s="50">
        <f t="shared" si="3"/>
        <v>3250</v>
      </c>
      <c r="G53" s="103"/>
      <c r="H53" s="103"/>
      <c r="I53" s="104"/>
      <c r="J53" s="103"/>
      <c r="K53" s="103"/>
      <c r="L53" s="103">
        <f t="shared" si="0"/>
        <v>130</v>
      </c>
      <c r="M53" s="103"/>
      <c r="N53" s="103" t="s">
        <v>945</v>
      </c>
      <c r="O53" s="104">
        <f t="shared" si="6"/>
        <v>3250</v>
      </c>
    </row>
    <row r="54" spans="1:15" s="105" customFormat="1" ht="15.75" x14ac:dyDescent="0.25">
      <c r="A54" s="113" t="s">
        <v>133</v>
      </c>
      <c r="B54" s="102">
        <v>44677</v>
      </c>
      <c r="C54" s="25" t="s">
        <v>571</v>
      </c>
      <c r="D54" s="14">
        <v>352</v>
      </c>
      <c r="E54" s="13">
        <v>14</v>
      </c>
      <c r="F54" s="50">
        <f t="shared" si="3"/>
        <v>4928</v>
      </c>
      <c r="G54" s="103"/>
      <c r="H54" s="103"/>
      <c r="I54" s="104"/>
      <c r="J54" s="103"/>
      <c r="K54" s="103">
        <f>2+2+1+1+2+2+2+2+10+2+2+6+3+4+1</f>
        <v>42</v>
      </c>
      <c r="L54" s="103">
        <f t="shared" si="0"/>
        <v>310</v>
      </c>
      <c r="M54" s="103"/>
      <c r="N54" s="103" t="s">
        <v>945</v>
      </c>
      <c r="O54" s="104">
        <f t="shared" si="6"/>
        <v>4340</v>
      </c>
    </row>
    <row r="55" spans="1:15" s="105" customFormat="1" ht="15.75" x14ac:dyDescent="0.25">
      <c r="A55" s="113" t="s">
        <v>134</v>
      </c>
      <c r="B55" s="106" t="s">
        <v>106</v>
      </c>
      <c r="C55" s="26" t="s">
        <v>572</v>
      </c>
      <c r="D55" s="32"/>
      <c r="E55" s="51">
        <v>84.75</v>
      </c>
      <c r="F55" s="50">
        <f t="shared" si="3"/>
        <v>0</v>
      </c>
      <c r="G55" s="107">
        <v>44851</v>
      </c>
      <c r="H55" s="103">
        <v>30</v>
      </c>
      <c r="I55" s="104">
        <v>107.97</v>
      </c>
      <c r="J55" s="104">
        <f>+H55*I55</f>
        <v>3239.1</v>
      </c>
      <c r="K55" s="103">
        <f>2+1+1</f>
        <v>4</v>
      </c>
      <c r="L55" s="103">
        <f t="shared" si="0"/>
        <v>26</v>
      </c>
      <c r="M55" s="103"/>
      <c r="N55" s="103" t="s">
        <v>946</v>
      </c>
      <c r="O55" s="104">
        <f>+L55*I55</f>
        <v>2807.22</v>
      </c>
    </row>
    <row r="56" spans="1:15" s="105" customFormat="1" ht="15.75" x14ac:dyDescent="0.25">
      <c r="A56" s="113" t="s">
        <v>42</v>
      </c>
      <c r="B56" s="102">
        <v>44193</v>
      </c>
      <c r="C56" s="26" t="s">
        <v>573</v>
      </c>
      <c r="D56" s="32"/>
      <c r="E56" s="13">
        <v>169.49</v>
      </c>
      <c r="F56" s="50">
        <f t="shared" si="3"/>
        <v>0</v>
      </c>
      <c r="G56" s="103"/>
      <c r="H56" s="103"/>
      <c r="I56" s="104"/>
      <c r="J56" s="103">
        <f t="shared" ref="J56:J65" si="7">+H56*I56</f>
        <v>0</v>
      </c>
      <c r="K56" s="103"/>
      <c r="L56" s="103">
        <f t="shared" si="0"/>
        <v>0</v>
      </c>
      <c r="M56" s="103"/>
      <c r="N56" s="103" t="s">
        <v>946</v>
      </c>
      <c r="O56" s="104">
        <f t="shared" ref="O56:O64" si="8">+L56*I56</f>
        <v>0</v>
      </c>
    </row>
    <row r="57" spans="1:15" s="105" customFormat="1" ht="15.75" x14ac:dyDescent="0.25">
      <c r="A57" s="113" t="s">
        <v>109</v>
      </c>
      <c r="B57" s="102">
        <v>44193</v>
      </c>
      <c r="C57" s="25" t="s">
        <v>574</v>
      </c>
      <c r="D57" s="14"/>
      <c r="E57" s="13">
        <v>76.27</v>
      </c>
      <c r="F57" s="50">
        <f t="shared" si="3"/>
        <v>0</v>
      </c>
      <c r="G57" s="103"/>
      <c r="H57" s="103"/>
      <c r="I57" s="104"/>
      <c r="J57" s="103">
        <f t="shared" si="7"/>
        <v>0</v>
      </c>
      <c r="K57" s="103"/>
      <c r="L57" s="103">
        <f t="shared" si="0"/>
        <v>0</v>
      </c>
      <c r="M57" s="103"/>
      <c r="N57" s="103" t="s">
        <v>946</v>
      </c>
      <c r="O57" s="104">
        <f t="shared" si="8"/>
        <v>0</v>
      </c>
    </row>
    <row r="58" spans="1:15" s="105" customFormat="1" ht="15.75" x14ac:dyDescent="0.25">
      <c r="A58" s="113" t="s">
        <v>135</v>
      </c>
      <c r="B58" s="102">
        <v>44193</v>
      </c>
      <c r="C58" s="25" t="s">
        <v>575</v>
      </c>
      <c r="D58" s="14"/>
      <c r="E58" s="13">
        <v>93.22</v>
      </c>
      <c r="F58" s="50">
        <f t="shared" si="3"/>
        <v>0</v>
      </c>
      <c r="G58" s="103"/>
      <c r="H58" s="103"/>
      <c r="I58" s="104"/>
      <c r="J58" s="103">
        <f t="shared" si="7"/>
        <v>0</v>
      </c>
      <c r="K58" s="103"/>
      <c r="L58" s="103">
        <f t="shared" si="0"/>
        <v>0</v>
      </c>
      <c r="M58" s="103"/>
      <c r="N58" s="103" t="s">
        <v>946</v>
      </c>
      <c r="O58" s="104">
        <f t="shared" si="8"/>
        <v>0</v>
      </c>
    </row>
    <row r="59" spans="1:15" s="105" customFormat="1" ht="15.75" x14ac:dyDescent="0.25">
      <c r="A59" s="113" t="s">
        <v>43</v>
      </c>
      <c r="B59" s="102">
        <v>44193</v>
      </c>
      <c r="C59" s="26" t="s">
        <v>576</v>
      </c>
      <c r="D59" s="32"/>
      <c r="E59" s="13">
        <v>122.8</v>
      </c>
      <c r="F59" s="50">
        <f t="shared" si="3"/>
        <v>0</v>
      </c>
      <c r="G59" s="107">
        <v>44851</v>
      </c>
      <c r="H59" s="103">
        <v>30</v>
      </c>
      <c r="I59" s="104">
        <v>171.69</v>
      </c>
      <c r="J59" s="104">
        <f t="shared" si="7"/>
        <v>5150.7</v>
      </c>
      <c r="K59" s="103"/>
      <c r="L59" s="103">
        <f t="shared" si="0"/>
        <v>30</v>
      </c>
      <c r="M59" s="103"/>
      <c r="N59" s="103" t="s">
        <v>946</v>
      </c>
      <c r="O59" s="104">
        <f t="shared" si="8"/>
        <v>5150.7</v>
      </c>
    </row>
    <row r="60" spans="1:15" s="105" customFormat="1" ht="15.75" x14ac:dyDescent="0.25">
      <c r="A60" s="113" t="s">
        <v>45</v>
      </c>
      <c r="B60" s="102">
        <v>44453</v>
      </c>
      <c r="C60" s="9" t="s">
        <v>577</v>
      </c>
      <c r="D60" s="48">
        <v>0</v>
      </c>
      <c r="E60" s="13">
        <v>3000</v>
      </c>
      <c r="F60" s="50">
        <f t="shared" si="3"/>
        <v>0</v>
      </c>
      <c r="G60" s="103"/>
      <c r="H60" s="103"/>
      <c r="I60" s="104"/>
      <c r="J60" s="103">
        <f t="shared" si="7"/>
        <v>0</v>
      </c>
      <c r="K60" s="103"/>
      <c r="L60" s="103">
        <f t="shared" si="0"/>
        <v>0</v>
      </c>
      <c r="M60" s="103"/>
      <c r="N60" s="103" t="s">
        <v>946</v>
      </c>
      <c r="O60" s="104">
        <f t="shared" si="8"/>
        <v>0</v>
      </c>
    </row>
    <row r="61" spans="1:15" s="105" customFormat="1" ht="15.75" x14ac:dyDescent="0.25">
      <c r="A61" s="113" t="s">
        <v>46</v>
      </c>
      <c r="B61" s="102">
        <v>44193</v>
      </c>
      <c r="C61" s="26" t="s">
        <v>578</v>
      </c>
      <c r="D61" s="32">
        <v>0</v>
      </c>
      <c r="E61" s="13">
        <v>63.56</v>
      </c>
      <c r="F61" s="50">
        <f t="shared" si="3"/>
        <v>0</v>
      </c>
      <c r="G61" s="103"/>
      <c r="H61" s="103"/>
      <c r="I61" s="104"/>
      <c r="J61" s="103">
        <f t="shared" si="7"/>
        <v>0</v>
      </c>
      <c r="K61" s="103"/>
      <c r="L61" s="103">
        <f t="shared" si="0"/>
        <v>0</v>
      </c>
      <c r="M61" s="103"/>
      <c r="N61" s="103" t="s">
        <v>946</v>
      </c>
      <c r="O61" s="104">
        <f t="shared" si="8"/>
        <v>0</v>
      </c>
    </row>
    <row r="62" spans="1:15" s="105" customFormat="1" ht="15.75" x14ac:dyDescent="0.25">
      <c r="A62" s="113" t="s">
        <v>47</v>
      </c>
      <c r="B62" s="102">
        <v>44193</v>
      </c>
      <c r="C62" s="26" t="s">
        <v>819</v>
      </c>
      <c r="D62" s="32">
        <v>2</v>
      </c>
      <c r="E62" s="13"/>
      <c r="F62" s="50"/>
      <c r="G62" s="103"/>
      <c r="H62" s="103"/>
      <c r="I62" s="104"/>
      <c r="J62" s="103">
        <f t="shared" si="7"/>
        <v>0</v>
      </c>
      <c r="K62" s="103"/>
      <c r="L62" s="103">
        <f t="shared" si="0"/>
        <v>2</v>
      </c>
      <c r="M62" s="103"/>
      <c r="N62" s="103" t="s">
        <v>946</v>
      </c>
      <c r="O62" s="104">
        <f>+E62*L62</f>
        <v>0</v>
      </c>
    </row>
    <row r="63" spans="1:15" s="105" customFormat="1" ht="15.75" x14ac:dyDescent="0.25">
      <c r="A63" s="113" t="s">
        <v>48</v>
      </c>
      <c r="B63" s="102">
        <v>44193</v>
      </c>
      <c r="C63" s="26" t="s">
        <v>817</v>
      </c>
      <c r="D63" s="32">
        <v>7</v>
      </c>
      <c r="E63" s="13"/>
      <c r="F63" s="50"/>
      <c r="G63" s="103"/>
      <c r="H63" s="103"/>
      <c r="I63" s="104"/>
      <c r="J63" s="103">
        <f t="shared" si="7"/>
        <v>0</v>
      </c>
      <c r="K63" s="103"/>
      <c r="L63" s="103">
        <f t="shared" si="0"/>
        <v>7</v>
      </c>
      <c r="M63" s="103"/>
      <c r="N63" s="103" t="s">
        <v>946</v>
      </c>
      <c r="O63" s="104">
        <f t="shared" si="8"/>
        <v>0</v>
      </c>
    </row>
    <row r="64" spans="1:15" s="105" customFormat="1" ht="15.75" x14ac:dyDescent="0.25">
      <c r="A64" s="113" t="s">
        <v>49</v>
      </c>
      <c r="B64" s="102">
        <v>44193</v>
      </c>
      <c r="C64" s="26" t="s">
        <v>818</v>
      </c>
      <c r="D64" s="32">
        <v>8</v>
      </c>
      <c r="E64" s="13"/>
      <c r="F64" s="50"/>
      <c r="G64" s="103"/>
      <c r="H64" s="103"/>
      <c r="I64" s="104"/>
      <c r="J64" s="103">
        <f t="shared" si="7"/>
        <v>0</v>
      </c>
      <c r="K64" s="103"/>
      <c r="L64" s="103">
        <f t="shared" si="0"/>
        <v>8</v>
      </c>
      <c r="M64" s="103"/>
      <c r="N64" s="103" t="s">
        <v>946</v>
      </c>
      <c r="O64" s="104">
        <f t="shared" si="8"/>
        <v>0</v>
      </c>
    </row>
    <row r="65" spans="1:15" s="105" customFormat="1" ht="15.75" x14ac:dyDescent="0.25">
      <c r="A65" s="113" t="s">
        <v>50</v>
      </c>
      <c r="B65" s="106" t="s">
        <v>116</v>
      </c>
      <c r="C65" s="25" t="s">
        <v>720</v>
      </c>
      <c r="D65" s="32">
        <v>1</v>
      </c>
      <c r="E65" s="51">
        <v>3000</v>
      </c>
      <c r="F65" s="50">
        <f>D65*E65</f>
        <v>3000</v>
      </c>
      <c r="G65" s="103"/>
      <c r="H65" s="103"/>
      <c r="I65" s="104"/>
      <c r="J65" s="103">
        <f t="shared" si="7"/>
        <v>0</v>
      </c>
      <c r="K65" s="103"/>
      <c r="L65" s="103">
        <f t="shared" si="0"/>
        <v>1</v>
      </c>
      <c r="M65" s="103"/>
      <c r="N65" s="103" t="s">
        <v>947</v>
      </c>
      <c r="O65" s="104">
        <f>+L65*E65</f>
        <v>3000</v>
      </c>
    </row>
    <row r="66" spans="1:15" s="105" customFormat="1" ht="15.75" x14ac:dyDescent="0.25">
      <c r="A66" s="113" t="s">
        <v>51</v>
      </c>
      <c r="B66" s="102">
        <v>44193</v>
      </c>
      <c r="C66" s="26" t="s">
        <v>579</v>
      </c>
      <c r="D66" s="32">
        <v>0</v>
      </c>
      <c r="E66" s="13">
        <v>35</v>
      </c>
      <c r="F66" s="50">
        <f t="shared" ref="F66:F87" si="9">D66*E66</f>
        <v>0</v>
      </c>
      <c r="G66" s="103"/>
      <c r="H66" s="103"/>
      <c r="I66" s="104"/>
      <c r="J66" s="103"/>
      <c r="K66" s="103"/>
      <c r="L66" s="103">
        <f t="shared" si="0"/>
        <v>0</v>
      </c>
      <c r="M66" s="103"/>
      <c r="N66" s="103" t="s">
        <v>946</v>
      </c>
      <c r="O66" s="104">
        <f>+E66*L66</f>
        <v>0</v>
      </c>
    </row>
    <row r="67" spans="1:15" s="105" customFormat="1" ht="15.75" x14ac:dyDescent="0.25">
      <c r="A67" s="113" t="s">
        <v>52</v>
      </c>
      <c r="B67" s="102">
        <v>44193</v>
      </c>
      <c r="C67" s="25" t="s">
        <v>794</v>
      </c>
      <c r="D67" s="38">
        <v>1</v>
      </c>
      <c r="E67" s="13">
        <v>97.96</v>
      </c>
      <c r="F67" s="50">
        <f t="shared" si="9"/>
        <v>97.96</v>
      </c>
      <c r="G67" s="103"/>
      <c r="H67" s="103"/>
      <c r="I67" s="104"/>
      <c r="J67" s="103"/>
      <c r="K67" s="103"/>
      <c r="L67" s="103">
        <f t="shared" si="0"/>
        <v>1</v>
      </c>
      <c r="M67" s="103"/>
      <c r="N67" s="103" t="s">
        <v>946</v>
      </c>
      <c r="O67" s="104">
        <f t="shared" ref="O67:O101" si="10">+E67*L67</f>
        <v>97.96</v>
      </c>
    </row>
    <row r="68" spans="1:15" s="105" customFormat="1" ht="15.75" x14ac:dyDescent="0.25">
      <c r="A68" s="113" t="s">
        <v>53</v>
      </c>
      <c r="B68" s="102">
        <v>44193</v>
      </c>
      <c r="C68" s="9" t="s">
        <v>580</v>
      </c>
      <c r="D68" s="58">
        <v>22</v>
      </c>
      <c r="E68" s="13">
        <v>18</v>
      </c>
      <c r="F68" s="50">
        <f t="shared" si="9"/>
        <v>396</v>
      </c>
      <c r="G68" s="103"/>
      <c r="H68" s="103"/>
      <c r="I68" s="104"/>
      <c r="J68" s="103"/>
      <c r="K68" s="103"/>
      <c r="L68" s="103">
        <f t="shared" si="0"/>
        <v>22</v>
      </c>
      <c r="M68" s="103"/>
      <c r="N68" s="103" t="s">
        <v>947</v>
      </c>
      <c r="O68" s="104">
        <f t="shared" si="10"/>
        <v>396</v>
      </c>
    </row>
    <row r="69" spans="1:15" s="105" customFormat="1" ht="15.75" x14ac:dyDescent="0.25">
      <c r="A69" s="113" t="s">
        <v>44</v>
      </c>
      <c r="B69" s="102">
        <v>44193</v>
      </c>
      <c r="C69" s="9" t="s">
        <v>581</v>
      </c>
      <c r="D69" s="48">
        <v>0</v>
      </c>
      <c r="E69" s="13">
        <v>114</v>
      </c>
      <c r="F69" s="50">
        <f t="shared" si="9"/>
        <v>0</v>
      </c>
      <c r="G69" s="103"/>
      <c r="H69" s="103"/>
      <c r="I69" s="104"/>
      <c r="J69" s="103"/>
      <c r="K69" s="103"/>
      <c r="L69" s="103">
        <f t="shared" si="0"/>
        <v>0</v>
      </c>
      <c r="M69" s="103"/>
      <c r="N69" s="103" t="s">
        <v>947</v>
      </c>
      <c r="O69" s="104">
        <f t="shared" si="10"/>
        <v>0</v>
      </c>
    </row>
    <row r="70" spans="1:15" s="105" customFormat="1" ht="15.75" x14ac:dyDescent="0.25">
      <c r="A70" s="113" t="s">
        <v>113</v>
      </c>
      <c r="B70" s="102">
        <v>44193</v>
      </c>
      <c r="C70" s="9" t="s">
        <v>582</v>
      </c>
      <c r="D70" s="48">
        <v>50</v>
      </c>
      <c r="E70" s="13">
        <v>150</v>
      </c>
      <c r="F70" s="50">
        <f t="shared" si="9"/>
        <v>7500</v>
      </c>
      <c r="G70" s="103"/>
      <c r="H70" s="103"/>
      <c r="I70" s="104"/>
      <c r="J70" s="103"/>
      <c r="K70" s="103"/>
      <c r="L70" s="103">
        <f t="shared" si="0"/>
        <v>50</v>
      </c>
      <c r="M70" s="103"/>
      <c r="N70" s="103" t="s">
        <v>947</v>
      </c>
      <c r="O70" s="104">
        <f t="shared" si="10"/>
        <v>7500</v>
      </c>
    </row>
    <row r="71" spans="1:15" s="105" customFormat="1" ht="15.75" x14ac:dyDescent="0.25">
      <c r="A71" s="113" t="s">
        <v>136</v>
      </c>
      <c r="B71" s="102">
        <v>44193</v>
      </c>
      <c r="C71" s="26" t="s">
        <v>583</v>
      </c>
      <c r="D71" s="14">
        <v>0</v>
      </c>
      <c r="E71" s="13">
        <v>105.93</v>
      </c>
      <c r="F71" s="50">
        <f t="shared" si="9"/>
        <v>0</v>
      </c>
      <c r="G71" s="103"/>
      <c r="H71" s="103"/>
      <c r="I71" s="104"/>
      <c r="J71" s="103"/>
      <c r="K71" s="103"/>
      <c r="L71" s="103">
        <f t="shared" si="0"/>
        <v>0</v>
      </c>
      <c r="M71" s="103"/>
      <c r="N71" s="103" t="s">
        <v>946</v>
      </c>
      <c r="O71" s="104">
        <f t="shared" si="10"/>
        <v>0</v>
      </c>
    </row>
    <row r="72" spans="1:15" s="105" customFormat="1" ht="15.75" x14ac:dyDescent="0.25">
      <c r="A72" s="113" t="s">
        <v>137</v>
      </c>
      <c r="B72" s="102">
        <v>44193</v>
      </c>
      <c r="C72" s="26" t="s">
        <v>584</v>
      </c>
      <c r="D72" s="14">
        <v>1</v>
      </c>
      <c r="E72" s="13">
        <v>762.71</v>
      </c>
      <c r="F72" s="50">
        <f t="shared" si="9"/>
        <v>762.71</v>
      </c>
      <c r="G72" s="103"/>
      <c r="H72" s="103"/>
      <c r="I72" s="104"/>
      <c r="J72" s="103"/>
      <c r="K72" s="103"/>
      <c r="L72" s="103">
        <f t="shared" si="0"/>
        <v>1</v>
      </c>
      <c r="M72" s="103"/>
      <c r="N72" s="103" t="s">
        <v>946</v>
      </c>
      <c r="O72" s="104">
        <f t="shared" si="10"/>
        <v>762.71</v>
      </c>
    </row>
    <row r="73" spans="1:15" s="105" customFormat="1" ht="15.75" x14ac:dyDescent="0.25">
      <c r="A73" s="113" t="s">
        <v>138</v>
      </c>
      <c r="B73" s="102">
        <v>44193</v>
      </c>
      <c r="C73" s="26" t="s">
        <v>585</v>
      </c>
      <c r="D73" s="14">
        <v>0</v>
      </c>
      <c r="E73" s="13">
        <v>338.98</v>
      </c>
      <c r="F73" s="50">
        <f t="shared" si="9"/>
        <v>0</v>
      </c>
      <c r="G73" s="103"/>
      <c r="H73" s="103"/>
      <c r="I73" s="104"/>
      <c r="J73" s="103"/>
      <c r="K73" s="103"/>
      <c r="L73" s="103">
        <f t="shared" ref="L73:L74" si="11">+D73+H73-K73</f>
        <v>0</v>
      </c>
      <c r="M73" s="103"/>
      <c r="N73" s="103" t="s">
        <v>946</v>
      </c>
      <c r="O73" s="104">
        <f t="shared" si="10"/>
        <v>0</v>
      </c>
    </row>
    <row r="74" spans="1:15" s="105" customFormat="1" ht="15.75" x14ac:dyDescent="0.25">
      <c r="A74" s="113" t="s">
        <v>54</v>
      </c>
      <c r="B74" s="102">
        <v>44193</v>
      </c>
      <c r="C74" s="9" t="s">
        <v>586</v>
      </c>
      <c r="D74" s="30">
        <v>8</v>
      </c>
      <c r="E74" s="13">
        <v>17.07</v>
      </c>
      <c r="F74" s="50">
        <f t="shared" si="9"/>
        <v>136.56</v>
      </c>
      <c r="G74" s="103"/>
      <c r="H74" s="103"/>
      <c r="I74" s="104"/>
      <c r="J74" s="103"/>
      <c r="K74" s="103"/>
      <c r="L74" s="103">
        <f t="shared" si="11"/>
        <v>8</v>
      </c>
      <c r="M74" s="103"/>
      <c r="N74" s="103" t="s">
        <v>947</v>
      </c>
      <c r="O74" s="104">
        <f t="shared" si="10"/>
        <v>136.56</v>
      </c>
    </row>
    <row r="75" spans="1:15" s="105" customFormat="1" ht="15.75" x14ac:dyDescent="0.25">
      <c r="A75" s="113" t="s">
        <v>55</v>
      </c>
      <c r="B75" s="102">
        <v>44193</v>
      </c>
      <c r="C75" s="26" t="s">
        <v>587</v>
      </c>
      <c r="D75" s="30">
        <v>129</v>
      </c>
      <c r="E75" s="13">
        <v>134</v>
      </c>
      <c r="F75" s="50">
        <f t="shared" si="9"/>
        <v>17286</v>
      </c>
      <c r="G75" s="103"/>
      <c r="H75" s="103"/>
      <c r="I75" s="104"/>
      <c r="J75" s="103"/>
      <c r="K75" s="103">
        <f>1+2+2+1</f>
        <v>6</v>
      </c>
      <c r="L75" s="103">
        <f>+D75+H75-K75</f>
        <v>123</v>
      </c>
      <c r="M75" s="103"/>
      <c r="N75" s="103" t="s">
        <v>945</v>
      </c>
      <c r="O75" s="104">
        <f t="shared" si="10"/>
        <v>16482</v>
      </c>
    </row>
    <row r="76" spans="1:15" s="105" customFormat="1" ht="15.75" x14ac:dyDescent="0.25">
      <c r="A76" s="113" t="s">
        <v>56</v>
      </c>
      <c r="B76" s="106" t="s">
        <v>106</v>
      </c>
      <c r="C76" s="26" t="s">
        <v>774</v>
      </c>
      <c r="D76" s="30">
        <v>67</v>
      </c>
      <c r="E76" s="51">
        <v>50</v>
      </c>
      <c r="F76" s="50">
        <f t="shared" si="9"/>
        <v>3350</v>
      </c>
      <c r="G76" s="103"/>
      <c r="H76" s="103"/>
      <c r="I76" s="104"/>
      <c r="J76" s="103"/>
      <c r="K76" s="103">
        <f>2+4+1+2+1</f>
        <v>10</v>
      </c>
      <c r="L76" s="103">
        <f t="shared" ref="L76:L82" si="12">+D76+H76-K76</f>
        <v>57</v>
      </c>
      <c r="M76" s="103"/>
      <c r="N76" s="103" t="s">
        <v>945</v>
      </c>
      <c r="O76" s="104">
        <f t="shared" si="10"/>
        <v>2850</v>
      </c>
    </row>
    <row r="77" spans="1:15" s="105" customFormat="1" ht="15.75" x14ac:dyDescent="0.25">
      <c r="A77" s="113" t="s">
        <v>100</v>
      </c>
      <c r="B77" s="102">
        <v>44488</v>
      </c>
      <c r="C77" s="26" t="s">
        <v>589</v>
      </c>
      <c r="D77" s="30">
        <v>3</v>
      </c>
      <c r="E77" s="13">
        <v>2200</v>
      </c>
      <c r="F77" s="50">
        <f t="shared" si="9"/>
        <v>6600</v>
      </c>
      <c r="G77" s="103"/>
      <c r="H77" s="103"/>
      <c r="I77" s="104"/>
      <c r="J77" s="103"/>
      <c r="K77" s="103"/>
      <c r="L77" s="103">
        <f t="shared" si="12"/>
        <v>3</v>
      </c>
      <c r="M77" s="103"/>
      <c r="N77" s="103" t="s">
        <v>945</v>
      </c>
      <c r="O77" s="104">
        <f>+E77*L77</f>
        <v>6600</v>
      </c>
    </row>
    <row r="78" spans="1:15" s="105" customFormat="1" ht="15.75" x14ac:dyDescent="0.25">
      <c r="A78" s="113" t="s">
        <v>57</v>
      </c>
      <c r="B78" s="102">
        <v>44193</v>
      </c>
      <c r="C78" s="9" t="s">
        <v>590</v>
      </c>
      <c r="D78" s="30">
        <v>0</v>
      </c>
      <c r="E78" s="13">
        <v>402.54</v>
      </c>
      <c r="F78" s="50">
        <f t="shared" si="9"/>
        <v>0</v>
      </c>
      <c r="G78" s="103"/>
      <c r="H78" s="103"/>
      <c r="I78" s="104"/>
      <c r="J78" s="103"/>
      <c r="K78" s="103"/>
      <c r="L78" s="103">
        <f t="shared" si="12"/>
        <v>0</v>
      </c>
      <c r="M78" s="103"/>
      <c r="N78" s="103" t="s">
        <v>946</v>
      </c>
      <c r="O78" s="104">
        <f t="shared" si="10"/>
        <v>0</v>
      </c>
    </row>
    <row r="79" spans="1:15" s="105" customFormat="1" ht="15.75" x14ac:dyDescent="0.25">
      <c r="A79" s="113" t="s">
        <v>139</v>
      </c>
      <c r="B79" s="102">
        <v>44193</v>
      </c>
      <c r="C79" s="9" t="s">
        <v>591</v>
      </c>
      <c r="D79" s="30">
        <v>11</v>
      </c>
      <c r="E79" s="13">
        <v>37.74</v>
      </c>
      <c r="F79" s="50">
        <f t="shared" si="9"/>
        <v>415.14000000000004</v>
      </c>
      <c r="G79" s="103"/>
      <c r="H79" s="103"/>
      <c r="I79" s="104"/>
      <c r="J79" s="103"/>
      <c r="K79" s="103"/>
      <c r="L79" s="103">
        <f t="shared" si="12"/>
        <v>11</v>
      </c>
      <c r="M79" s="103"/>
      <c r="N79" s="103" t="s">
        <v>946</v>
      </c>
      <c r="O79" s="104">
        <f t="shared" si="10"/>
        <v>415.14000000000004</v>
      </c>
    </row>
    <row r="80" spans="1:15" s="105" customFormat="1" ht="15.75" x14ac:dyDescent="0.25">
      <c r="A80" s="113" t="s">
        <v>140</v>
      </c>
      <c r="B80" s="102">
        <v>44193</v>
      </c>
      <c r="C80" s="9" t="s">
        <v>592</v>
      </c>
      <c r="D80" s="30">
        <v>0</v>
      </c>
      <c r="E80" s="13">
        <v>55</v>
      </c>
      <c r="F80" s="50">
        <f t="shared" si="9"/>
        <v>0</v>
      </c>
      <c r="G80" s="107">
        <v>44883</v>
      </c>
      <c r="H80" s="103">
        <v>25</v>
      </c>
      <c r="I80" s="104">
        <v>68.06</v>
      </c>
      <c r="J80" s="103">
        <f>+I80*H80</f>
        <v>1701.5</v>
      </c>
      <c r="K80" s="103">
        <v>1</v>
      </c>
      <c r="L80" s="103">
        <f t="shared" si="12"/>
        <v>24</v>
      </c>
      <c r="M80" s="103" t="s">
        <v>1037</v>
      </c>
      <c r="N80" s="103" t="s">
        <v>947</v>
      </c>
      <c r="O80" s="104">
        <f t="shared" si="10"/>
        <v>1320</v>
      </c>
    </row>
    <row r="81" spans="1:15" s="105" customFormat="1" ht="15.75" x14ac:dyDescent="0.25">
      <c r="A81" s="113" t="s">
        <v>141</v>
      </c>
      <c r="B81" s="102">
        <v>44193</v>
      </c>
      <c r="C81" s="9" t="s">
        <v>593</v>
      </c>
      <c r="D81" s="30">
        <v>6</v>
      </c>
      <c r="E81" s="13">
        <v>4740</v>
      </c>
      <c r="F81" s="50">
        <f t="shared" si="9"/>
        <v>28440</v>
      </c>
      <c r="G81" s="103"/>
      <c r="H81" s="103"/>
      <c r="I81" s="104"/>
      <c r="J81" s="103"/>
      <c r="K81" s="103"/>
      <c r="L81" s="103">
        <f t="shared" si="12"/>
        <v>6</v>
      </c>
      <c r="M81" s="103"/>
      <c r="N81" s="103" t="s">
        <v>947</v>
      </c>
      <c r="O81" s="104">
        <f>+E81*L81</f>
        <v>28440</v>
      </c>
    </row>
    <row r="82" spans="1:15" s="105" customFormat="1" ht="15.75" x14ac:dyDescent="0.25">
      <c r="A82" s="113" t="s">
        <v>58</v>
      </c>
      <c r="B82" s="102">
        <v>44193</v>
      </c>
      <c r="C82" s="9" t="s">
        <v>594</v>
      </c>
      <c r="D82" s="30">
        <v>1</v>
      </c>
      <c r="E82" s="13">
        <v>2535</v>
      </c>
      <c r="F82" s="50">
        <f t="shared" si="9"/>
        <v>2535</v>
      </c>
      <c r="G82" s="103"/>
      <c r="H82" s="103"/>
      <c r="I82" s="104"/>
      <c r="J82" s="103"/>
      <c r="K82" s="103"/>
      <c r="L82" s="103">
        <f t="shared" si="12"/>
        <v>1</v>
      </c>
      <c r="M82" s="103"/>
      <c r="N82" s="103" t="s">
        <v>947</v>
      </c>
      <c r="O82" s="104">
        <f t="shared" si="10"/>
        <v>2535</v>
      </c>
    </row>
    <row r="83" spans="1:15" s="105" customFormat="1" ht="15.75" x14ac:dyDescent="0.25">
      <c r="A83" s="113" t="s">
        <v>59</v>
      </c>
      <c r="B83" s="102">
        <v>44193</v>
      </c>
      <c r="C83" s="9" t="s">
        <v>595</v>
      </c>
      <c r="D83" s="30">
        <v>0</v>
      </c>
      <c r="E83" s="13">
        <v>211.86</v>
      </c>
      <c r="F83" s="50">
        <f t="shared" si="9"/>
        <v>0</v>
      </c>
      <c r="G83" s="103"/>
      <c r="H83" s="103"/>
      <c r="I83" s="104"/>
      <c r="J83" s="103"/>
      <c r="K83" s="103"/>
      <c r="L83" s="103">
        <f>+D83+H83-K83</f>
        <v>0</v>
      </c>
      <c r="M83" s="103"/>
      <c r="N83" s="103" t="s">
        <v>947</v>
      </c>
      <c r="O83" s="104">
        <f t="shared" si="10"/>
        <v>0</v>
      </c>
    </row>
    <row r="84" spans="1:15" s="105" customFormat="1" ht="15.75" x14ac:dyDescent="0.25">
      <c r="A84" s="113" t="s">
        <v>60</v>
      </c>
      <c r="B84" s="102">
        <v>44193</v>
      </c>
      <c r="C84" s="9" t="s">
        <v>596</v>
      </c>
      <c r="D84" s="30">
        <v>0</v>
      </c>
      <c r="E84" s="13">
        <v>70</v>
      </c>
      <c r="F84" s="50">
        <f t="shared" si="9"/>
        <v>0</v>
      </c>
      <c r="G84" s="103"/>
      <c r="H84" s="103"/>
      <c r="I84" s="104"/>
      <c r="J84" s="103"/>
      <c r="K84" s="103"/>
      <c r="L84" s="103">
        <f t="shared" ref="L84:L96" si="13">+D84+H84-K84</f>
        <v>0</v>
      </c>
      <c r="M84" s="103"/>
      <c r="N84" s="103" t="s">
        <v>947</v>
      </c>
      <c r="O84" s="104">
        <f t="shared" si="10"/>
        <v>0</v>
      </c>
    </row>
    <row r="85" spans="1:15" s="105" customFormat="1" ht="15.75" x14ac:dyDescent="0.25">
      <c r="A85" s="113" t="s">
        <v>61</v>
      </c>
      <c r="B85" s="102">
        <v>44193</v>
      </c>
      <c r="C85" s="26" t="s">
        <v>597</v>
      </c>
      <c r="D85" s="30">
        <v>2</v>
      </c>
      <c r="E85" s="13">
        <v>148.31</v>
      </c>
      <c r="F85" s="50">
        <f t="shared" si="9"/>
        <v>296.62</v>
      </c>
      <c r="G85" s="103"/>
      <c r="H85" s="103"/>
      <c r="I85" s="104"/>
      <c r="J85" s="103"/>
      <c r="K85" s="103"/>
      <c r="L85" s="103">
        <f t="shared" si="13"/>
        <v>2</v>
      </c>
      <c r="M85" s="103"/>
      <c r="N85" s="103" t="s">
        <v>947</v>
      </c>
      <c r="O85" s="104">
        <f t="shared" si="10"/>
        <v>296.62</v>
      </c>
    </row>
    <row r="86" spans="1:15" s="105" customFormat="1" ht="15.75" x14ac:dyDescent="0.25">
      <c r="A86" s="113" t="s">
        <v>62</v>
      </c>
      <c r="B86" s="102">
        <v>44547</v>
      </c>
      <c r="C86" s="9" t="s">
        <v>598</v>
      </c>
      <c r="D86" s="30">
        <v>24</v>
      </c>
      <c r="E86" s="13">
        <v>200</v>
      </c>
      <c r="F86" s="50">
        <f t="shared" si="9"/>
        <v>4800</v>
      </c>
      <c r="G86" s="103"/>
      <c r="H86" s="103"/>
      <c r="I86" s="104"/>
      <c r="J86" s="103"/>
      <c r="K86" s="103"/>
      <c r="L86" s="103">
        <f t="shared" si="13"/>
        <v>24</v>
      </c>
      <c r="M86" s="103"/>
      <c r="N86" s="103" t="s">
        <v>947</v>
      </c>
      <c r="O86" s="104">
        <f t="shared" si="10"/>
        <v>4800</v>
      </c>
    </row>
    <row r="87" spans="1:15" s="105" customFormat="1" ht="15.75" x14ac:dyDescent="0.25">
      <c r="A87" s="113" t="s">
        <v>63</v>
      </c>
      <c r="B87" s="102">
        <v>44193</v>
      </c>
      <c r="C87" s="9" t="s">
        <v>599</v>
      </c>
      <c r="D87" s="30">
        <v>0</v>
      </c>
      <c r="E87" s="13">
        <v>65</v>
      </c>
      <c r="F87" s="50">
        <f t="shared" si="9"/>
        <v>0</v>
      </c>
      <c r="G87" s="107">
        <v>44852</v>
      </c>
      <c r="H87" s="103">
        <v>10</v>
      </c>
      <c r="I87" s="104">
        <v>46</v>
      </c>
      <c r="J87" s="108">
        <f>+I87*H87</f>
        <v>460</v>
      </c>
      <c r="K87" s="103"/>
      <c r="L87" s="103">
        <f t="shared" si="13"/>
        <v>10</v>
      </c>
      <c r="M87" s="103"/>
      <c r="N87" s="103" t="s">
        <v>947</v>
      </c>
      <c r="O87" s="104">
        <f t="shared" si="10"/>
        <v>650</v>
      </c>
    </row>
    <row r="88" spans="1:15" s="105" customFormat="1" ht="15.75" x14ac:dyDescent="0.25">
      <c r="A88" s="113" t="s">
        <v>64</v>
      </c>
      <c r="B88" s="102">
        <v>44193</v>
      </c>
      <c r="C88" s="25" t="s">
        <v>850</v>
      </c>
      <c r="D88" s="38">
        <v>1</v>
      </c>
      <c r="E88" s="13"/>
      <c r="F88" s="50"/>
      <c r="G88" s="103"/>
      <c r="H88" s="103"/>
      <c r="I88" s="104"/>
      <c r="J88" s="103"/>
      <c r="K88" s="103"/>
      <c r="L88" s="103">
        <f t="shared" si="13"/>
        <v>1</v>
      </c>
      <c r="M88" s="103"/>
      <c r="N88" s="103" t="s">
        <v>945</v>
      </c>
      <c r="O88" s="104">
        <f t="shared" si="10"/>
        <v>0</v>
      </c>
    </row>
    <row r="89" spans="1:15" s="105" customFormat="1" ht="15.75" x14ac:dyDescent="0.25">
      <c r="A89" s="113" t="s">
        <v>65</v>
      </c>
      <c r="B89" s="102">
        <v>44193</v>
      </c>
      <c r="C89" s="9" t="s">
        <v>851</v>
      </c>
      <c r="D89" s="30">
        <v>6</v>
      </c>
      <c r="E89" s="13">
        <v>9.5833333333333339</v>
      </c>
      <c r="F89" s="50">
        <f>D89*E89</f>
        <v>57.5</v>
      </c>
      <c r="G89" s="107">
        <v>44851</v>
      </c>
      <c r="H89" s="103">
        <f>10*12</f>
        <v>120</v>
      </c>
      <c r="I89" s="104">
        <v>7.09</v>
      </c>
      <c r="J89" s="103">
        <f>+I89*H89</f>
        <v>850.8</v>
      </c>
      <c r="K89" s="103"/>
      <c r="L89" s="103">
        <f t="shared" si="13"/>
        <v>126</v>
      </c>
      <c r="M89" s="103"/>
      <c r="N89" s="108" t="s">
        <v>947</v>
      </c>
      <c r="O89" s="104">
        <f>+L89*I89</f>
        <v>893.34</v>
      </c>
    </row>
    <row r="90" spans="1:15" s="105" customFormat="1" ht="15.75" x14ac:dyDescent="0.25">
      <c r="A90" s="113" t="s">
        <v>66</v>
      </c>
      <c r="B90" s="102">
        <v>44547</v>
      </c>
      <c r="C90" s="9" t="s">
        <v>775</v>
      </c>
      <c r="D90" s="30">
        <v>10</v>
      </c>
      <c r="E90" s="13">
        <v>155</v>
      </c>
      <c r="F90" s="50">
        <f>D90*E90</f>
        <v>1550</v>
      </c>
      <c r="G90" s="103"/>
      <c r="H90" s="103"/>
      <c r="I90" s="104"/>
      <c r="J90" s="103"/>
      <c r="K90" s="103"/>
      <c r="L90" s="103">
        <f t="shared" si="13"/>
        <v>10</v>
      </c>
      <c r="M90" s="103"/>
      <c r="N90" s="103" t="s">
        <v>947</v>
      </c>
      <c r="O90" s="104">
        <f t="shared" si="10"/>
        <v>1550</v>
      </c>
    </row>
    <row r="91" spans="1:15" s="105" customFormat="1" ht="15.75" x14ac:dyDescent="0.25">
      <c r="A91" s="113" t="s">
        <v>68</v>
      </c>
      <c r="B91" s="102">
        <v>44453</v>
      </c>
      <c r="C91" s="25" t="s">
        <v>603</v>
      </c>
      <c r="D91" s="14">
        <v>4</v>
      </c>
      <c r="E91" s="13">
        <v>7500</v>
      </c>
      <c r="F91" s="50">
        <f>D91*E91</f>
        <v>30000</v>
      </c>
      <c r="G91" s="103"/>
      <c r="H91" s="103"/>
      <c r="I91" s="104"/>
      <c r="J91" s="103"/>
      <c r="K91" s="103">
        <v>1</v>
      </c>
      <c r="L91" s="103">
        <f t="shared" si="13"/>
        <v>3</v>
      </c>
      <c r="M91" s="103"/>
      <c r="N91" s="103" t="s">
        <v>945</v>
      </c>
      <c r="O91" s="104">
        <f>+E91*L91</f>
        <v>22500</v>
      </c>
    </row>
    <row r="92" spans="1:15" s="105" customFormat="1" ht="15.75" x14ac:dyDescent="0.25">
      <c r="A92" s="113" t="s">
        <v>67</v>
      </c>
      <c r="B92" s="102">
        <v>44659</v>
      </c>
      <c r="C92" s="25" t="s">
        <v>776</v>
      </c>
      <c r="D92" s="14">
        <v>108</v>
      </c>
      <c r="E92" s="13">
        <v>156.66667000000001</v>
      </c>
      <c r="F92" s="50">
        <f>D92*E92</f>
        <v>16920.000360000002</v>
      </c>
      <c r="G92" s="103"/>
      <c r="H92" s="103"/>
      <c r="I92" s="104"/>
      <c r="J92" s="103"/>
      <c r="K92" s="103">
        <f>1+1+1+2+1+1+1+1+1+1+1+1+1+1+1+1+1+1+1+1+1+1+1+1+1+1+1+1+1+1+1+1+1+1+1+1</f>
        <v>37</v>
      </c>
      <c r="L92" s="103">
        <f t="shared" si="13"/>
        <v>71</v>
      </c>
      <c r="M92" s="103"/>
      <c r="N92" s="103" t="s">
        <v>945</v>
      </c>
      <c r="O92" s="104">
        <f t="shared" si="10"/>
        <v>11123.333570000001</v>
      </c>
    </row>
    <row r="93" spans="1:15" s="105" customFormat="1" ht="15.75" x14ac:dyDescent="0.25">
      <c r="A93" s="113" t="s">
        <v>69</v>
      </c>
      <c r="B93" s="102">
        <v>44193</v>
      </c>
      <c r="C93" s="25" t="s">
        <v>844</v>
      </c>
      <c r="D93" s="14">
        <v>20</v>
      </c>
      <c r="E93" s="13">
        <v>30.5</v>
      </c>
      <c r="F93" s="50">
        <f>D93*E93</f>
        <v>610</v>
      </c>
      <c r="G93" s="103"/>
      <c r="H93" s="103"/>
      <c r="I93" s="104"/>
      <c r="J93" s="103"/>
      <c r="K93" s="103"/>
      <c r="L93" s="103">
        <f t="shared" si="13"/>
        <v>20</v>
      </c>
      <c r="M93" s="103"/>
      <c r="N93" s="103" t="s">
        <v>946</v>
      </c>
      <c r="O93" s="104">
        <f t="shared" si="10"/>
        <v>610</v>
      </c>
    </row>
    <row r="94" spans="1:15" s="105" customFormat="1" ht="15.75" x14ac:dyDescent="0.25">
      <c r="A94" s="113" t="s">
        <v>103</v>
      </c>
      <c r="B94" s="102">
        <v>44193</v>
      </c>
      <c r="C94" s="25" t="s">
        <v>789</v>
      </c>
      <c r="D94" s="14">
        <f>21+8+14</f>
        <v>43</v>
      </c>
      <c r="E94" s="13">
        <v>11.24</v>
      </c>
      <c r="F94" s="50">
        <f t="shared" ref="F94:F132" si="14">D94*E94</f>
        <v>483.32</v>
      </c>
      <c r="G94" s="103"/>
      <c r="H94" s="103"/>
      <c r="I94" s="104"/>
      <c r="J94" s="103"/>
      <c r="K94" s="103">
        <v>1</v>
      </c>
      <c r="L94" s="103">
        <f t="shared" si="13"/>
        <v>42</v>
      </c>
      <c r="M94" s="103"/>
      <c r="N94" s="103" t="s">
        <v>946</v>
      </c>
      <c r="O94" s="104">
        <f t="shared" si="10"/>
        <v>472.08</v>
      </c>
    </row>
    <row r="95" spans="1:15" s="105" customFormat="1" ht="15.75" x14ac:dyDescent="0.25">
      <c r="A95" s="113" t="s">
        <v>104</v>
      </c>
      <c r="B95" s="102">
        <v>44193</v>
      </c>
      <c r="C95" s="25" t="s">
        <v>788</v>
      </c>
      <c r="D95" s="14">
        <f>16+6+7+2</f>
        <v>31</v>
      </c>
      <c r="E95" s="13">
        <v>11.24</v>
      </c>
      <c r="F95" s="50">
        <f t="shared" si="14"/>
        <v>348.44</v>
      </c>
      <c r="G95" s="103"/>
      <c r="H95" s="103"/>
      <c r="I95" s="104"/>
      <c r="J95" s="103"/>
      <c r="K95" s="103"/>
      <c r="L95" s="103">
        <f t="shared" si="13"/>
        <v>31</v>
      </c>
      <c r="M95" s="103"/>
      <c r="N95" s="103" t="s">
        <v>946</v>
      </c>
      <c r="O95" s="104">
        <f t="shared" si="10"/>
        <v>348.44</v>
      </c>
    </row>
    <row r="96" spans="1:15" s="105" customFormat="1" ht="15.75" x14ac:dyDescent="0.25">
      <c r="A96" s="113" t="s">
        <v>142</v>
      </c>
      <c r="B96" s="102">
        <v>44193</v>
      </c>
      <c r="C96" s="25" t="s">
        <v>604</v>
      </c>
      <c r="D96" s="14">
        <v>28</v>
      </c>
      <c r="E96" s="13">
        <v>45</v>
      </c>
      <c r="F96" s="50">
        <f t="shared" si="14"/>
        <v>1260</v>
      </c>
      <c r="G96" s="103"/>
      <c r="H96" s="103"/>
      <c r="I96" s="104"/>
      <c r="J96" s="103"/>
      <c r="K96" s="103"/>
      <c r="L96" s="103">
        <f t="shared" si="13"/>
        <v>28</v>
      </c>
      <c r="M96" s="103"/>
      <c r="N96" s="103" t="s">
        <v>946</v>
      </c>
      <c r="O96" s="104">
        <f t="shared" si="10"/>
        <v>1260</v>
      </c>
    </row>
    <row r="97" spans="1:15" s="105" customFormat="1" ht="15.75" x14ac:dyDescent="0.25">
      <c r="A97" s="113" t="s">
        <v>70</v>
      </c>
      <c r="B97" s="102">
        <v>44193</v>
      </c>
      <c r="C97" s="25" t="s">
        <v>605</v>
      </c>
      <c r="D97" s="14">
        <v>4</v>
      </c>
      <c r="E97" s="13">
        <v>40</v>
      </c>
      <c r="F97" s="50">
        <f t="shared" si="14"/>
        <v>160</v>
      </c>
      <c r="G97" s="103"/>
      <c r="H97" s="103"/>
      <c r="I97" s="104"/>
      <c r="J97" s="103"/>
      <c r="K97" s="103"/>
      <c r="L97" s="103">
        <f>+D97+H97-K97</f>
        <v>4</v>
      </c>
      <c r="M97" s="103"/>
      <c r="N97" s="103" t="s">
        <v>946</v>
      </c>
      <c r="O97" s="104">
        <f t="shared" si="10"/>
        <v>160</v>
      </c>
    </row>
    <row r="98" spans="1:15" s="105" customFormat="1" ht="15.75" x14ac:dyDescent="0.25">
      <c r="A98" s="113" t="s">
        <v>71</v>
      </c>
      <c r="B98" s="102">
        <v>44193</v>
      </c>
      <c r="C98" s="25" t="s">
        <v>606</v>
      </c>
      <c r="D98" s="14">
        <v>39</v>
      </c>
      <c r="E98" s="13">
        <v>45</v>
      </c>
      <c r="F98" s="50">
        <f t="shared" si="14"/>
        <v>1755</v>
      </c>
      <c r="G98" s="103"/>
      <c r="H98" s="103"/>
      <c r="I98" s="104"/>
      <c r="J98" s="103"/>
      <c r="K98" s="103"/>
      <c r="L98" s="103">
        <f t="shared" ref="L98:L109" si="15">+D98+H98-K98</f>
        <v>39</v>
      </c>
      <c r="M98" s="103"/>
      <c r="N98" s="103" t="s">
        <v>946</v>
      </c>
      <c r="O98" s="104">
        <f t="shared" si="10"/>
        <v>1755</v>
      </c>
    </row>
    <row r="99" spans="1:15" s="105" customFormat="1" ht="15.75" x14ac:dyDescent="0.25">
      <c r="A99" s="113" t="s">
        <v>72</v>
      </c>
      <c r="B99" s="102">
        <v>44193</v>
      </c>
      <c r="C99" s="25" t="s">
        <v>846</v>
      </c>
      <c r="D99" s="14">
        <v>1</v>
      </c>
      <c r="E99" s="13">
        <v>47</v>
      </c>
      <c r="F99" s="50">
        <f t="shared" si="14"/>
        <v>47</v>
      </c>
      <c r="G99" s="103"/>
      <c r="H99" s="103"/>
      <c r="I99" s="104"/>
      <c r="J99" s="103"/>
      <c r="K99" s="103"/>
      <c r="L99" s="103">
        <f t="shared" si="15"/>
        <v>1</v>
      </c>
      <c r="M99" s="103"/>
      <c r="N99" s="103" t="s">
        <v>946</v>
      </c>
      <c r="O99" s="104">
        <f t="shared" si="10"/>
        <v>47</v>
      </c>
    </row>
    <row r="100" spans="1:15" s="105" customFormat="1" ht="15.75" x14ac:dyDescent="0.25">
      <c r="A100" s="113" t="s">
        <v>73</v>
      </c>
      <c r="B100" s="102">
        <v>44193</v>
      </c>
      <c r="C100" s="25" t="s">
        <v>607</v>
      </c>
      <c r="D100" s="14">
        <v>1</v>
      </c>
      <c r="E100" s="13">
        <v>40</v>
      </c>
      <c r="F100" s="50">
        <f t="shared" si="14"/>
        <v>40</v>
      </c>
      <c r="G100" s="103"/>
      <c r="H100" s="103"/>
      <c r="I100" s="104"/>
      <c r="J100" s="103"/>
      <c r="K100" s="103"/>
      <c r="L100" s="103">
        <f t="shared" si="15"/>
        <v>1</v>
      </c>
      <c r="M100" s="103"/>
      <c r="N100" s="103" t="s">
        <v>946</v>
      </c>
      <c r="O100" s="104">
        <f t="shared" si="10"/>
        <v>40</v>
      </c>
    </row>
    <row r="101" spans="1:15" s="105" customFormat="1" ht="15.75" x14ac:dyDescent="0.25">
      <c r="A101" s="113" t="s">
        <v>74</v>
      </c>
      <c r="B101" s="102">
        <v>44193</v>
      </c>
      <c r="C101" s="25" t="s">
        <v>608</v>
      </c>
      <c r="D101" s="32">
        <v>2</v>
      </c>
      <c r="E101" s="13">
        <v>12.21</v>
      </c>
      <c r="F101" s="50">
        <f t="shared" si="14"/>
        <v>24.42</v>
      </c>
      <c r="G101" s="103"/>
      <c r="H101" s="103"/>
      <c r="I101" s="104"/>
      <c r="J101" s="103"/>
      <c r="K101" s="103"/>
      <c r="L101" s="103">
        <f t="shared" si="15"/>
        <v>2</v>
      </c>
      <c r="M101" s="103"/>
      <c r="N101" s="103" t="s">
        <v>946</v>
      </c>
      <c r="O101" s="104">
        <f t="shared" si="10"/>
        <v>24.42</v>
      </c>
    </row>
    <row r="102" spans="1:15" s="105" customFormat="1" ht="15.75" x14ac:dyDescent="0.25">
      <c r="A102" s="113" t="s">
        <v>101</v>
      </c>
      <c r="B102" s="102">
        <v>44193</v>
      </c>
      <c r="C102" s="25" t="s">
        <v>609</v>
      </c>
      <c r="D102" s="32">
        <v>0</v>
      </c>
      <c r="E102" s="13">
        <v>4</v>
      </c>
      <c r="F102" s="50">
        <f t="shared" si="14"/>
        <v>0</v>
      </c>
      <c r="G102" s="103"/>
      <c r="H102" s="103"/>
      <c r="I102" s="104"/>
      <c r="J102" s="103"/>
      <c r="K102" s="103"/>
      <c r="L102" s="103">
        <f t="shared" si="15"/>
        <v>0</v>
      </c>
      <c r="M102" s="103"/>
      <c r="N102" s="103" t="s">
        <v>946</v>
      </c>
      <c r="O102" s="104">
        <f>+E102*L102</f>
        <v>0</v>
      </c>
    </row>
    <row r="103" spans="1:15" s="105" customFormat="1" ht="15.75" x14ac:dyDescent="0.25">
      <c r="A103" s="113" t="s">
        <v>75</v>
      </c>
      <c r="B103" s="102">
        <v>44193</v>
      </c>
      <c r="C103" s="25" t="s">
        <v>610</v>
      </c>
      <c r="D103" s="32">
        <f>13+7+29</f>
        <v>49</v>
      </c>
      <c r="E103" s="13">
        <v>5.05</v>
      </c>
      <c r="F103" s="50">
        <f t="shared" si="14"/>
        <v>247.45</v>
      </c>
      <c r="G103" s="103"/>
      <c r="H103" s="103"/>
      <c r="I103" s="104"/>
      <c r="J103" s="103"/>
      <c r="K103" s="103"/>
      <c r="L103" s="103">
        <f t="shared" si="15"/>
        <v>49</v>
      </c>
      <c r="M103" s="103"/>
      <c r="N103" s="103" t="s">
        <v>946</v>
      </c>
      <c r="O103" s="104">
        <f>+E103*L103</f>
        <v>247.45</v>
      </c>
    </row>
    <row r="104" spans="1:15" s="105" customFormat="1" ht="15.75" x14ac:dyDescent="0.25">
      <c r="A104" s="113" t="s">
        <v>102</v>
      </c>
      <c r="B104" s="102">
        <v>44193</v>
      </c>
      <c r="C104" s="25" t="s">
        <v>611</v>
      </c>
      <c r="D104" s="32">
        <v>0</v>
      </c>
      <c r="E104" s="13">
        <v>42.95</v>
      </c>
      <c r="F104" s="50">
        <f t="shared" si="14"/>
        <v>0</v>
      </c>
      <c r="G104" s="103"/>
      <c r="H104" s="103"/>
      <c r="I104" s="104"/>
      <c r="J104" s="103"/>
      <c r="K104" s="103"/>
      <c r="L104" s="103">
        <f t="shared" si="15"/>
        <v>0</v>
      </c>
      <c r="M104" s="103"/>
      <c r="N104" s="103" t="s">
        <v>946</v>
      </c>
      <c r="O104" s="104">
        <f t="shared" ref="O104:O110" si="16">+E104*L104</f>
        <v>0</v>
      </c>
    </row>
    <row r="105" spans="1:15" s="105" customFormat="1" ht="15.75" x14ac:dyDescent="0.25">
      <c r="A105" s="113" t="s">
        <v>143</v>
      </c>
      <c r="B105" s="102">
        <v>44193</v>
      </c>
      <c r="C105" s="25" t="s">
        <v>612</v>
      </c>
      <c r="D105" s="30">
        <v>11</v>
      </c>
      <c r="E105" s="13">
        <v>19.95</v>
      </c>
      <c r="F105" s="50">
        <f t="shared" si="14"/>
        <v>219.45</v>
      </c>
      <c r="G105" s="103"/>
      <c r="H105" s="103"/>
      <c r="I105" s="104"/>
      <c r="J105" s="103"/>
      <c r="K105" s="103"/>
      <c r="L105" s="103">
        <f t="shared" si="15"/>
        <v>11</v>
      </c>
      <c r="M105" s="103"/>
      <c r="N105" s="103" t="s">
        <v>946</v>
      </c>
      <c r="O105" s="104">
        <f t="shared" si="16"/>
        <v>219.45</v>
      </c>
    </row>
    <row r="106" spans="1:15" s="105" customFormat="1" ht="15.75" x14ac:dyDescent="0.25">
      <c r="A106" s="113" t="s">
        <v>334</v>
      </c>
      <c r="B106" s="102">
        <v>44193</v>
      </c>
      <c r="C106" s="25" t="s">
        <v>613</v>
      </c>
      <c r="D106" s="30">
        <f>6+7</f>
        <v>13</v>
      </c>
      <c r="E106" s="13">
        <v>5.78</v>
      </c>
      <c r="F106" s="50">
        <f t="shared" si="14"/>
        <v>75.14</v>
      </c>
      <c r="G106" s="103"/>
      <c r="H106" s="103"/>
      <c r="I106" s="104"/>
      <c r="J106" s="103"/>
      <c r="K106" s="103"/>
      <c r="L106" s="103">
        <f t="shared" si="15"/>
        <v>13</v>
      </c>
      <c r="M106" s="103"/>
      <c r="N106" s="103" t="s">
        <v>946</v>
      </c>
      <c r="O106" s="104">
        <f t="shared" si="16"/>
        <v>75.14</v>
      </c>
    </row>
    <row r="107" spans="1:15" s="105" customFormat="1" ht="15.75" x14ac:dyDescent="0.25">
      <c r="A107" s="113" t="s">
        <v>335</v>
      </c>
      <c r="B107" s="102">
        <v>44193</v>
      </c>
      <c r="C107" s="25" t="s">
        <v>849</v>
      </c>
      <c r="D107" s="30">
        <v>1</v>
      </c>
      <c r="E107" s="13"/>
      <c r="F107" s="50">
        <f t="shared" si="14"/>
        <v>0</v>
      </c>
      <c r="G107" s="103"/>
      <c r="H107" s="103"/>
      <c r="I107" s="104"/>
      <c r="J107" s="103"/>
      <c r="K107" s="103"/>
      <c r="L107" s="103">
        <f t="shared" si="15"/>
        <v>1</v>
      </c>
      <c r="M107" s="103"/>
      <c r="N107" s="103" t="s">
        <v>946</v>
      </c>
      <c r="O107" s="104">
        <f t="shared" si="16"/>
        <v>0</v>
      </c>
    </row>
    <row r="108" spans="1:15" s="105" customFormat="1" ht="15.75" x14ac:dyDescent="0.25">
      <c r="A108" s="113" t="s">
        <v>336</v>
      </c>
      <c r="B108" s="102">
        <v>44193</v>
      </c>
      <c r="C108" s="26" t="s">
        <v>821</v>
      </c>
      <c r="D108" s="30">
        <v>9</v>
      </c>
      <c r="E108" s="13">
        <v>77.540000000000006</v>
      </c>
      <c r="F108" s="50">
        <f t="shared" si="14"/>
        <v>697.86</v>
      </c>
      <c r="G108" s="103"/>
      <c r="H108" s="103"/>
      <c r="I108" s="104"/>
      <c r="J108" s="103"/>
      <c r="K108" s="103"/>
      <c r="L108" s="103">
        <f t="shared" si="15"/>
        <v>9</v>
      </c>
      <c r="M108" s="103"/>
      <c r="N108" s="103" t="s">
        <v>946</v>
      </c>
      <c r="O108" s="104">
        <f t="shared" si="16"/>
        <v>697.86</v>
      </c>
    </row>
    <row r="109" spans="1:15" s="105" customFormat="1" ht="15.75" x14ac:dyDescent="0.25">
      <c r="A109" s="113" t="s">
        <v>337</v>
      </c>
      <c r="B109" s="102">
        <v>44193</v>
      </c>
      <c r="C109" s="26" t="s">
        <v>820</v>
      </c>
      <c r="D109" s="30">
        <v>21</v>
      </c>
      <c r="E109" s="13">
        <v>719.2</v>
      </c>
      <c r="F109" s="50">
        <f t="shared" si="14"/>
        <v>15103.2</v>
      </c>
      <c r="G109" s="103"/>
      <c r="H109" s="103"/>
      <c r="I109" s="104"/>
      <c r="J109" s="103"/>
      <c r="K109" s="103"/>
      <c r="L109" s="103">
        <f t="shared" si="15"/>
        <v>21</v>
      </c>
      <c r="M109" s="103"/>
      <c r="N109" s="103" t="s">
        <v>946</v>
      </c>
      <c r="O109" s="104">
        <f t="shared" si="16"/>
        <v>15103.2</v>
      </c>
    </row>
    <row r="110" spans="1:15" s="105" customFormat="1" ht="15.75" x14ac:dyDescent="0.25">
      <c r="A110" s="113" t="s">
        <v>338</v>
      </c>
      <c r="B110" s="102">
        <v>44193</v>
      </c>
      <c r="C110" s="26" t="s">
        <v>823</v>
      </c>
      <c r="D110" s="30">
        <v>3</v>
      </c>
      <c r="E110" s="13">
        <v>51</v>
      </c>
      <c r="F110" s="50">
        <f t="shared" si="14"/>
        <v>153</v>
      </c>
      <c r="G110" s="103"/>
      <c r="H110" s="103"/>
      <c r="I110" s="104"/>
      <c r="J110" s="103"/>
      <c r="K110" s="103"/>
      <c r="L110" s="103">
        <f>+D110+H110-K110</f>
        <v>3</v>
      </c>
      <c r="M110" s="103"/>
      <c r="N110" s="103" t="s">
        <v>946</v>
      </c>
      <c r="O110" s="104">
        <f t="shared" si="16"/>
        <v>153</v>
      </c>
    </row>
    <row r="111" spans="1:15" s="105" customFormat="1" ht="15.75" x14ac:dyDescent="0.25">
      <c r="A111" s="113" t="s">
        <v>339</v>
      </c>
      <c r="B111" s="102">
        <v>44193</v>
      </c>
      <c r="C111" s="26" t="s">
        <v>822</v>
      </c>
      <c r="D111" s="30">
        <v>12</v>
      </c>
      <c r="E111" s="13">
        <v>66.11</v>
      </c>
      <c r="F111" s="50">
        <f t="shared" si="14"/>
        <v>793.31999999999994</v>
      </c>
      <c r="G111" s="103"/>
      <c r="H111" s="103"/>
      <c r="I111" s="104"/>
      <c r="J111" s="103"/>
      <c r="K111" s="103"/>
      <c r="L111" s="103">
        <f t="shared" ref="L111:L175" si="17">+D111+H111-K111</f>
        <v>12</v>
      </c>
      <c r="M111" s="103"/>
      <c r="N111" s="103" t="s">
        <v>946</v>
      </c>
      <c r="O111" s="104">
        <f>+E111*L111</f>
        <v>793.31999999999994</v>
      </c>
    </row>
    <row r="112" spans="1:15" s="105" customFormat="1" ht="15.75" x14ac:dyDescent="0.25">
      <c r="A112" s="113" t="s">
        <v>340</v>
      </c>
      <c r="B112" s="102">
        <v>44193</v>
      </c>
      <c r="C112" s="26" t="s">
        <v>802</v>
      </c>
      <c r="D112" s="30">
        <v>2</v>
      </c>
      <c r="E112" s="13">
        <v>70</v>
      </c>
      <c r="F112" s="50">
        <f t="shared" si="14"/>
        <v>140</v>
      </c>
      <c r="G112" s="103"/>
      <c r="H112" s="103"/>
      <c r="I112" s="104"/>
      <c r="J112" s="103"/>
      <c r="K112" s="103"/>
      <c r="L112" s="103">
        <f t="shared" si="17"/>
        <v>2</v>
      </c>
      <c r="M112" s="103"/>
      <c r="N112" s="103" t="s">
        <v>946</v>
      </c>
      <c r="O112" s="104">
        <f t="shared" ref="O112:O120" si="18">+E112*L112</f>
        <v>140</v>
      </c>
    </row>
    <row r="113" spans="1:15" s="105" customFormat="1" ht="15.75" x14ac:dyDescent="0.25">
      <c r="A113" s="113" t="s">
        <v>341</v>
      </c>
      <c r="B113" s="102">
        <v>44193</v>
      </c>
      <c r="C113" s="26" t="s">
        <v>804</v>
      </c>
      <c r="D113" s="30">
        <v>6</v>
      </c>
      <c r="E113" s="13">
        <v>450</v>
      </c>
      <c r="F113" s="50">
        <f t="shared" si="14"/>
        <v>2700</v>
      </c>
      <c r="G113" s="103"/>
      <c r="H113" s="103"/>
      <c r="I113" s="104"/>
      <c r="J113" s="103"/>
      <c r="K113" s="103">
        <v>1</v>
      </c>
      <c r="L113" s="103">
        <f t="shared" si="17"/>
        <v>5</v>
      </c>
      <c r="M113" s="103"/>
      <c r="N113" s="103" t="s">
        <v>946</v>
      </c>
      <c r="O113" s="104">
        <f t="shared" si="18"/>
        <v>2250</v>
      </c>
    </row>
    <row r="114" spans="1:15" s="105" customFormat="1" ht="15.75" x14ac:dyDescent="0.25">
      <c r="A114" s="113" t="s">
        <v>342</v>
      </c>
      <c r="B114" s="102">
        <v>44193</v>
      </c>
      <c r="C114" s="26" t="s">
        <v>801</v>
      </c>
      <c r="D114" s="30">
        <v>2</v>
      </c>
      <c r="E114" s="13">
        <v>719.2</v>
      </c>
      <c r="F114" s="50">
        <f t="shared" si="14"/>
        <v>1438.4</v>
      </c>
      <c r="G114" s="103"/>
      <c r="H114" s="103"/>
      <c r="I114" s="104"/>
      <c r="J114" s="103"/>
      <c r="K114" s="103">
        <v>2</v>
      </c>
      <c r="L114" s="103">
        <f t="shared" si="17"/>
        <v>0</v>
      </c>
      <c r="M114" s="103"/>
      <c r="N114" s="103" t="s">
        <v>946</v>
      </c>
      <c r="O114" s="104">
        <f t="shared" si="18"/>
        <v>0</v>
      </c>
    </row>
    <row r="115" spans="1:15" s="105" customFormat="1" ht="15.75" x14ac:dyDescent="0.25">
      <c r="A115" s="113" t="s">
        <v>343</v>
      </c>
      <c r="B115" s="102">
        <v>44193</v>
      </c>
      <c r="C115" s="25" t="s">
        <v>616</v>
      </c>
      <c r="D115" s="32">
        <v>0</v>
      </c>
      <c r="E115" s="13">
        <v>2950</v>
      </c>
      <c r="F115" s="50">
        <f t="shared" si="14"/>
        <v>0</v>
      </c>
      <c r="G115" s="103"/>
      <c r="H115" s="103"/>
      <c r="I115" s="104"/>
      <c r="J115" s="103"/>
      <c r="K115" s="103"/>
      <c r="L115" s="103">
        <f t="shared" si="17"/>
        <v>0</v>
      </c>
      <c r="M115" s="103"/>
      <c r="N115" s="103" t="s">
        <v>946</v>
      </c>
      <c r="O115" s="104">
        <f t="shared" si="18"/>
        <v>0</v>
      </c>
    </row>
    <row r="116" spans="1:15" s="105" customFormat="1" ht="15.75" x14ac:dyDescent="0.25">
      <c r="A116" s="113" t="s">
        <v>344</v>
      </c>
      <c r="B116" s="102">
        <v>44193</v>
      </c>
      <c r="C116" s="25" t="s">
        <v>617</v>
      </c>
      <c r="D116" s="32">
        <v>5</v>
      </c>
      <c r="E116" s="13">
        <v>29</v>
      </c>
      <c r="F116" s="50">
        <f t="shared" si="14"/>
        <v>145</v>
      </c>
      <c r="G116" s="103"/>
      <c r="H116" s="103"/>
      <c r="I116" s="104"/>
      <c r="J116" s="103"/>
      <c r="K116" s="103">
        <v>4</v>
      </c>
      <c r="L116" s="103">
        <f t="shared" si="17"/>
        <v>1</v>
      </c>
      <c r="M116" s="103"/>
      <c r="N116" s="103" t="s">
        <v>946</v>
      </c>
      <c r="O116" s="104">
        <f t="shared" si="18"/>
        <v>29</v>
      </c>
    </row>
    <row r="117" spans="1:15" s="105" customFormat="1" ht="15.75" x14ac:dyDescent="0.25">
      <c r="A117" s="113" t="s">
        <v>345</v>
      </c>
      <c r="B117" s="106" t="s">
        <v>106</v>
      </c>
      <c r="C117" s="9" t="s">
        <v>618</v>
      </c>
      <c r="D117" s="30">
        <v>12</v>
      </c>
      <c r="E117" s="51">
        <v>35</v>
      </c>
      <c r="F117" s="50">
        <f t="shared" si="14"/>
        <v>420</v>
      </c>
      <c r="G117" s="103"/>
      <c r="H117" s="103"/>
      <c r="I117" s="104"/>
      <c r="J117" s="103"/>
      <c r="K117" s="103"/>
      <c r="L117" s="103">
        <f t="shared" si="17"/>
        <v>12</v>
      </c>
      <c r="M117" s="103"/>
      <c r="N117" s="103" t="s">
        <v>947</v>
      </c>
      <c r="O117" s="104">
        <f t="shared" si="18"/>
        <v>420</v>
      </c>
    </row>
    <row r="118" spans="1:15" s="105" customFormat="1" ht="15.75" x14ac:dyDescent="0.25">
      <c r="A118" s="113" t="s">
        <v>346</v>
      </c>
      <c r="B118" s="102">
        <v>44193</v>
      </c>
      <c r="C118" s="26" t="s">
        <v>619</v>
      </c>
      <c r="D118" s="32">
        <v>0</v>
      </c>
      <c r="E118" s="13">
        <v>155</v>
      </c>
      <c r="F118" s="50">
        <f t="shared" si="14"/>
        <v>0</v>
      </c>
      <c r="G118" s="103"/>
      <c r="H118" s="103"/>
      <c r="I118" s="104"/>
      <c r="J118" s="103"/>
      <c r="K118" s="103">
        <f>2+1+1+1+1+1+1+1</f>
        <v>9</v>
      </c>
      <c r="L118" s="103">
        <f t="shared" si="17"/>
        <v>-9</v>
      </c>
      <c r="M118" s="103"/>
      <c r="N118" s="103" t="s">
        <v>945</v>
      </c>
      <c r="O118" s="104">
        <f t="shared" si="18"/>
        <v>-1395</v>
      </c>
    </row>
    <row r="119" spans="1:15" s="105" customFormat="1" ht="15.75" x14ac:dyDescent="0.25">
      <c r="A119" s="113" t="s">
        <v>347</v>
      </c>
      <c r="B119" s="102">
        <v>44777</v>
      </c>
      <c r="C119" s="26" t="s">
        <v>620</v>
      </c>
      <c r="D119" s="32">
        <v>90</v>
      </c>
      <c r="E119" s="13">
        <v>71.95</v>
      </c>
      <c r="F119" s="50">
        <f t="shared" si="14"/>
        <v>6475.5</v>
      </c>
      <c r="G119" s="103"/>
      <c r="H119" s="103"/>
      <c r="I119" s="104"/>
      <c r="J119" s="103"/>
      <c r="K119" s="103">
        <f>1+1+1+1+1+1+1+1+1+1+1+1+1+1+1+1+2+1+1+1+1+1+1+1+1+1+1+1+1+1+1+1+1+1</f>
        <v>35</v>
      </c>
      <c r="L119" s="103">
        <f t="shared" si="17"/>
        <v>55</v>
      </c>
      <c r="M119" s="103"/>
      <c r="N119" s="103" t="s">
        <v>945</v>
      </c>
      <c r="O119" s="104">
        <f t="shared" si="18"/>
        <v>3957.25</v>
      </c>
    </row>
    <row r="120" spans="1:15" s="105" customFormat="1" ht="15.75" x14ac:dyDescent="0.25">
      <c r="A120" s="113" t="s">
        <v>348</v>
      </c>
      <c r="B120" s="102">
        <v>44193</v>
      </c>
      <c r="C120" s="26" t="s">
        <v>626</v>
      </c>
      <c r="D120" s="32">
        <v>0</v>
      </c>
      <c r="E120" s="13">
        <v>190.68</v>
      </c>
      <c r="F120" s="50">
        <f t="shared" si="14"/>
        <v>0</v>
      </c>
      <c r="G120" s="103"/>
      <c r="H120" s="103"/>
      <c r="I120" s="104"/>
      <c r="J120" s="103"/>
      <c r="K120" s="103"/>
      <c r="L120" s="103">
        <f t="shared" si="17"/>
        <v>0</v>
      </c>
      <c r="M120" s="103"/>
      <c r="N120" s="103" t="s">
        <v>946</v>
      </c>
      <c r="O120" s="104">
        <f t="shared" si="18"/>
        <v>0</v>
      </c>
    </row>
    <row r="121" spans="1:15" s="105" customFormat="1" ht="15.75" x14ac:dyDescent="0.25">
      <c r="A121" s="113" t="s">
        <v>349</v>
      </c>
      <c r="B121" s="102">
        <v>44678</v>
      </c>
      <c r="C121" s="26" t="s">
        <v>621</v>
      </c>
      <c r="D121" s="32">
        <v>1</v>
      </c>
      <c r="E121" s="13">
        <v>3800</v>
      </c>
      <c r="F121" s="50">
        <f t="shared" si="14"/>
        <v>3800</v>
      </c>
      <c r="G121" s="103">
        <v>44851</v>
      </c>
      <c r="H121" s="103">
        <v>20</v>
      </c>
      <c r="I121" s="103">
        <v>1187.08</v>
      </c>
      <c r="J121" s="103">
        <f>+H121*I121</f>
        <v>23741.599999999999</v>
      </c>
      <c r="K121" s="103"/>
      <c r="L121" s="103">
        <f t="shared" si="17"/>
        <v>21</v>
      </c>
      <c r="M121" s="103"/>
      <c r="N121" s="103" t="s">
        <v>945</v>
      </c>
      <c r="O121" s="104">
        <f>+I121*L121</f>
        <v>24928.68</v>
      </c>
    </row>
    <row r="122" spans="1:15" s="105" customFormat="1" ht="15.75" x14ac:dyDescent="0.25">
      <c r="A122" s="113" t="s">
        <v>350</v>
      </c>
      <c r="B122" s="102">
        <v>44193</v>
      </c>
      <c r="C122" s="26" t="s">
        <v>622</v>
      </c>
      <c r="D122" s="32">
        <v>0</v>
      </c>
      <c r="E122" s="13">
        <v>1400</v>
      </c>
      <c r="F122" s="50">
        <f t="shared" si="14"/>
        <v>0</v>
      </c>
      <c r="G122" s="103"/>
      <c r="H122" s="103"/>
      <c r="I122" s="104"/>
      <c r="J122" s="103"/>
      <c r="K122" s="103"/>
      <c r="L122" s="103">
        <f t="shared" si="17"/>
        <v>0</v>
      </c>
      <c r="M122" s="103"/>
      <c r="N122" s="103" t="s">
        <v>945</v>
      </c>
      <c r="O122" s="104">
        <f>+E122*L122</f>
        <v>0</v>
      </c>
    </row>
    <row r="123" spans="1:15" s="105" customFormat="1" ht="15.75" x14ac:dyDescent="0.25">
      <c r="A123" s="113" t="s">
        <v>351</v>
      </c>
      <c r="B123" s="102">
        <v>44456</v>
      </c>
      <c r="C123" s="26" t="s">
        <v>623</v>
      </c>
      <c r="D123" s="32">
        <v>13</v>
      </c>
      <c r="E123" s="13">
        <v>1099</v>
      </c>
      <c r="F123" s="50">
        <f t="shared" si="14"/>
        <v>14287</v>
      </c>
      <c r="G123" s="103"/>
      <c r="H123" s="103"/>
      <c r="I123" s="104"/>
      <c r="J123" s="103"/>
      <c r="K123" s="103">
        <v>1</v>
      </c>
      <c r="L123" s="103">
        <f t="shared" si="17"/>
        <v>12</v>
      </c>
      <c r="M123" s="103"/>
      <c r="N123" s="103" t="s">
        <v>945</v>
      </c>
      <c r="O123" s="104">
        <f t="shared" ref="O123:O138" si="19">+E123*L123</f>
        <v>13188</v>
      </c>
    </row>
    <row r="124" spans="1:15" s="105" customFormat="1" ht="15.75" x14ac:dyDescent="0.25">
      <c r="A124" s="113" t="s">
        <v>352</v>
      </c>
      <c r="B124" s="102">
        <v>44456</v>
      </c>
      <c r="C124" s="26" t="s">
        <v>767</v>
      </c>
      <c r="D124" s="32">
        <v>18</v>
      </c>
      <c r="E124" s="13">
        <v>4000</v>
      </c>
      <c r="F124" s="50">
        <f t="shared" si="14"/>
        <v>72000</v>
      </c>
      <c r="G124" s="103"/>
      <c r="H124" s="103"/>
      <c r="I124" s="104"/>
      <c r="J124" s="103"/>
      <c r="K124" s="103">
        <f>4+4+3</f>
        <v>11</v>
      </c>
      <c r="L124" s="103">
        <f t="shared" si="17"/>
        <v>7</v>
      </c>
      <c r="M124" s="103"/>
      <c r="N124" s="103" t="s">
        <v>945</v>
      </c>
      <c r="O124" s="104">
        <f t="shared" si="19"/>
        <v>28000</v>
      </c>
    </row>
    <row r="125" spans="1:15" s="105" customFormat="1" ht="15.75" x14ac:dyDescent="0.25">
      <c r="A125" s="113" t="s">
        <v>353</v>
      </c>
      <c r="B125" s="102">
        <v>44193</v>
      </c>
      <c r="C125" s="26" t="s">
        <v>625</v>
      </c>
      <c r="D125" s="32">
        <v>5</v>
      </c>
      <c r="E125" s="13">
        <v>1400</v>
      </c>
      <c r="F125" s="50">
        <f t="shared" si="14"/>
        <v>7000</v>
      </c>
      <c r="G125" s="103"/>
      <c r="H125" s="103"/>
      <c r="I125" s="104"/>
      <c r="J125" s="103"/>
      <c r="K125" s="103"/>
      <c r="L125" s="103">
        <f t="shared" si="17"/>
        <v>5</v>
      </c>
      <c r="M125" s="103"/>
      <c r="N125" s="103" t="s">
        <v>945</v>
      </c>
      <c r="O125" s="104">
        <f t="shared" si="19"/>
        <v>7000</v>
      </c>
    </row>
    <row r="126" spans="1:15" s="105" customFormat="1" ht="15.75" x14ac:dyDescent="0.25">
      <c r="A126" s="113" t="s">
        <v>354</v>
      </c>
      <c r="B126" s="106" t="s">
        <v>106</v>
      </c>
      <c r="C126" s="28" t="s">
        <v>627</v>
      </c>
      <c r="D126" s="49">
        <v>100</v>
      </c>
      <c r="E126" s="52">
        <v>28</v>
      </c>
      <c r="F126" s="50">
        <f t="shared" si="14"/>
        <v>2800</v>
      </c>
      <c r="G126" s="103"/>
      <c r="H126" s="103"/>
      <c r="I126" s="104"/>
      <c r="J126" s="103"/>
      <c r="K126" s="103"/>
      <c r="L126" s="103">
        <f t="shared" si="17"/>
        <v>100</v>
      </c>
      <c r="M126" s="103"/>
      <c r="N126" s="103" t="s">
        <v>947</v>
      </c>
      <c r="O126" s="104">
        <f t="shared" si="19"/>
        <v>2800</v>
      </c>
    </row>
    <row r="127" spans="1:15" s="105" customFormat="1" ht="15.75" x14ac:dyDescent="0.25">
      <c r="A127" s="113" t="s">
        <v>355</v>
      </c>
      <c r="B127" s="106" t="s">
        <v>114</v>
      </c>
      <c r="C127" s="26" t="s">
        <v>80</v>
      </c>
      <c r="D127" s="32">
        <v>0</v>
      </c>
      <c r="E127" s="51">
        <v>85</v>
      </c>
      <c r="F127" s="50">
        <f t="shared" si="14"/>
        <v>0</v>
      </c>
      <c r="G127" s="103"/>
      <c r="H127" s="103"/>
      <c r="I127" s="104"/>
      <c r="J127" s="103"/>
      <c r="K127" s="103"/>
      <c r="L127" s="103">
        <f t="shared" si="17"/>
        <v>0</v>
      </c>
      <c r="M127" s="103"/>
      <c r="N127" s="103" t="s">
        <v>946</v>
      </c>
      <c r="O127" s="104">
        <f t="shared" si="19"/>
        <v>0</v>
      </c>
    </row>
    <row r="128" spans="1:15" s="105" customFormat="1" ht="15.75" x14ac:dyDescent="0.25">
      <c r="A128" s="113" t="s">
        <v>356</v>
      </c>
      <c r="B128" s="102">
        <v>44193</v>
      </c>
      <c r="C128" s="9" t="s">
        <v>628</v>
      </c>
      <c r="D128" s="58">
        <v>1</v>
      </c>
      <c r="E128" s="13">
        <v>550</v>
      </c>
      <c r="F128" s="50">
        <f t="shared" si="14"/>
        <v>550</v>
      </c>
      <c r="G128" s="103"/>
      <c r="H128" s="103"/>
      <c r="I128" s="104"/>
      <c r="J128" s="103"/>
      <c r="K128" s="103"/>
      <c r="L128" s="103">
        <f t="shared" si="17"/>
        <v>1</v>
      </c>
      <c r="M128" s="103"/>
      <c r="N128" s="103" t="s">
        <v>946</v>
      </c>
      <c r="O128" s="104">
        <f t="shared" si="19"/>
        <v>550</v>
      </c>
    </row>
    <row r="129" spans="1:15" s="105" customFormat="1" ht="15.75" x14ac:dyDescent="0.25">
      <c r="A129" s="113" t="s">
        <v>357</v>
      </c>
      <c r="B129" s="102">
        <v>44193</v>
      </c>
      <c r="C129" s="9" t="s">
        <v>629</v>
      </c>
      <c r="D129" s="48">
        <v>0</v>
      </c>
      <c r="E129" s="13">
        <v>60</v>
      </c>
      <c r="F129" s="50">
        <f t="shared" si="14"/>
        <v>0</v>
      </c>
      <c r="G129" s="103"/>
      <c r="H129" s="103"/>
      <c r="I129" s="104"/>
      <c r="J129" s="103"/>
      <c r="K129" s="103"/>
      <c r="L129" s="103">
        <f t="shared" si="17"/>
        <v>0</v>
      </c>
      <c r="M129" s="103"/>
      <c r="N129" s="103" t="s">
        <v>945</v>
      </c>
      <c r="O129" s="104">
        <f t="shared" si="19"/>
        <v>0</v>
      </c>
    </row>
    <row r="130" spans="1:15" s="105" customFormat="1" ht="15.75" x14ac:dyDescent="0.25">
      <c r="A130" s="113" t="s">
        <v>358</v>
      </c>
      <c r="B130" s="102">
        <v>44656</v>
      </c>
      <c r="C130" s="25" t="s">
        <v>631</v>
      </c>
      <c r="D130" s="32">
        <v>40</v>
      </c>
      <c r="E130" s="13">
        <v>115.53</v>
      </c>
      <c r="F130" s="50">
        <f t="shared" si="14"/>
        <v>4621.2</v>
      </c>
      <c r="G130" s="103"/>
      <c r="H130" s="103"/>
      <c r="I130" s="104"/>
      <c r="J130" s="103"/>
      <c r="K130" s="103">
        <f>2+1+2+1+1+1+1</f>
        <v>9</v>
      </c>
      <c r="L130" s="103">
        <f t="shared" si="17"/>
        <v>31</v>
      </c>
      <c r="M130" s="103"/>
      <c r="N130" s="103" t="s">
        <v>945</v>
      </c>
      <c r="O130" s="104">
        <f t="shared" si="19"/>
        <v>3581.43</v>
      </c>
    </row>
    <row r="131" spans="1:15" s="105" customFormat="1" ht="15.75" x14ac:dyDescent="0.25">
      <c r="A131" s="113" t="s">
        <v>359</v>
      </c>
      <c r="B131" s="102">
        <v>44656</v>
      </c>
      <c r="C131" s="26" t="s">
        <v>632</v>
      </c>
      <c r="D131" s="32">
        <v>12</v>
      </c>
      <c r="E131" s="13">
        <v>128.62</v>
      </c>
      <c r="F131" s="50">
        <f t="shared" si="14"/>
        <v>1543.44</v>
      </c>
      <c r="G131" s="103"/>
      <c r="H131" s="103"/>
      <c r="I131" s="104"/>
      <c r="J131" s="103"/>
      <c r="K131" s="103"/>
      <c r="L131" s="103">
        <f t="shared" si="17"/>
        <v>12</v>
      </c>
      <c r="M131" s="103"/>
      <c r="N131" s="103" t="s">
        <v>945</v>
      </c>
      <c r="O131" s="104">
        <f t="shared" si="19"/>
        <v>1543.44</v>
      </c>
    </row>
    <row r="132" spans="1:15" s="105" customFormat="1" ht="15.75" x14ac:dyDescent="0.25">
      <c r="A132" s="113" t="s">
        <v>360</v>
      </c>
      <c r="B132" s="102">
        <v>44659</v>
      </c>
      <c r="C132" s="26" t="s">
        <v>633</v>
      </c>
      <c r="D132" s="14">
        <v>41</v>
      </c>
      <c r="E132" s="13">
        <v>325</v>
      </c>
      <c r="F132" s="50">
        <f t="shared" si="14"/>
        <v>13325</v>
      </c>
      <c r="G132" s="103"/>
      <c r="H132" s="103"/>
      <c r="I132" s="104"/>
      <c r="J132" s="103"/>
      <c r="K132" s="103"/>
      <c r="L132" s="103">
        <f t="shared" si="17"/>
        <v>41</v>
      </c>
      <c r="M132" s="103"/>
      <c r="N132" s="103" t="s">
        <v>945</v>
      </c>
      <c r="O132" s="104">
        <f>+E132*L132</f>
        <v>13325</v>
      </c>
    </row>
    <row r="133" spans="1:15" s="105" customFormat="1" ht="15.75" x14ac:dyDescent="0.25">
      <c r="A133" s="113" t="s">
        <v>361</v>
      </c>
      <c r="B133" s="102"/>
      <c r="C133" s="25" t="s">
        <v>861</v>
      </c>
      <c r="D133" s="38">
        <f>8+48</f>
        <v>56</v>
      </c>
      <c r="E133" s="13"/>
      <c r="F133" s="50">
        <f t="shared" ref="F133:F138" si="20">+D133*E133</f>
        <v>0</v>
      </c>
      <c r="G133" s="103"/>
      <c r="H133" s="103"/>
      <c r="I133" s="104"/>
      <c r="J133" s="103"/>
      <c r="K133" s="103"/>
      <c r="L133" s="103">
        <f t="shared" si="17"/>
        <v>56</v>
      </c>
      <c r="M133" s="103"/>
      <c r="N133" s="103" t="s">
        <v>947</v>
      </c>
      <c r="O133" s="104">
        <f t="shared" si="19"/>
        <v>0</v>
      </c>
    </row>
    <row r="134" spans="1:15" s="105" customFormat="1" ht="15.75" x14ac:dyDescent="0.25">
      <c r="A134" s="113" t="s">
        <v>362</v>
      </c>
      <c r="B134" s="102"/>
      <c r="C134" s="25" t="s">
        <v>862</v>
      </c>
      <c r="D134" s="38">
        <v>74</v>
      </c>
      <c r="E134" s="13"/>
      <c r="F134" s="50">
        <f t="shared" si="20"/>
        <v>0</v>
      </c>
      <c r="G134" s="103"/>
      <c r="H134" s="103"/>
      <c r="I134" s="104"/>
      <c r="J134" s="103"/>
      <c r="K134" s="103"/>
      <c r="L134" s="103">
        <f t="shared" si="17"/>
        <v>74</v>
      </c>
      <c r="M134" s="103"/>
      <c r="N134" s="103" t="s">
        <v>947</v>
      </c>
      <c r="O134" s="104">
        <f t="shared" si="19"/>
        <v>0</v>
      </c>
    </row>
    <row r="135" spans="1:15" s="105" customFormat="1" ht="15.75" x14ac:dyDescent="0.25">
      <c r="A135" s="113" t="s">
        <v>363</v>
      </c>
      <c r="B135" s="102"/>
      <c r="C135" s="25" t="s">
        <v>863</v>
      </c>
      <c r="D135" s="38">
        <f>79+33+106</f>
        <v>218</v>
      </c>
      <c r="E135" s="13"/>
      <c r="F135" s="50">
        <f t="shared" si="20"/>
        <v>0</v>
      </c>
      <c r="G135" s="103"/>
      <c r="H135" s="103"/>
      <c r="I135" s="104"/>
      <c r="J135" s="103"/>
      <c r="K135" s="103"/>
      <c r="L135" s="103">
        <f t="shared" si="17"/>
        <v>218</v>
      </c>
      <c r="M135" s="103"/>
      <c r="N135" s="103" t="s">
        <v>947</v>
      </c>
      <c r="O135" s="104">
        <f t="shared" si="19"/>
        <v>0</v>
      </c>
    </row>
    <row r="136" spans="1:15" s="105" customFormat="1" ht="15.75" x14ac:dyDescent="0.25">
      <c r="A136" s="113" t="s">
        <v>364</v>
      </c>
      <c r="B136" s="102"/>
      <c r="C136" s="25" t="s">
        <v>864</v>
      </c>
      <c r="D136" s="38">
        <v>46</v>
      </c>
      <c r="E136" s="13"/>
      <c r="F136" s="50">
        <f t="shared" si="20"/>
        <v>0</v>
      </c>
      <c r="G136" s="103"/>
      <c r="H136" s="103"/>
      <c r="I136" s="104"/>
      <c r="J136" s="103"/>
      <c r="K136" s="103"/>
      <c r="L136" s="103">
        <f t="shared" si="17"/>
        <v>46</v>
      </c>
      <c r="M136" s="103"/>
      <c r="N136" s="103" t="s">
        <v>947</v>
      </c>
      <c r="O136" s="104">
        <f t="shared" si="19"/>
        <v>0</v>
      </c>
    </row>
    <row r="137" spans="1:15" s="105" customFormat="1" ht="15.75" x14ac:dyDescent="0.25">
      <c r="A137" s="113" t="s">
        <v>365</v>
      </c>
      <c r="B137" s="102"/>
      <c r="C137" s="25" t="s">
        <v>865</v>
      </c>
      <c r="D137" s="38">
        <v>41</v>
      </c>
      <c r="E137" s="13"/>
      <c r="F137" s="50">
        <f t="shared" si="20"/>
        <v>0</v>
      </c>
      <c r="G137" s="103"/>
      <c r="H137" s="103"/>
      <c r="I137" s="104"/>
      <c r="J137" s="103"/>
      <c r="K137" s="103"/>
      <c r="L137" s="103">
        <f t="shared" si="17"/>
        <v>41</v>
      </c>
      <c r="M137" s="103"/>
      <c r="N137" s="103" t="s">
        <v>947</v>
      </c>
      <c r="O137" s="104">
        <f t="shared" si="19"/>
        <v>0</v>
      </c>
    </row>
    <row r="138" spans="1:15" s="105" customFormat="1" ht="15.75" x14ac:dyDescent="0.25">
      <c r="A138" s="113" t="s">
        <v>366</v>
      </c>
      <c r="B138" s="102"/>
      <c r="C138" s="25" t="s">
        <v>866</v>
      </c>
      <c r="D138" s="38">
        <f>34+1</f>
        <v>35</v>
      </c>
      <c r="E138" s="13"/>
      <c r="F138" s="50">
        <f t="shared" si="20"/>
        <v>0</v>
      </c>
      <c r="G138" s="103"/>
      <c r="H138" s="103"/>
      <c r="I138" s="104"/>
      <c r="J138" s="103"/>
      <c r="K138" s="103"/>
      <c r="L138" s="103">
        <f t="shared" si="17"/>
        <v>35</v>
      </c>
      <c r="M138" s="103"/>
      <c r="N138" s="103" t="s">
        <v>947</v>
      </c>
      <c r="O138" s="104">
        <f t="shared" si="19"/>
        <v>0</v>
      </c>
    </row>
    <row r="139" spans="1:15" s="105" customFormat="1" ht="15.75" x14ac:dyDescent="0.25">
      <c r="A139" s="113" t="s">
        <v>367</v>
      </c>
      <c r="B139" s="106" t="s">
        <v>116</v>
      </c>
      <c r="C139" s="25" t="s">
        <v>719</v>
      </c>
      <c r="D139" s="32"/>
      <c r="E139" s="51">
        <v>529</v>
      </c>
      <c r="F139" s="50">
        <f>D139*E139</f>
        <v>0</v>
      </c>
      <c r="G139" s="107">
        <v>44748</v>
      </c>
      <c r="H139" s="104">
        <f>3*6</f>
        <v>18</v>
      </c>
      <c r="I139" s="104">
        <v>161.66666666666666</v>
      </c>
      <c r="J139" s="108">
        <f>+H139*I139</f>
        <v>2910</v>
      </c>
      <c r="K139" s="103">
        <f>12+3+2+1</f>
        <v>18</v>
      </c>
      <c r="L139" s="103">
        <f t="shared" si="17"/>
        <v>0</v>
      </c>
      <c r="M139" s="103"/>
      <c r="N139" s="103" t="s">
        <v>945</v>
      </c>
      <c r="O139" s="104">
        <f>+K139*I139</f>
        <v>2910</v>
      </c>
    </row>
    <row r="140" spans="1:15" s="105" customFormat="1" ht="15.75" x14ac:dyDescent="0.25">
      <c r="A140" s="113" t="s">
        <v>368</v>
      </c>
      <c r="B140" s="102">
        <v>44193</v>
      </c>
      <c r="C140" s="25" t="s">
        <v>813</v>
      </c>
      <c r="D140" s="32">
        <v>8</v>
      </c>
      <c r="E140" s="13">
        <v>1375</v>
      </c>
      <c r="F140" s="50">
        <f>D140*E140</f>
        <v>11000</v>
      </c>
      <c r="G140" s="103"/>
      <c r="H140" s="103"/>
      <c r="I140" s="104"/>
      <c r="J140" s="103"/>
      <c r="K140" s="103"/>
      <c r="L140" s="103">
        <f t="shared" si="17"/>
        <v>8</v>
      </c>
      <c r="M140" s="103"/>
      <c r="N140" s="103" t="s">
        <v>946</v>
      </c>
      <c r="O140" s="104">
        <f>+L140*E140</f>
        <v>11000</v>
      </c>
    </row>
    <row r="141" spans="1:15" s="105" customFormat="1" ht="15.75" x14ac:dyDescent="0.25">
      <c r="A141" s="113" t="s">
        <v>369</v>
      </c>
      <c r="B141" s="106" t="s">
        <v>114</v>
      </c>
      <c r="C141" s="25" t="s">
        <v>642</v>
      </c>
      <c r="D141" s="32">
        <v>8</v>
      </c>
      <c r="E141" s="13">
        <v>1375</v>
      </c>
      <c r="F141" s="50">
        <f>D141*E141</f>
        <v>11000</v>
      </c>
      <c r="G141" s="103"/>
      <c r="H141" s="103"/>
      <c r="I141" s="104"/>
      <c r="J141" s="103"/>
      <c r="K141" s="103"/>
      <c r="L141" s="103">
        <f t="shared" si="17"/>
        <v>8</v>
      </c>
      <c r="M141" s="103"/>
      <c r="N141" s="103" t="s">
        <v>946</v>
      </c>
      <c r="O141" s="104">
        <f t="shared" ref="O141:O160" si="21">+L141*E141</f>
        <v>11000</v>
      </c>
    </row>
    <row r="142" spans="1:15" s="105" customFormat="1" ht="15.75" x14ac:dyDescent="0.25">
      <c r="A142" s="113" t="s">
        <v>370</v>
      </c>
      <c r="B142" s="102"/>
      <c r="C142" s="25" t="s">
        <v>833</v>
      </c>
      <c r="D142" s="32">
        <v>7</v>
      </c>
      <c r="E142" s="13"/>
      <c r="F142" s="50"/>
      <c r="G142" s="103"/>
      <c r="H142" s="103"/>
      <c r="I142" s="104"/>
      <c r="J142" s="103"/>
      <c r="K142" s="103"/>
      <c r="L142" s="103">
        <f t="shared" si="17"/>
        <v>7</v>
      </c>
      <c r="M142" s="103"/>
      <c r="N142" s="103" t="s">
        <v>946</v>
      </c>
      <c r="O142" s="104">
        <f t="shared" si="21"/>
        <v>0</v>
      </c>
    </row>
    <row r="143" spans="1:15" s="105" customFormat="1" ht="15.75" x14ac:dyDescent="0.25">
      <c r="A143" s="113" t="s">
        <v>371</v>
      </c>
      <c r="B143" s="102">
        <v>44193</v>
      </c>
      <c r="C143" s="25" t="s">
        <v>643</v>
      </c>
      <c r="D143" s="32">
        <v>4</v>
      </c>
      <c r="E143" s="13">
        <v>1375</v>
      </c>
      <c r="F143" s="50">
        <f>D143*E143</f>
        <v>5500</v>
      </c>
      <c r="G143" s="103"/>
      <c r="H143" s="103"/>
      <c r="I143" s="104"/>
      <c r="J143" s="103"/>
      <c r="K143" s="103"/>
      <c r="L143" s="103">
        <f t="shared" si="17"/>
        <v>4</v>
      </c>
      <c r="M143" s="103"/>
      <c r="N143" s="103" t="s">
        <v>946</v>
      </c>
      <c r="O143" s="104">
        <f t="shared" si="21"/>
        <v>5500</v>
      </c>
    </row>
    <row r="144" spans="1:15" s="105" customFormat="1" ht="15.75" x14ac:dyDescent="0.25">
      <c r="A144" s="113" t="s">
        <v>372</v>
      </c>
      <c r="B144" s="106"/>
      <c r="C144" s="25" t="s">
        <v>816</v>
      </c>
      <c r="D144" s="32">
        <v>2</v>
      </c>
      <c r="E144" s="13"/>
      <c r="F144" s="50"/>
      <c r="G144" s="103"/>
      <c r="H144" s="103"/>
      <c r="I144" s="104"/>
      <c r="J144" s="103"/>
      <c r="K144" s="103"/>
      <c r="L144" s="103">
        <f t="shared" si="17"/>
        <v>2</v>
      </c>
      <c r="M144" s="103"/>
      <c r="N144" s="103" t="s">
        <v>946</v>
      </c>
      <c r="O144" s="104">
        <f t="shared" si="21"/>
        <v>0</v>
      </c>
    </row>
    <row r="145" spans="1:15" s="105" customFormat="1" ht="15.75" x14ac:dyDescent="0.25">
      <c r="A145" s="113" t="s">
        <v>373</v>
      </c>
      <c r="B145" s="102"/>
      <c r="C145" s="25" t="s">
        <v>829</v>
      </c>
      <c r="D145" s="32">
        <v>2</v>
      </c>
      <c r="E145" s="13"/>
      <c r="F145" s="50"/>
      <c r="G145" s="103"/>
      <c r="H145" s="103"/>
      <c r="I145" s="104"/>
      <c r="J145" s="103"/>
      <c r="K145" s="103"/>
      <c r="L145" s="103">
        <f t="shared" si="17"/>
        <v>2</v>
      </c>
      <c r="M145" s="103"/>
      <c r="N145" s="103" t="s">
        <v>946</v>
      </c>
      <c r="O145" s="104">
        <f t="shared" si="21"/>
        <v>0</v>
      </c>
    </row>
    <row r="146" spans="1:15" s="105" customFormat="1" ht="15.75" x14ac:dyDescent="0.25">
      <c r="A146" s="113" t="s">
        <v>374</v>
      </c>
      <c r="B146" s="106" t="s">
        <v>106</v>
      </c>
      <c r="C146" s="25" t="s">
        <v>635</v>
      </c>
      <c r="D146" s="32">
        <v>8</v>
      </c>
      <c r="E146" s="13">
        <v>1375</v>
      </c>
      <c r="F146" s="50">
        <f>D146*E146</f>
        <v>11000</v>
      </c>
      <c r="G146" s="103"/>
      <c r="H146" s="103"/>
      <c r="I146" s="104"/>
      <c r="J146" s="103"/>
      <c r="K146" s="103">
        <v>1</v>
      </c>
      <c r="L146" s="103">
        <f t="shared" si="17"/>
        <v>7</v>
      </c>
      <c r="M146" s="103"/>
      <c r="N146" s="103" t="s">
        <v>946</v>
      </c>
      <c r="O146" s="104">
        <f t="shared" si="21"/>
        <v>9625</v>
      </c>
    </row>
    <row r="147" spans="1:15" s="105" customFormat="1" ht="15.75" x14ac:dyDescent="0.25">
      <c r="A147" s="113" t="s">
        <v>375</v>
      </c>
      <c r="B147" s="106" t="s">
        <v>106</v>
      </c>
      <c r="C147" s="25" t="s">
        <v>636</v>
      </c>
      <c r="D147" s="55">
        <v>60</v>
      </c>
      <c r="E147" s="13">
        <v>1375</v>
      </c>
      <c r="F147" s="50">
        <f>D147*E147</f>
        <v>82500</v>
      </c>
      <c r="G147" s="103"/>
      <c r="H147" s="103"/>
      <c r="I147" s="104"/>
      <c r="J147" s="103"/>
      <c r="K147" s="103"/>
      <c r="L147" s="103">
        <f t="shared" si="17"/>
        <v>60</v>
      </c>
      <c r="M147" s="103"/>
      <c r="N147" s="103" t="s">
        <v>946</v>
      </c>
      <c r="O147" s="104">
        <f t="shared" si="21"/>
        <v>82500</v>
      </c>
    </row>
    <row r="148" spans="1:15" s="105" customFormat="1" ht="15.75" x14ac:dyDescent="0.25">
      <c r="A148" s="113" t="s">
        <v>376</v>
      </c>
      <c r="B148" s="102"/>
      <c r="C148" s="25" t="s">
        <v>831</v>
      </c>
      <c r="D148" s="32">
        <f>25+28</f>
        <v>53</v>
      </c>
      <c r="E148" s="13"/>
      <c r="F148" s="50"/>
      <c r="G148" s="103"/>
      <c r="H148" s="103"/>
      <c r="I148" s="104"/>
      <c r="J148" s="103"/>
      <c r="K148" s="103"/>
      <c r="L148" s="103">
        <f t="shared" si="17"/>
        <v>53</v>
      </c>
      <c r="M148" s="103"/>
      <c r="N148" s="103" t="s">
        <v>946</v>
      </c>
      <c r="O148" s="104">
        <f t="shared" si="21"/>
        <v>0</v>
      </c>
    </row>
    <row r="149" spans="1:15" s="105" customFormat="1" ht="15.75" x14ac:dyDescent="0.25">
      <c r="A149" s="113" t="s">
        <v>377</v>
      </c>
      <c r="B149" s="102"/>
      <c r="C149" s="25" t="s">
        <v>832</v>
      </c>
      <c r="D149" s="32">
        <v>5</v>
      </c>
      <c r="E149" s="13"/>
      <c r="F149" s="50"/>
      <c r="G149" s="103"/>
      <c r="H149" s="103"/>
      <c r="I149" s="104"/>
      <c r="J149" s="103"/>
      <c r="K149" s="103"/>
      <c r="L149" s="103">
        <f t="shared" si="17"/>
        <v>5</v>
      </c>
      <c r="M149" s="103"/>
      <c r="N149" s="103" t="s">
        <v>946</v>
      </c>
      <c r="O149" s="104">
        <f t="shared" si="21"/>
        <v>0</v>
      </c>
    </row>
    <row r="150" spans="1:15" s="105" customFormat="1" ht="15.75" x14ac:dyDescent="0.25">
      <c r="A150" s="113" t="s">
        <v>378</v>
      </c>
      <c r="B150" s="106" t="s">
        <v>106</v>
      </c>
      <c r="C150" s="25" t="s">
        <v>812</v>
      </c>
      <c r="D150" s="32">
        <v>3</v>
      </c>
      <c r="E150" s="13">
        <v>1180</v>
      </c>
      <c r="F150" s="50">
        <f>D150*E150</f>
        <v>3540</v>
      </c>
      <c r="G150" s="103"/>
      <c r="H150" s="103"/>
      <c r="I150" s="104"/>
      <c r="J150" s="103"/>
      <c r="K150" s="103"/>
      <c r="L150" s="103">
        <f t="shared" si="17"/>
        <v>3</v>
      </c>
      <c r="M150" s="103"/>
      <c r="N150" s="103" t="s">
        <v>946</v>
      </c>
      <c r="O150" s="104">
        <f t="shared" si="21"/>
        <v>3540</v>
      </c>
    </row>
    <row r="151" spans="1:15" s="105" customFormat="1" ht="15.75" x14ac:dyDescent="0.25">
      <c r="A151" s="113" t="s">
        <v>379</v>
      </c>
      <c r="B151" s="102">
        <v>44193</v>
      </c>
      <c r="C151" s="25" t="s">
        <v>637</v>
      </c>
      <c r="D151" s="55">
        <v>9</v>
      </c>
      <c r="E151" s="13">
        <v>1180</v>
      </c>
      <c r="F151" s="50">
        <f>D151*E151</f>
        <v>10620</v>
      </c>
      <c r="G151" s="103"/>
      <c r="H151" s="103"/>
      <c r="I151" s="104"/>
      <c r="J151" s="103"/>
      <c r="K151" s="103"/>
      <c r="L151" s="103">
        <f t="shared" si="17"/>
        <v>9</v>
      </c>
      <c r="M151" s="103"/>
      <c r="N151" s="103" t="s">
        <v>946</v>
      </c>
      <c r="O151" s="104">
        <f t="shared" si="21"/>
        <v>10620</v>
      </c>
    </row>
    <row r="152" spans="1:15" s="105" customFormat="1" ht="15.75" x14ac:dyDescent="0.25">
      <c r="A152" s="113" t="s">
        <v>380</v>
      </c>
      <c r="B152" s="102"/>
      <c r="C152" s="25" t="s">
        <v>834</v>
      </c>
      <c r="D152" s="32">
        <v>1</v>
      </c>
      <c r="E152" s="13"/>
      <c r="F152" s="50"/>
      <c r="G152" s="103"/>
      <c r="H152" s="103"/>
      <c r="I152" s="104"/>
      <c r="J152" s="103"/>
      <c r="K152" s="103"/>
      <c r="L152" s="103">
        <f t="shared" si="17"/>
        <v>1</v>
      </c>
      <c r="M152" s="103"/>
      <c r="N152" s="103" t="s">
        <v>946</v>
      </c>
      <c r="O152" s="104">
        <f t="shared" si="21"/>
        <v>0</v>
      </c>
    </row>
    <row r="153" spans="1:15" s="105" customFormat="1" ht="15.75" x14ac:dyDescent="0.25">
      <c r="A153" s="113" t="s">
        <v>381</v>
      </c>
      <c r="B153" s="106" t="s">
        <v>106</v>
      </c>
      <c r="C153" s="25" t="s">
        <v>639</v>
      </c>
      <c r="D153" s="32">
        <v>8</v>
      </c>
      <c r="E153" s="51">
        <v>1375</v>
      </c>
      <c r="F153" s="50">
        <f t="shared" ref="F153:F165" si="22">D153*E153</f>
        <v>11000</v>
      </c>
      <c r="G153" s="103"/>
      <c r="H153" s="103"/>
      <c r="I153" s="104"/>
      <c r="J153" s="103"/>
      <c r="K153" s="103"/>
      <c r="L153" s="103">
        <f t="shared" si="17"/>
        <v>8</v>
      </c>
      <c r="M153" s="103"/>
      <c r="N153" s="103" t="s">
        <v>946</v>
      </c>
      <c r="O153" s="104">
        <f t="shared" si="21"/>
        <v>11000</v>
      </c>
    </row>
    <row r="154" spans="1:15" s="105" customFormat="1" ht="15.75" x14ac:dyDescent="0.25">
      <c r="A154" s="113" t="s">
        <v>382</v>
      </c>
      <c r="B154" s="102">
        <v>44193</v>
      </c>
      <c r="C154" s="25" t="s">
        <v>638</v>
      </c>
      <c r="D154" s="32">
        <v>4</v>
      </c>
      <c r="E154" s="13">
        <v>1294.3699999999999</v>
      </c>
      <c r="F154" s="50">
        <f t="shared" si="22"/>
        <v>5177.4799999999996</v>
      </c>
      <c r="G154" s="103"/>
      <c r="H154" s="103"/>
      <c r="I154" s="104"/>
      <c r="J154" s="103"/>
      <c r="K154" s="103"/>
      <c r="L154" s="103">
        <f t="shared" si="17"/>
        <v>4</v>
      </c>
      <c r="M154" s="103"/>
      <c r="N154" s="103" t="s">
        <v>946</v>
      </c>
      <c r="O154" s="104">
        <f t="shared" si="21"/>
        <v>5177.4799999999996</v>
      </c>
    </row>
    <row r="155" spans="1:15" s="105" customFormat="1" ht="15.75" x14ac:dyDescent="0.25">
      <c r="A155" s="113" t="s">
        <v>383</v>
      </c>
      <c r="B155" s="106" t="s">
        <v>114</v>
      </c>
      <c r="C155" s="25" t="s">
        <v>640</v>
      </c>
      <c r="D155" s="32">
        <v>4</v>
      </c>
      <c r="E155" s="52">
        <v>2600</v>
      </c>
      <c r="F155" s="50">
        <f t="shared" si="22"/>
        <v>10400</v>
      </c>
      <c r="G155" s="103"/>
      <c r="H155" s="103"/>
      <c r="I155" s="104"/>
      <c r="J155" s="103"/>
      <c r="K155" s="103"/>
      <c r="L155" s="103">
        <f t="shared" si="17"/>
        <v>4</v>
      </c>
      <c r="M155" s="103"/>
      <c r="N155" s="103" t="s">
        <v>946</v>
      </c>
      <c r="O155" s="104">
        <f>+L155*E155</f>
        <v>10400</v>
      </c>
    </row>
    <row r="156" spans="1:15" s="105" customFormat="1" ht="15.75" x14ac:dyDescent="0.25">
      <c r="A156" s="113" t="s">
        <v>384</v>
      </c>
      <c r="B156" s="102">
        <v>44193</v>
      </c>
      <c r="C156" s="25" t="s">
        <v>830</v>
      </c>
      <c r="D156" s="32">
        <v>2</v>
      </c>
      <c r="E156" s="13">
        <v>2600</v>
      </c>
      <c r="F156" s="50">
        <f t="shared" si="22"/>
        <v>5200</v>
      </c>
      <c r="G156" s="103"/>
      <c r="H156" s="103"/>
      <c r="I156" s="104"/>
      <c r="J156" s="103"/>
      <c r="K156" s="103">
        <v>1</v>
      </c>
      <c r="L156" s="103">
        <f t="shared" si="17"/>
        <v>1</v>
      </c>
      <c r="M156" s="103"/>
      <c r="N156" s="103" t="s">
        <v>946</v>
      </c>
      <c r="O156" s="104">
        <f t="shared" si="21"/>
        <v>2600</v>
      </c>
    </row>
    <row r="157" spans="1:15" s="105" customFormat="1" ht="15.75" x14ac:dyDescent="0.25">
      <c r="A157" s="113" t="s">
        <v>385</v>
      </c>
      <c r="B157" s="102">
        <v>44193</v>
      </c>
      <c r="C157" s="9" t="s">
        <v>951</v>
      </c>
      <c r="D157" s="58">
        <v>46</v>
      </c>
      <c r="E157" s="13">
        <v>4.55</v>
      </c>
      <c r="F157" s="50">
        <f t="shared" si="22"/>
        <v>209.29999999999998</v>
      </c>
      <c r="G157" s="107">
        <v>44852</v>
      </c>
      <c r="H157" s="103">
        <f>10*100</f>
        <v>1000</v>
      </c>
      <c r="I157" s="104">
        <v>5.07</v>
      </c>
      <c r="J157" s="108">
        <f>+H157*I157</f>
        <v>5070</v>
      </c>
      <c r="K157" s="103">
        <f>12+100+15</f>
        <v>127</v>
      </c>
      <c r="L157" s="103">
        <f t="shared" si="17"/>
        <v>919</v>
      </c>
      <c r="M157" s="103" t="s">
        <v>1037</v>
      </c>
      <c r="N157" s="103" t="s">
        <v>947</v>
      </c>
      <c r="O157" s="104">
        <f>+L157*I157</f>
        <v>4659.33</v>
      </c>
    </row>
    <row r="158" spans="1:15" s="105" customFormat="1" ht="15.75" x14ac:dyDescent="0.25">
      <c r="A158" s="113" t="s">
        <v>386</v>
      </c>
      <c r="B158" s="102">
        <v>44193</v>
      </c>
      <c r="C158" s="9" t="s">
        <v>647</v>
      </c>
      <c r="D158" s="58">
        <v>15</v>
      </c>
      <c r="E158" s="13">
        <v>4.55</v>
      </c>
      <c r="F158" s="50">
        <f t="shared" si="22"/>
        <v>68.25</v>
      </c>
      <c r="G158" s="103"/>
      <c r="H158" s="103"/>
      <c r="I158" s="104"/>
      <c r="J158" s="103"/>
      <c r="K158" s="103"/>
      <c r="L158" s="103">
        <f t="shared" si="17"/>
        <v>15</v>
      </c>
      <c r="M158" s="103"/>
      <c r="N158" s="103" t="s">
        <v>947</v>
      </c>
      <c r="O158" s="104">
        <f t="shared" si="21"/>
        <v>68.25</v>
      </c>
    </row>
    <row r="159" spans="1:15" s="105" customFormat="1" ht="15.75" x14ac:dyDescent="0.25">
      <c r="A159" s="113" t="s">
        <v>387</v>
      </c>
      <c r="B159" s="102">
        <v>44193</v>
      </c>
      <c r="C159" s="26" t="s">
        <v>645</v>
      </c>
      <c r="D159" s="58">
        <v>820</v>
      </c>
      <c r="E159" s="13">
        <v>7.5</v>
      </c>
      <c r="F159" s="50">
        <f t="shared" si="22"/>
        <v>6150</v>
      </c>
      <c r="G159" s="103"/>
      <c r="H159" s="103"/>
      <c r="I159" s="104"/>
      <c r="J159" s="103"/>
      <c r="K159" s="103"/>
      <c r="L159" s="103">
        <f t="shared" si="17"/>
        <v>820</v>
      </c>
      <c r="M159" s="103"/>
      <c r="N159" s="103" t="s">
        <v>947</v>
      </c>
      <c r="O159" s="104">
        <f t="shared" si="21"/>
        <v>6150</v>
      </c>
    </row>
    <row r="160" spans="1:15" s="105" customFormat="1" ht="15.75" x14ac:dyDescent="0.25">
      <c r="A160" s="113" t="s">
        <v>388</v>
      </c>
      <c r="B160" s="102">
        <v>44659</v>
      </c>
      <c r="C160" s="26" t="s">
        <v>854</v>
      </c>
      <c r="D160" s="30">
        <f>30*100</f>
        <v>3000</v>
      </c>
      <c r="E160" s="13">
        <v>3.4</v>
      </c>
      <c r="F160" s="50">
        <f t="shared" si="22"/>
        <v>10200</v>
      </c>
      <c r="G160" s="103"/>
      <c r="H160" s="103"/>
      <c r="I160" s="104"/>
      <c r="J160" s="103"/>
      <c r="K160" s="103"/>
      <c r="L160" s="103">
        <f t="shared" si="17"/>
        <v>3000</v>
      </c>
      <c r="M160" s="103"/>
      <c r="N160" s="103" t="s">
        <v>945</v>
      </c>
      <c r="O160" s="104">
        <f t="shared" si="21"/>
        <v>10200</v>
      </c>
    </row>
    <row r="161" spans="1:15" s="105" customFormat="1" ht="15.75" x14ac:dyDescent="0.25">
      <c r="A161" s="113" t="s">
        <v>389</v>
      </c>
      <c r="B161" s="102">
        <v>44453</v>
      </c>
      <c r="C161" s="9" t="s">
        <v>648</v>
      </c>
      <c r="D161" s="30">
        <v>1100</v>
      </c>
      <c r="E161" s="13">
        <v>2.59</v>
      </c>
      <c r="F161" s="50">
        <f t="shared" si="22"/>
        <v>2849</v>
      </c>
      <c r="G161" s="107">
        <v>44778</v>
      </c>
      <c r="H161" s="109">
        <f>20*100</f>
        <v>2000</v>
      </c>
      <c r="I161" s="104">
        <f>3.4+0.612</f>
        <v>4.0119999999999996</v>
      </c>
      <c r="J161" s="108">
        <f>+H161*I161</f>
        <v>8023.9999999999991</v>
      </c>
      <c r="K161" s="103">
        <f>100+25+100</f>
        <v>225</v>
      </c>
      <c r="L161" s="103">
        <f t="shared" si="17"/>
        <v>2875</v>
      </c>
      <c r="M161" s="103" t="s">
        <v>943</v>
      </c>
      <c r="N161" s="103" t="s">
        <v>945</v>
      </c>
      <c r="O161" s="104">
        <f>+L161*I161</f>
        <v>11534.499999999998</v>
      </c>
    </row>
    <row r="162" spans="1:15" s="105" customFormat="1" ht="15.75" x14ac:dyDescent="0.25">
      <c r="A162" s="113" t="s">
        <v>390</v>
      </c>
      <c r="B162" s="102">
        <v>44659</v>
      </c>
      <c r="C162" s="25" t="s">
        <v>855</v>
      </c>
      <c r="D162" s="38">
        <f>25*100</f>
        <v>2500</v>
      </c>
      <c r="E162" s="13">
        <v>4.3499999999999996</v>
      </c>
      <c r="F162" s="50">
        <f t="shared" si="22"/>
        <v>10875</v>
      </c>
      <c r="G162" s="107">
        <v>44778</v>
      </c>
      <c r="H162" s="109">
        <f>10*100</f>
        <v>1000</v>
      </c>
      <c r="I162" s="104">
        <v>4.8899999999999997</v>
      </c>
      <c r="J162" s="108">
        <f>+H162*I162</f>
        <v>4890</v>
      </c>
      <c r="K162" s="103"/>
      <c r="L162" s="103">
        <f t="shared" si="17"/>
        <v>3500</v>
      </c>
      <c r="M162" s="103" t="s">
        <v>943</v>
      </c>
      <c r="N162" s="103" t="s">
        <v>945</v>
      </c>
      <c r="O162" s="104">
        <f>+L162*I162</f>
        <v>17115</v>
      </c>
    </row>
    <row r="163" spans="1:15" s="105" customFormat="1" ht="15.75" x14ac:dyDescent="0.25">
      <c r="A163" s="113" t="s">
        <v>391</v>
      </c>
      <c r="B163" s="102">
        <v>44659</v>
      </c>
      <c r="C163" s="25" t="s">
        <v>651</v>
      </c>
      <c r="D163" s="38">
        <f>60*100</f>
        <v>6000</v>
      </c>
      <c r="E163" s="13">
        <v>6.95</v>
      </c>
      <c r="F163" s="50">
        <f t="shared" si="22"/>
        <v>41700</v>
      </c>
      <c r="G163" s="103"/>
      <c r="H163" s="103"/>
      <c r="I163" s="104"/>
      <c r="J163" s="103"/>
      <c r="K163" s="103">
        <f>100+100</f>
        <v>200</v>
      </c>
      <c r="L163" s="103">
        <f t="shared" si="17"/>
        <v>5800</v>
      </c>
      <c r="M163" s="103"/>
      <c r="N163" s="103" t="s">
        <v>945</v>
      </c>
      <c r="O163" s="104">
        <f>+E163*L163</f>
        <v>40310</v>
      </c>
    </row>
    <row r="164" spans="1:15" s="105" customFormat="1" ht="15.75" x14ac:dyDescent="0.25">
      <c r="A164" s="113" t="s">
        <v>392</v>
      </c>
      <c r="B164" s="102">
        <v>44659</v>
      </c>
      <c r="C164" s="25" t="s">
        <v>652</v>
      </c>
      <c r="D164" s="38">
        <f>30*100</f>
        <v>3000</v>
      </c>
      <c r="E164" s="13">
        <v>6.5</v>
      </c>
      <c r="F164" s="50">
        <f t="shared" si="22"/>
        <v>19500</v>
      </c>
      <c r="G164" s="103"/>
      <c r="H164" s="103"/>
      <c r="I164" s="104"/>
      <c r="J164" s="103"/>
      <c r="K164" s="103">
        <f>100+100+200</f>
        <v>400</v>
      </c>
      <c r="L164" s="103">
        <f t="shared" si="17"/>
        <v>2600</v>
      </c>
      <c r="M164" s="103"/>
      <c r="N164" s="103" t="s">
        <v>945</v>
      </c>
      <c r="O164" s="104">
        <f t="shared" ref="O164:O227" si="23">+E164*L164</f>
        <v>16900</v>
      </c>
    </row>
    <row r="165" spans="1:15" s="105" customFormat="1" ht="15.75" x14ac:dyDescent="0.25">
      <c r="A165" s="113" t="s">
        <v>393</v>
      </c>
      <c r="B165" s="102">
        <v>44193</v>
      </c>
      <c r="C165" s="26" t="s">
        <v>786</v>
      </c>
      <c r="D165" s="32">
        <f>4+8</f>
        <v>12</v>
      </c>
      <c r="E165" s="13">
        <v>150</v>
      </c>
      <c r="F165" s="50">
        <f t="shared" si="22"/>
        <v>1800</v>
      </c>
      <c r="G165" s="103"/>
      <c r="H165" s="103"/>
      <c r="I165" s="104"/>
      <c r="J165" s="103"/>
      <c r="K165" s="103"/>
      <c r="L165" s="103">
        <f t="shared" si="17"/>
        <v>12</v>
      </c>
      <c r="M165" s="103"/>
      <c r="N165" s="103" t="s">
        <v>945</v>
      </c>
      <c r="O165" s="104">
        <f t="shared" si="23"/>
        <v>1800</v>
      </c>
    </row>
    <row r="166" spans="1:15" s="105" customFormat="1" ht="15.75" x14ac:dyDescent="0.25">
      <c r="A166" s="113" t="s">
        <v>394</v>
      </c>
      <c r="B166" s="102"/>
      <c r="C166" s="25" t="s">
        <v>827</v>
      </c>
      <c r="D166" s="38">
        <v>2</v>
      </c>
      <c r="E166" s="13"/>
      <c r="F166" s="50"/>
      <c r="G166" s="103"/>
      <c r="H166" s="103"/>
      <c r="I166" s="104"/>
      <c r="J166" s="103"/>
      <c r="K166" s="103"/>
      <c r="L166" s="103">
        <f t="shared" si="17"/>
        <v>2</v>
      </c>
      <c r="M166" s="103"/>
      <c r="N166" s="103" t="s">
        <v>946</v>
      </c>
      <c r="O166" s="104">
        <f t="shared" si="23"/>
        <v>0</v>
      </c>
    </row>
    <row r="167" spans="1:15" s="105" customFormat="1" ht="15.75" x14ac:dyDescent="0.25">
      <c r="A167" s="113" t="s">
        <v>395</v>
      </c>
      <c r="B167" s="102"/>
      <c r="C167" s="25" t="s">
        <v>828</v>
      </c>
      <c r="D167" s="38">
        <v>1</v>
      </c>
      <c r="E167" s="13"/>
      <c r="F167" s="50"/>
      <c r="G167" s="103"/>
      <c r="H167" s="103"/>
      <c r="I167" s="104"/>
      <c r="J167" s="103"/>
      <c r="K167" s="103"/>
      <c r="L167" s="103">
        <f t="shared" si="17"/>
        <v>1</v>
      </c>
      <c r="M167" s="103"/>
      <c r="N167" s="103" t="s">
        <v>946</v>
      </c>
      <c r="O167" s="104">
        <f t="shared" si="23"/>
        <v>0</v>
      </c>
    </row>
    <row r="168" spans="1:15" s="105" customFormat="1" ht="15.75" x14ac:dyDescent="0.25">
      <c r="A168" s="113" t="s">
        <v>396</v>
      </c>
      <c r="B168" s="102">
        <v>44193</v>
      </c>
      <c r="C168" s="25" t="s">
        <v>653</v>
      </c>
      <c r="D168" s="38">
        <v>50</v>
      </c>
      <c r="E168" s="13">
        <v>575</v>
      </c>
      <c r="F168" s="50">
        <f t="shared" ref="F168:F198" si="24">D168*E168</f>
        <v>28750</v>
      </c>
      <c r="G168" s="103"/>
      <c r="H168" s="103"/>
      <c r="I168" s="104"/>
      <c r="J168" s="103"/>
      <c r="K168" s="103">
        <f>1+1</f>
        <v>2</v>
      </c>
      <c r="L168" s="103">
        <f t="shared" si="17"/>
        <v>48</v>
      </c>
      <c r="M168" s="103"/>
      <c r="N168" s="103" t="s">
        <v>945</v>
      </c>
      <c r="O168" s="104">
        <f t="shared" si="23"/>
        <v>27600</v>
      </c>
    </row>
    <row r="169" spans="1:15" s="105" customFormat="1" ht="15.75" x14ac:dyDescent="0.25">
      <c r="A169" s="113" t="s">
        <v>397</v>
      </c>
      <c r="B169" s="102">
        <v>44193</v>
      </c>
      <c r="C169" s="26" t="s">
        <v>655</v>
      </c>
      <c r="D169" s="32">
        <v>20</v>
      </c>
      <c r="E169" s="13">
        <v>25</v>
      </c>
      <c r="F169" s="50">
        <f t="shared" si="24"/>
        <v>500</v>
      </c>
      <c r="G169" s="107">
        <v>44852</v>
      </c>
      <c r="H169" s="103">
        <v>20</v>
      </c>
      <c r="I169" s="104">
        <v>8.08</v>
      </c>
      <c r="J169" s="103">
        <f>+I169*H169</f>
        <v>161.6</v>
      </c>
      <c r="K169" s="103">
        <v>3</v>
      </c>
      <c r="L169" s="103">
        <f t="shared" si="17"/>
        <v>37</v>
      </c>
      <c r="M169" s="103" t="s">
        <v>1037</v>
      </c>
      <c r="N169" s="103" t="s">
        <v>947</v>
      </c>
      <c r="O169" s="104">
        <f>+L169*I169</f>
        <v>298.95999999999998</v>
      </c>
    </row>
    <row r="170" spans="1:15" s="105" customFormat="1" ht="15.75" x14ac:dyDescent="0.25">
      <c r="A170" s="113" t="s">
        <v>398</v>
      </c>
      <c r="B170" s="102">
        <v>44193</v>
      </c>
      <c r="C170" s="9" t="s">
        <v>656</v>
      </c>
      <c r="D170" s="32">
        <v>15</v>
      </c>
      <c r="E170" s="13">
        <v>275</v>
      </c>
      <c r="F170" s="50">
        <f t="shared" si="24"/>
        <v>4125</v>
      </c>
      <c r="G170" s="103"/>
      <c r="H170" s="103"/>
      <c r="I170" s="104"/>
      <c r="J170" s="103"/>
      <c r="K170" s="103">
        <f>1+3</f>
        <v>4</v>
      </c>
      <c r="L170" s="103">
        <f t="shared" si="17"/>
        <v>11</v>
      </c>
      <c r="M170" s="103"/>
      <c r="N170" s="103" t="s">
        <v>947</v>
      </c>
      <c r="O170" s="104">
        <f t="shared" si="23"/>
        <v>3025</v>
      </c>
    </row>
    <row r="171" spans="1:15" s="105" customFormat="1" ht="15.75" x14ac:dyDescent="0.25">
      <c r="A171" s="113" t="s">
        <v>399</v>
      </c>
      <c r="B171" s="102">
        <v>44193</v>
      </c>
      <c r="C171" s="9" t="s">
        <v>658</v>
      </c>
      <c r="D171" s="30">
        <v>2</v>
      </c>
      <c r="E171" s="13">
        <v>50</v>
      </c>
      <c r="F171" s="50">
        <f t="shared" si="24"/>
        <v>100</v>
      </c>
      <c r="G171" s="103"/>
      <c r="H171" s="103"/>
      <c r="I171" s="104"/>
      <c r="J171" s="103"/>
      <c r="K171" s="103"/>
      <c r="L171" s="103">
        <f t="shared" si="17"/>
        <v>2</v>
      </c>
      <c r="M171" s="103"/>
      <c r="N171" s="103" t="s">
        <v>947</v>
      </c>
      <c r="O171" s="104">
        <f t="shared" si="23"/>
        <v>100</v>
      </c>
    </row>
    <row r="172" spans="1:15" s="105" customFormat="1" ht="15.75" x14ac:dyDescent="0.25">
      <c r="A172" s="113" t="s">
        <v>400</v>
      </c>
      <c r="B172" s="102">
        <v>44193</v>
      </c>
      <c r="C172" s="9" t="s">
        <v>657</v>
      </c>
      <c r="D172" s="30">
        <f>20+9</f>
        <v>29</v>
      </c>
      <c r="E172" s="13">
        <v>50</v>
      </c>
      <c r="F172" s="50">
        <f t="shared" si="24"/>
        <v>1450</v>
      </c>
      <c r="G172" s="103"/>
      <c r="H172" s="103"/>
      <c r="I172" s="104"/>
      <c r="J172" s="103"/>
      <c r="K172" s="103">
        <v>1</v>
      </c>
      <c r="L172" s="103">
        <f t="shared" si="17"/>
        <v>28</v>
      </c>
      <c r="M172" s="103"/>
      <c r="N172" s="103" t="s">
        <v>947</v>
      </c>
      <c r="O172" s="104">
        <f t="shared" si="23"/>
        <v>1400</v>
      </c>
    </row>
    <row r="173" spans="1:15" s="105" customFormat="1" ht="15.75" x14ac:dyDescent="0.25">
      <c r="A173" s="113" t="s">
        <v>401</v>
      </c>
      <c r="B173" s="102">
        <v>44193</v>
      </c>
      <c r="C173" s="26" t="s">
        <v>660</v>
      </c>
      <c r="D173" s="30">
        <v>35</v>
      </c>
      <c r="E173" s="13">
        <v>7</v>
      </c>
      <c r="F173" s="50">
        <f t="shared" si="24"/>
        <v>245</v>
      </c>
      <c r="G173" s="103"/>
      <c r="H173" s="103"/>
      <c r="I173" s="104"/>
      <c r="J173" s="103"/>
      <c r="K173" s="103"/>
      <c r="L173" s="103">
        <f t="shared" si="17"/>
        <v>35</v>
      </c>
      <c r="M173" s="103"/>
      <c r="N173" s="103" t="s">
        <v>945</v>
      </c>
      <c r="O173" s="104">
        <f t="shared" si="23"/>
        <v>245</v>
      </c>
    </row>
    <row r="174" spans="1:15" s="105" customFormat="1" ht="15.75" x14ac:dyDescent="0.25">
      <c r="A174" s="113" t="s">
        <v>402</v>
      </c>
      <c r="B174" s="102">
        <v>44193</v>
      </c>
      <c r="C174" s="26" t="s">
        <v>659</v>
      </c>
      <c r="D174" s="30">
        <v>34</v>
      </c>
      <c r="E174" s="13">
        <v>125</v>
      </c>
      <c r="F174" s="50">
        <f t="shared" si="24"/>
        <v>4250</v>
      </c>
      <c r="G174" s="103"/>
      <c r="H174" s="103"/>
      <c r="I174" s="104"/>
      <c r="J174" s="103"/>
      <c r="K174" s="103">
        <v>1</v>
      </c>
      <c r="L174" s="103">
        <f t="shared" si="17"/>
        <v>33</v>
      </c>
      <c r="M174" s="103"/>
      <c r="N174" s="103" t="s">
        <v>945</v>
      </c>
      <c r="O174" s="104">
        <f t="shared" si="23"/>
        <v>4125</v>
      </c>
    </row>
    <row r="175" spans="1:15" s="105" customFormat="1" ht="15.75" x14ac:dyDescent="0.25">
      <c r="A175" s="113" t="s">
        <v>403</v>
      </c>
      <c r="B175" s="102">
        <v>44193</v>
      </c>
      <c r="C175" s="26" t="s">
        <v>661</v>
      </c>
      <c r="D175" s="30">
        <v>106</v>
      </c>
      <c r="E175" s="13">
        <v>7</v>
      </c>
      <c r="F175" s="50">
        <f t="shared" si="24"/>
        <v>742</v>
      </c>
      <c r="G175" s="103"/>
      <c r="H175" s="103"/>
      <c r="I175" s="104"/>
      <c r="J175" s="103"/>
      <c r="K175" s="103">
        <v>3</v>
      </c>
      <c r="L175" s="103">
        <f t="shared" si="17"/>
        <v>103</v>
      </c>
      <c r="M175" s="103"/>
      <c r="N175" s="103" t="s">
        <v>945</v>
      </c>
      <c r="O175" s="104">
        <f t="shared" si="23"/>
        <v>721</v>
      </c>
    </row>
    <row r="176" spans="1:15" s="105" customFormat="1" ht="15.75" x14ac:dyDescent="0.25">
      <c r="A176" s="113" t="s">
        <v>404</v>
      </c>
      <c r="B176" s="102">
        <v>44456</v>
      </c>
      <c r="C176" s="26" t="s">
        <v>662</v>
      </c>
      <c r="D176" s="30">
        <v>27</v>
      </c>
      <c r="E176" s="13">
        <v>7</v>
      </c>
      <c r="F176" s="50">
        <f t="shared" si="24"/>
        <v>189</v>
      </c>
      <c r="G176" s="103"/>
      <c r="H176" s="103"/>
      <c r="I176" s="104"/>
      <c r="J176" s="103"/>
      <c r="K176" s="103"/>
      <c r="L176" s="103">
        <f t="shared" ref="L176:L239" si="25">+D176+H176-K176</f>
        <v>27</v>
      </c>
      <c r="M176" s="103"/>
      <c r="N176" s="103" t="s">
        <v>945</v>
      </c>
      <c r="O176" s="104">
        <f t="shared" si="23"/>
        <v>189</v>
      </c>
    </row>
    <row r="177" spans="1:15" s="105" customFormat="1" ht="15.75" x14ac:dyDescent="0.25">
      <c r="A177" s="113" t="s">
        <v>405</v>
      </c>
      <c r="B177" s="102">
        <v>44193</v>
      </c>
      <c r="C177" s="26" t="s">
        <v>800</v>
      </c>
      <c r="D177" s="32">
        <f>6+6</f>
        <v>12</v>
      </c>
      <c r="E177" s="13">
        <v>135</v>
      </c>
      <c r="F177" s="50">
        <f t="shared" si="24"/>
        <v>1620</v>
      </c>
      <c r="G177" s="103"/>
      <c r="H177" s="103"/>
      <c r="I177" s="104"/>
      <c r="J177" s="103"/>
      <c r="K177" s="103"/>
      <c r="L177" s="103">
        <f t="shared" si="25"/>
        <v>12</v>
      </c>
      <c r="M177" s="103"/>
      <c r="N177" s="103" t="s">
        <v>946</v>
      </c>
      <c r="O177" s="104">
        <f t="shared" si="23"/>
        <v>1620</v>
      </c>
    </row>
    <row r="178" spans="1:15" s="105" customFormat="1" ht="15.75" x14ac:dyDescent="0.25">
      <c r="A178" s="113" t="s">
        <v>406</v>
      </c>
      <c r="B178" s="102">
        <v>44193</v>
      </c>
      <c r="C178" s="26" t="s">
        <v>663</v>
      </c>
      <c r="D178" s="55">
        <v>42</v>
      </c>
      <c r="E178" s="13">
        <v>115</v>
      </c>
      <c r="F178" s="50">
        <f t="shared" si="24"/>
        <v>4830</v>
      </c>
      <c r="G178" s="103"/>
      <c r="H178" s="103"/>
      <c r="I178" s="104"/>
      <c r="J178" s="103"/>
      <c r="K178" s="103"/>
      <c r="L178" s="103">
        <f t="shared" si="25"/>
        <v>42</v>
      </c>
      <c r="M178" s="103"/>
      <c r="N178" s="103" t="s">
        <v>946</v>
      </c>
      <c r="O178" s="104">
        <f t="shared" si="23"/>
        <v>4830</v>
      </c>
    </row>
    <row r="179" spans="1:15" s="105" customFormat="1" ht="15.75" x14ac:dyDescent="0.25">
      <c r="A179" s="113" t="s">
        <v>407</v>
      </c>
      <c r="B179" s="102">
        <v>44656</v>
      </c>
      <c r="C179" s="26" t="s">
        <v>768</v>
      </c>
      <c r="D179" s="32">
        <v>104</v>
      </c>
      <c r="E179" s="13">
        <v>636.6</v>
      </c>
      <c r="F179" s="50">
        <f t="shared" si="24"/>
        <v>66206.400000000009</v>
      </c>
      <c r="G179" s="103"/>
      <c r="H179" s="103"/>
      <c r="I179" s="104"/>
      <c r="J179" s="103"/>
      <c r="K179" s="103">
        <f>1+1+1+1+1+1+1+1+1</f>
        <v>9</v>
      </c>
      <c r="L179" s="103">
        <f t="shared" si="25"/>
        <v>95</v>
      </c>
      <c r="M179" s="103"/>
      <c r="N179" s="103" t="s">
        <v>945</v>
      </c>
      <c r="O179" s="104">
        <f t="shared" si="23"/>
        <v>60477</v>
      </c>
    </row>
    <row r="180" spans="1:15" s="105" customFormat="1" ht="15.75" x14ac:dyDescent="0.25">
      <c r="A180" s="113" t="s">
        <v>408</v>
      </c>
      <c r="B180" s="102">
        <v>44656</v>
      </c>
      <c r="C180" s="25" t="s">
        <v>769</v>
      </c>
      <c r="D180" s="32">
        <v>74</v>
      </c>
      <c r="E180" s="13">
        <v>115.48</v>
      </c>
      <c r="F180" s="50">
        <f t="shared" si="24"/>
        <v>8545.52</v>
      </c>
      <c r="G180" s="103"/>
      <c r="H180" s="103"/>
      <c r="I180" s="104"/>
      <c r="J180" s="103"/>
      <c r="K180" s="103">
        <f>1+2+1+1+1+1+1+1+1+1+1+1+1+1</f>
        <v>15</v>
      </c>
      <c r="L180" s="103">
        <f t="shared" si="25"/>
        <v>59</v>
      </c>
      <c r="M180" s="103"/>
      <c r="N180" s="103" t="s">
        <v>945</v>
      </c>
      <c r="O180" s="104">
        <f t="shared" si="23"/>
        <v>6813.3200000000006</v>
      </c>
    </row>
    <row r="181" spans="1:15" s="105" customFormat="1" ht="15.75" x14ac:dyDescent="0.25">
      <c r="A181" s="113" t="s">
        <v>409</v>
      </c>
      <c r="B181" s="102">
        <v>44193</v>
      </c>
      <c r="C181" s="25" t="s">
        <v>796</v>
      </c>
      <c r="D181" s="38">
        <v>3</v>
      </c>
      <c r="E181" s="13">
        <v>352</v>
      </c>
      <c r="F181" s="50">
        <f t="shared" si="24"/>
        <v>1056</v>
      </c>
      <c r="G181" s="103"/>
      <c r="H181" s="103"/>
      <c r="I181" s="104"/>
      <c r="J181" s="103"/>
      <c r="K181" s="103"/>
      <c r="L181" s="103">
        <f t="shared" si="25"/>
        <v>3</v>
      </c>
      <c r="M181" s="103"/>
      <c r="N181" s="103" t="s">
        <v>946</v>
      </c>
      <c r="O181" s="104">
        <f>+E181*L181</f>
        <v>1056</v>
      </c>
    </row>
    <row r="182" spans="1:15" s="105" customFormat="1" ht="15.75" x14ac:dyDescent="0.25">
      <c r="A182" s="113" t="s">
        <v>410</v>
      </c>
      <c r="B182" s="102">
        <v>44193</v>
      </c>
      <c r="C182" s="25" t="s">
        <v>670</v>
      </c>
      <c r="D182" s="55">
        <f>38+19</f>
        <v>57</v>
      </c>
      <c r="E182" s="13">
        <v>67.8</v>
      </c>
      <c r="F182" s="50">
        <f t="shared" si="24"/>
        <v>3864.6</v>
      </c>
      <c r="G182" s="103"/>
      <c r="H182" s="103"/>
      <c r="I182" s="104"/>
      <c r="J182" s="103"/>
      <c r="K182" s="103"/>
      <c r="L182" s="103">
        <f t="shared" si="25"/>
        <v>57</v>
      </c>
      <c r="M182" s="103"/>
      <c r="N182" s="103" t="s">
        <v>946</v>
      </c>
      <c r="O182" s="104">
        <f t="shared" si="23"/>
        <v>3864.6</v>
      </c>
    </row>
    <row r="183" spans="1:15" s="105" customFormat="1" ht="15.75" x14ac:dyDescent="0.25">
      <c r="A183" s="113" t="s">
        <v>411</v>
      </c>
      <c r="B183" s="102">
        <v>44193</v>
      </c>
      <c r="C183" s="25" t="s">
        <v>671</v>
      </c>
      <c r="D183" s="55">
        <f>19+19</f>
        <v>38</v>
      </c>
      <c r="E183" s="13">
        <v>67.8</v>
      </c>
      <c r="F183" s="50">
        <f t="shared" si="24"/>
        <v>2576.4</v>
      </c>
      <c r="G183" s="103"/>
      <c r="H183" s="103"/>
      <c r="I183" s="104"/>
      <c r="J183" s="103"/>
      <c r="K183" s="103"/>
      <c r="L183" s="103">
        <f t="shared" si="25"/>
        <v>38</v>
      </c>
      <c r="M183" s="103"/>
      <c r="N183" s="103" t="s">
        <v>946</v>
      </c>
      <c r="O183" s="104">
        <f t="shared" si="23"/>
        <v>2576.4</v>
      </c>
    </row>
    <row r="184" spans="1:15" s="105" customFormat="1" ht="15.75" x14ac:dyDescent="0.25">
      <c r="A184" s="113" t="s">
        <v>412</v>
      </c>
      <c r="B184" s="102">
        <v>44193</v>
      </c>
      <c r="C184" s="25" t="s">
        <v>669</v>
      </c>
      <c r="D184" s="32">
        <v>0</v>
      </c>
      <c r="E184" s="13">
        <v>67.8</v>
      </c>
      <c r="F184" s="50">
        <f t="shared" si="24"/>
        <v>0</v>
      </c>
      <c r="G184" s="103"/>
      <c r="H184" s="103"/>
      <c r="I184" s="104"/>
      <c r="J184" s="103"/>
      <c r="K184" s="103"/>
      <c r="L184" s="103">
        <f t="shared" si="25"/>
        <v>0</v>
      </c>
      <c r="M184" s="103"/>
      <c r="N184" s="103" t="s">
        <v>946</v>
      </c>
      <c r="O184" s="104">
        <f t="shared" si="23"/>
        <v>0</v>
      </c>
    </row>
    <row r="185" spans="1:15" s="105" customFormat="1" ht="15.75" x14ac:dyDescent="0.25">
      <c r="A185" s="113" t="s">
        <v>413</v>
      </c>
      <c r="B185" s="102">
        <v>44193</v>
      </c>
      <c r="C185" s="9" t="s">
        <v>672</v>
      </c>
      <c r="D185" s="55">
        <v>50</v>
      </c>
      <c r="E185" s="13">
        <v>170.69</v>
      </c>
      <c r="F185" s="50">
        <f t="shared" si="24"/>
        <v>8534.5</v>
      </c>
      <c r="G185" s="103"/>
      <c r="H185" s="103"/>
      <c r="I185" s="104"/>
      <c r="J185" s="103"/>
      <c r="K185" s="103"/>
      <c r="L185" s="103">
        <f t="shared" si="25"/>
        <v>50</v>
      </c>
      <c r="M185" s="103"/>
      <c r="N185" s="103" t="s">
        <v>947</v>
      </c>
      <c r="O185" s="104">
        <f t="shared" si="23"/>
        <v>8534.5</v>
      </c>
    </row>
    <row r="186" spans="1:15" s="105" customFormat="1" ht="15.75" x14ac:dyDescent="0.25">
      <c r="A186" s="113" t="s">
        <v>414</v>
      </c>
      <c r="B186" s="102">
        <v>44193</v>
      </c>
      <c r="C186" s="9" t="s">
        <v>673</v>
      </c>
      <c r="D186" s="55">
        <v>1040</v>
      </c>
      <c r="E186" s="13">
        <v>170.69</v>
      </c>
      <c r="F186" s="50">
        <f t="shared" si="24"/>
        <v>177517.6</v>
      </c>
      <c r="G186" s="103"/>
      <c r="H186" s="103"/>
      <c r="I186" s="104"/>
      <c r="J186" s="103"/>
      <c r="K186" s="103"/>
      <c r="L186" s="103">
        <f t="shared" si="25"/>
        <v>1040</v>
      </c>
      <c r="M186" s="103"/>
      <c r="N186" s="103" t="s">
        <v>947</v>
      </c>
      <c r="O186" s="104">
        <f t="shared" si="23"/>
        <v>177517.6</v>
      </c>
    </row>
    <row r="187" spans="1:15" s="105" customFormat="1" ht="15.75" x14ac:dyDescent="0.25">
      <c r="A187" s="113" t="s">
        <v>415</v>
      </c>
      <c r="B187" s="102">
        <v>44193</v>
      </c>
      <c r="C187" s="9" t="s">
        <v>674</v>
      </c>
      <c r="D187" s="56">
        <v>1</v>
      </c>
      <c r="E187" s="13">
        <v>170.69</v>
      </c>
      <c r="F187" s="50">
        <f t="shared" si="24"/>
        <v>170.69</v>
      </c>
      <c r="G187" s="103"/>
      <c r="H187" s="103"/>
      <c r="I187" s="104"/>
      <c r="J187" s="103"/>
      <c r="K187" s="103"/>
      <c r="L187" s="103">
        <f t="shared" si="25"/>
        <v>1</v>
      </c>
      <c r="M187" s="103"/>
      <c r="N187" s="103" t="s">
        <v>947</v>
      </c>
      <c r="O187" s="104">
        <f t="shared" si="23"/>
        <v>170.69</v>
      </c>
    </row>
    <row r="188" spans="1:15" s="105" customFormat="1" ht="15.75" x14ac:dyDescent="0.25">
      <c r="A188" s="113" t="s">
        <v>416</v>
      </c>
      <c r="B188" s="102">
        <v>44193</v>
      </c>
      <c r="C188" s="9" t="s">
        <v>675</v>
      </c>
      <c r="D188" s="30">
        <v>300</v>
      </c>
      <c r="E188" s="13">
        <v>6.5</v>
      </c>
      <c r="F188" s="50">
        <f t="shared" si="24"/>
        <v>1950</v>
      </c>
      <c r="G188" s="103"/>
      <c r="H188" s="103"/>
      <c r="I188" s="104"/>
      <c r="J188" s="103"/>
      <c r="K188" s="103"/>
      <c r="L188" s="103">
        <f t="shared" si="25"/>
        <v>300</v>
      </c>
      <c r="M188" s="103"/>
      <c r="N188" s="103" t="s">
        <v>947</v>
      </c>
      <c r="O188" s="104">
        <f t="shared" si="23"/>
        <v>1950</v>
      </c>
    </row>
    <row r="189" spans="1:15" s="105" customFormat="1" ht="15.75" x14ac:dyDescent="0.25">
      <c r="A189" s="113" t="s">
        <v>417</v>
      </c>
      <c r="B189" s="102">
        <v>44193</v>
      </c>
      <c r="C189" s="9" t="s">
        <v>676</v>
      </c>
      <c r="D189" s="30">
        <v>2</v>
      </c>
      <c r="E189" s="13">
        <v>3.5</v>
      </c>
      <c r="F189" s="50">
        <f t="shared" si="24"/>
        <v>7</v>
      </c>
      <c r="G189" s="103"/>
      <c r="H189" s="103"/>
      <c r="I189" s="104"/>
      <c r="J189" s="103"/>
      <c r="K189" s="103"/>
      <c r="L189" s="103">
        <f t="shared" si="25"/>
        <v>2</v>
      </c>
      <c r="M189" s="103"/>
      <c r="N189" s="103" t="s">
        <v>947</v>
      </c>
      <c r="O189" s="104">
        <f t="shared" si="23"/>
        <v>7</v>
      </c>
    </row>
    <row r="190" spans="1:15" s="105" customFormat="1" ht="15.75" x14ac:dyDescent="0.25">
      <c r="A190" s="113" t="s">
        <v>418</v>
      </c>
      <c r="B190" s="102">
        <v>44193</v>
      </c>
      <c r="C190" s="26" t="s">
        <v>678</v>
      </c>
      <c r="D190" s="30">
        <v>5</v>
      </c>
      <c r="E190" s="13">
        <v>5000</v>
      </c>
      <c r="F190" s="50">
        <f t="shared" si="24"/>
        <v>25000</v>
      </c>
      <c r="G190" s="103"/>
      <c r="H190" s="103"/>
      <c r="I190" s="104"/>
      <c r="J190" s="103"/>
      <c r="K190" s="103"/>
      <c r="L190" s="103">
        <f t="shared" si="25"/>
        <v>5</v>
      </c>
      <c r="M190" s="103"/>
      <c r="N190" s="103" t="s">
        <v>946</v>
      </c>
      <c r="O190" s="104">
        <f t="shared" si="23"/>
        <v>25000</v>
      </c>
    </row>
    <row r="191" spans="1:15" s="105" customFormat="1" ht="15.75" x14ac:dyDescent="0.25">
      <c r="A191" s="113" t="s">
        <v>419</v>
      </c>
      <c r="B191" s="102">
        <v>44193</v>
      </c>
      <c r="C191" s="26" t="s">
        <v>677</v>
      </c>
      <c r="D191" s="30">
        <v>2</v>
      </c>
      <c r="E191" s="13">
        <v>10800</v>
      </c>
      <c r="F191" s="50">
        <f t="shared" si="24"/>
        <v>21600</v>
      </c>
      <c r="G191" s="103"/>
      <c r="H191" s="103"/>
      <c r="I191" s="104"/>
      <c r="J191" s="103"/>
      <c r="K191" s="103"/>
      <c r="L191" s="103">
        <f t="shared" si="25"/>
        <v>2</v>
      </c>
      <c r="M191" s="103"/>
      <c r="N191" s="103" t="s">
        <v>946</v>
      </c>
      <c r="O191" s="104">
        <f>+E191*L191</f>
        <v>21600</v>
      </c>
    </row>
    <row r="192" spans="1:15" s="105" customFormat="1" ht="15.75" x14ac:dyDescent="0.25">
      <c r="A192" s="113" t="s">
        <v>420</v>
      </c>
      <c r="B192" s="102">
        <v>44193</v>
      </c>
      <c r="C192" s="9" t="s">
        <v>679</v>
      </c>
      <c r="D192" s="38">
        <v>29</v>
      </c>
      <c r="E192" s="13">
        <v>33</v>
      </c>
      <c r="F192" s="50">
        <f t="shared" si="24"/>
        <v>957</v>
      </c>
      <c r="G192" s="103"/>
      <c r="H192" s="103"/>
      <c r="I192" s="104"/>
      <c r="J192" s="103"/>
      <c r="K192" s="103"/>
      <c r="L192" s="103">
        <f t="shared" si="25"/>
        <v>29</v>
      </c>
      <c r="M192" s="103"/>
      <c r="N192" s="103" t="s">
        <v>947</v>
      </c>
      <c r="O192" s="104">
        <f t="shared" si="23"/>
        <v>957</v>
      </c>
    </row>
    <row r="193" spans="1:15" s="105" customFormat="1" ht="15.75" x14ac:dyDescent="0.25">
      <c r="A193" s="113" t="s">
        <v>421</v>
      </c>
      <c r="B193" s="102">
        <v>44193</v>
      </c>
      <c r="C193" s="9" t="s">
        <v>1035</v>
      </c>
      <c r="D193" s="30">
        <f>8*12</f>
        <v>96</v>
      </c>
      <c r="E193" s="13">
        <v>15</v>
      </c>
      <c r="F193" s="50">
        <f t="shared" si="24"/>
        <v>1440</v>
      </c>
      <c r="G193" s="107">
        <v>44852</v>
      </c>
      <c r="H193" s="103">
        <f>12*30</f>
        <v>360</v>
      </c>
      <c r="I193" s="104">
        <v>5.31</v>
      </c>
      <c r="J193" s="104">
        <f>+I193*H193</f>
        <v>1911.6</v>
      </c>
      <c r="K193" s="103">
        <v>12</v>
      </c>
      <c r="L193" s="103">
        <f t="shared" si="25"/>
        <v>444</v>
      </c>
      <c r="M193" s="103" t="s">
        <v>1037</v>
      </c>
      <c r="N193" s="103" t="s">
        <v>947</v>
      </c>
      <c r="O193" s="104">
        <f>+L193*I193</f>
        <v>2357.64</v>
      </c>
    </row>
    <row r="194" spans="1:15" s="105" customFormat="1" ht="15.75" x14ac:dyDescent="0.25">
      <c r="A194" s="113" t="s">
        <v>422</v>
      </c>
      <c r="B194" s="102">
        <v>44547</v>
      </c>
      <c r="C194" s="9" t="s">
        <v>777</v>
      </c>
      <c r="D194" s="30">
        <v>27</v>
      </c>
      <c r="E194" s="13">
        <v>8.34</v>
      </c>
      <c r="F194" s="50">
        <f t="shared" si="24"/>
        <v>225.18</v>
      </c>
      <c r="G194" s="103"/>
      <c r="H194" s="103"/>
      <c r="I194" s="104"/>
      <c r="J194" s="104"/>
      <c r="K194" s="103"/>
      <c r="L194" s="103">
        <f t="shared" si="25"/>
        <v>27</v>
      </c>
      <c r="M194" s="103"/>
      <c r="N194" s="103" t="s">
        <v>947</v>
      </c>
      <c r="O194" s="104">
        <f t="shared" si="23"/>
        <v>225.18</v>
      </c>
    </row>
    <row r="195" spans="1:15" s="105" customFormat="1" ht="15.75" x14ac:dyDescent="0.25">
      <c r="A195" s="113" t="s">
        <v>423</v>
      </c>
      <c r="B195" s="102">
        <v>44193</v>
      </c>
      <c r="C195" s="9" t="s">
        <v>778</v>
      </c>
      <c r="D195" s="30">
        <v>12</v>
      </c>
      <c r="E195" s="13">
        <v>8.34</v>
      </c>
      <c r="F195" s="50">
        <f t="shared" si="24"/>
        <v>100.08</v>
      </c>
      <c r="G195" s="103"/>
      <c r="H195" s="103"/>
      <c r="I195" s="104"/>
      <c r="J195" s="104"/>
      <c r="K195" s="103"/>
      <c r="L195" s="103">
        <f t="shared" si="25"/>
        <v>12</v>
      </c>
      <c r="M195" s="103"/>
      <c r="N195" s="103" t="s">
        <v>947</v>
      </c>
      <c r="O195" s="104">
        <f t="shared" si="23"/>
        <v>100.08</v>
      </c>
    </row>
    <row r="196" spans="1:15" s="105" customFormat="1" ht="15.75" x14ac:dyDescent="0.25">
      <c r="A196" s="113" t="s">
        <v>424</v>
      </c>
      <c r="B196" s="102">
        <v>44193</v>
      </c>
      <c r="C196" s="9" t="s">
        <v>681</v>
      </c>
      <c r="D196" s="30">
        <v>139</v>
      </c>
      <c r="E196" s="13">
        <v>5.6</v>
      </c>
      <c r="F196" s="50">
        <f t="shared" si="24"/>
        <v>778.4</v>
      </c>
      <c r="G196" s="103"/>
      <c r="H196" s="103"/>
      <c r="I196" s="104"/>
      <c r="J196" s="104"/>
      <c r="K196" s="103"/>
      <c r="L196" s="103">
        <f t="shared" si="25"/>
        <v>139</v>
      </c>
      <c r="M196" s="103"/>
      <c r="N196" s="103" t="s">
        <v>947</v>
      </c>
      <c r="O196" s="104">
        <f>+E196*L196</f>
        <v>778.4</v>
      </c>
    </row>
    <row r="197" spans="1:15" s="105" customFormat="1" ht="15.75" x14ac:dyDescent="0.25">
      <c r="A197" s="113" t="s">
        <v>425</v>
      </c>
      <c r="B197" s="102">
        <v>44193</v>
      </c>
      <c r="C197" s="9" t="s">
        <v>684</v>
      </c>
      <c r="D197" s="30">
        <v>79</v>
      </c>
      <c r="E197" s="13">
        <v>160</v>
      </c>
      <c r="F197" s="50">
        <f t="shared" si="24"/>
        <v>12640</v>
      </c>
      <c r="G197" s="103"/>
      <c r="H197" s="103"/>
      <c r="I197" s="104"/>
      <c r="J197" s="104"/>
      <c r="K197" s="103"/>
      <c r="L197" s="103">
        <f t="shared" si="25"/>
        <v>79</v>
      </c>
      <c r="M197" s="103"/>
      <c r="N197" s="103" t="s">
        <v>945</v>
      </c>
      <c r="O197" s="104">
        <f t="shared" si="23"/>
        <v>12640</v>
      </c>
    </row>
    <row r="198" spans="1:15" s="105" customFormat="1" ht="15.75" x14ac:dyDescent="0.25">
      <c r="A198" s="113" t="s">
        <v>426</v>
      </c>
      <c r="B198" s="102">
        <v>44193</v>
      </c>
      <c r="C198" s="9" t="s">
        <v>787</v>
      </c>
      <c r="D198" s="30">
        <v>11</v>
      </c>
      <c r="E198" s="13">
        <v>35</v>
      </c>
      <c r="F198" s="50">
        <f t="shared" si="24"/>
        <v>385</v>
      </c>
      <c r="G198" s="107">
        <v>44852</v>
      </c>
      <c r="H198" s="103">
        <v>30</v>
      </c>
      <c r="I198" s="104">
        <v>38.65</v>
      </c>
      <c r="J198" s="104">
        <f>+I198*H198</f>
        <v>1159.5</v>
      </c>
      <c r="K198" s="103"/>
      <c r="L198" s="103">
        <f t="shared" si="25"/>
        <v>41</v>
      </c>
      <c r="M198" s="103" t="s">
        <v>1037</v>
      </c>
      <c r="N198" s="103" t="s">
        <v>947</v>
      </c>
      <c r="O198" s="104">
        <f>+L198*I198</f>
        <v>1584.6499999999999</v>
      </c>
    </row>
    <row r="199" spans="1:15" s="105" customFormat="1" ht="15.75" x14ac:dyDescent="0.25">
      <c r="A199" s="113" t="s">
        <v>427</v>
      </c>
      <c r="B199" s="102"/>
      <c r="C199" s="25" t="s">
        <v>782</v>
      </c>
      <c r="D199" s="38">
        <v>38</v>
      </c>
      <c r="E199" s="13"/>
      <c r="F199" s="50"/>
      <c r="G199" s="103"/>
      <c r="H199" s="103"/>
      <c r="I199" s="104"/>
      <c r="J199" s="104"/>
      <c r="K199" s="103"/>
      <c r="L199" s="103">
        <f t="shared" si="25"/>
        <v>38</v>
      </c>
      <c r="M199" s="103"/>
      <c r="N199" s="103" t="s">
        <v>947</v>
      </c>
      <c r="O199" s="104">
        <f t="shared" si="23"/>
        <v>0</v>
      </c>
    </row>
    <row r="200" spans="1:15" s="105" customFormat="1" ht="15.75" x14ac:dyDescent="0.25">
      <c r="A200" s="113" t="s">
        <v>428</v>
      </c>
      <c r="B200" s="106" t="s">
        <v>106</v>
      </c>
      <c r="C200" s="9" t="s">
        <v>780</v>
      </c>
      <c r="D200" s="30">
        <v>2</v>
      </c>
      <c r="E200" s="51">
        <v>325</v>
      </c>
      <c r="F200" s="50">
        <f>D200*E200</f>
        <v>650</v>
      </c>
      <c r="G200" s="107">
        <v>44852</v>
      </c>
      <c r="H200" s="103">
        <v>10</v>
      </c>
      <c r="I200" s="104">
        <v>310.33999999999997</v>
      </c>
      <c r="J200" s="104">
        <f>+I200*H200</f>
        <v>3103.3999999999996</v>
      </c>
      <c r="K200" s="103"/>
      <c r="L200" s="103">
        <f t="shared" si="25"/>
        <v>12</v>
      </c>
      <c r="M200" s="103" t="s">
        <v>1037</v>
      </c>
      <c r="N200" s="103" t="s">
        <v>947</v>
      </c>
      <c r="O200" s="104">
        <f>+L200*I200</f>
        <v>3724.08</v>
      </c>
    </row>
    <row r="201" spans="1:15" s="105" customFormat="1" ht="15.75" x14ac:dyDescent="0.25">
      <c r="A201" s="113" t="s">
        <v>429</v>
      </c>
      <c r="B201" s="102"/>
      <c r="C201" s="25" t="s">
        <v>783</v>
      </c>
      <c r="D201" s="38">
        <v>15</v>
      </c>
      <c r="E201" s="13"/>
      <c r="F201" s="50"/>
      <c r="G201" s="103"/>
      <c r="H201" s="103"/>
      <c r="I201" s="104"/>
      <c r="J201" s="103"/>
      <c r="K201" s="103"/>
      <c r="L201" s="103">
        <f t="shared" si="25"/>
        <v>15</v>
      </c>
      <c r="M201" s="103"/>
      <c r="N201" s="103" t="s">
        <v>947</v>
      </c>
      <c r="O201" s="104">
        <f t="shared" si="23"/>
        <v>0</v>
      </c>
    </row>
    <row r="202" spans="1:15" s="105" customFormat="1" ht="15.75" x14ac:dyDescent="0.25">
      <c r="A202" s="113" t="s">
        <v>430</v>
      </c>
      <c r="B202" s="102">
        <v>44193</v>
      </c>
      <c r="C202" s="9" t="s">
        <v>687</v>
      </c>
      <c r="D202" s="32">
        <v>2</v>
      </c>
      <c r="E202" s="13">
        <v>175</v>
      </c>
      <c r="F202" s="50">
        <f t="shared" ref="F202:F260" si="26">D202*E202</f>
        <v>350</v>
      </c>
      <c r="G202" s="103"/>
      <c r="H202" s="103"/>
      <c r="I202" s="104"/>
      <c r="J202" s="103"/>
      <c r="K202" s="103"/>
      <c r="L202" s="103">
        <f t="shared" si="25"/>
        <v>2</v>
      </c>
      <c r="M202" s="103"/>
      <c r="N202" s="103" t="s">
        <v>947</v>
      </c>
      <c r="O202" s="104">
        <f t="shared" si="23"/>
        <v>350</v>
      </c>
    </row>
    <row r="203" spans="1:15" s="105" customFormat="1" ht="15.75" x14ac:dyDescent="0.25">
      <c r="A203" s="113" t="s">
        <v>431</v>
      </c>
      <c r="B203" s="102">
        <v>44193</v>
      </c>
      <c r="C203" s="26" t="s">
        <v>695</v>
      </c>
      <c r="D203" s="38">
        <v>1</v>
      </c>
      <c r="E203" s="13">
        <v>270.55</v>
      </c>
      <c r="F203" s="50">
        <f t="shared" si="26"/>
        <v>270.55</v>
      </c>
      <c r="G203" s="103"/>
      <c r="H203" s="103"/>
      <c r="I203" s="104"/>
      <c r="J203" s="103"/>
      <c r="K203" s="103"/>
      <c r="L203" s="103">
        <f t="shared" si="25"/>
        <v>1</v>
      </c>
      <c r="M203" s="103"/>
      <c r="N203" s="103" t="s">
        <v>946</v>
      </c>
      <c r="O203" s="104">
        <f t="shared" si="23"/>
        <v>270.55</v>
      </c>
    </row>
    <row r="204" spans="1:15" s="105" customFormat="1" ht="15.75" x14ac:dyDescent="0.25">
      <c r="A204" s="113" t="s">
        <v>432</v>
      </c>
      <c r="B204" s="102">
        <v>44193</v>
      </c>
      <c r="C204" s="25" t="s">
        <v>688</v>
      </c>
      <c r="D204" s="58">
        <v>3</v>
      </c>
      <c r="E204" s="13">
        <v>79.8</v>
      </c>
      <c r="F204" s="50">
        <f t="shared" si="26"/>
        <v>239.39999999999998</v>
      </c>
      <c r="G204" s="103"/>
      <c r="H204" s="103"/>
      <c r="I204" s="104"/>
      <c r="J204" s="103"/>
      <c r="K204" s="103"/>
      <c r="L204" s="103">
        <f t="shared" si="25"/>
        <v>3</v>
      </c>
      <c r="M204" s="103"/>
      <c r="N204" s="103" t="s">
        <v>946</v>
      </c>
      <c r="O204" s="104">
        <f t="shared" si="23"/>
        <v>239.39999999999998</v>
      </c>
    </row>
    <row r="205" spans="1:15" s="105" customFormat="1" ht="15.75" x14ac:dyDescent="0.25">
      <c r="A205" s="113" t="s">
        <v>433</v>
      </c>
      <c r="B205" s="102">
        <v>44193</v>
      </c>
      <c r="C205" s="25" t="s">
        <v>689</v>
      </c>
      <c r="D205" s="55">
        <v>7</v>
      </c>
      <c r="E205" s="13">
        <v>79.8</v>
      </c>
      <c r="F205" s="50">
        <f t="shared" si="26"/>
        <v>558.6</v>
      </c>
      <c r="G205" s="103"/>
      <c r="H205" s="103"/>
      <c r="I205" s="104"/>
      <c r="J205" s="103"/>
      <c r="K205" s="103"/>
      <c r="L205" s="103">
        <f t="shared" si="25"/>
        <v>7</v>
      </c>
      <c r="M205" s="103"/>
      <c r="N205" s="103" t="s">
        <v>946</v>
      </c>
      <c r="O205" s="104">
        <f t="shared" si="23"/>
        <v>558.6</v>
      </c>
    </row>
    <row r="206" spans="1:15" s="105" customFormat="1" ht="15.75" x14ac:dyDescent="0.25">
      <c r="A206" s="113" t="s">
        <v>434</v>
      </c>
      <c r="B206" s="102">
        <v>44193</v>
      </c>
      <c r="C206" s="25" t="s">
        <v>690</v>
      </c>
      <c r="D206" s="57">
        <v>7</v>
      </c>
      <c r="E206" s="13">
        <v>62.93</v>
      </c>
      <c r="F206" s="50">
        <f t="shared" si="26"/>
        <v>440.51</v>
      </c>
      <c r="G206" s="103"/>
      <c r="H206" s="103"/>
      <c r="I206" s="104"/>
      <c r="J206" s="103"/>
      <c r="K206" s="103"/>
      <c r="L206" s="103">
        <f t="shared" si="25"/>
        <v>7</v>
      </c>
      <c r="M206" s="103"/>
      <c r="N206" s="103" t="s">
        <v>946</v>
      </c>
      <c r="O206" s="104">
        <f t="shared" si="23"/>
        <v>440.51</v>
      </c>
    </row>
    <row r="207" spans="1:15" s="105" customFormat="1" ht="15.75" x14ac:dyDescent="0.25">
      <c r="A207" s="113" t="s">
        <v>435</v>
      </c>
      <c r="B207" s="102">
        <v>44193</v>
      </c>
      <c r="C207" s="26" t="s">
        <v>691</v>
      </c>
      <c r="D207" s="57">
        <v>21</v>
      </c>
      <c r="E207" s="13">
        <v>165</v>
      </c>
      <c r="F207" s="50">
        <f t="shared" si="26"/>
        <v>3465</v>
      </c>
      <c r="G207" s="103"/>
      <c r="H207" s="103"/>
      <c r="I207" s="104"/>
      <c r="J207" s="103"/>
      <c r="K207" s="103"/>
      <c r="L207" s="103">
        <f t="shared" si="25"/>
        <v>21</v>
      </c>
      <c r="M207" s="103"/>
      <c r="N207" s="103" t="s">
        <v>946</v>
      </c>
      <c r="O207" s="104">
        <f t="shared" si="23"/>
        <v>3465</v>
      </c>
    </row>
    <row r="208" spans="1:15" s="105" customFormat="1" ht="15.75" x14ac:dyDescent="0.25">
      <c r="A208" s="113" t="s">
        <v>436</v>
      </c>
      <c r="B208" s="102">
        <v>44193</v>
      </c>
      <c r="C208" s="26" t="s">
        <v>791</v>
      </c>
      <c r="D208" s="38">
        <v>18</v>
      </c>
      <c r="E208" s="13">
        <v>52</v>
      </c>
      <c r="F208" s="50">
        <f t="shared" si="26"/>
        <v>936</v>
      </c>
      <c r="G208" s="103"/>
      <c r="H208" s="103"/>
      <c r="I208" s="104"/>
      <c r="J208" s="103"/>
      <c r="K208" s="103"/>
      <c r="L208" s="103">
        <f t="shared" si="25"/>
        <v>18</v>
      </c>
      <c r="M208" s="103"/>
      <c r="N208" s="103" t="s">
        <v>946</v>
      </c>
      <c r="O208" s="104">
        <f t="shared" si="23"/>
        <v>936</v>
      </c>
    </row>
    <row r="209" spans="1:15" s="105" customFormat="1" ht="15.75" x14ac:dyDescent="0.25">
      <c r="A209" s="113" t="s">
        <v>437</v>
      </c>
      <c r="B209" s="102">
        <v>44193</v>
      </c>
      <c r="C209" s="26" t="s">
        <v>790</v>
      </c>
      <c r="D209" s="38">
        <v>11</v>
      </c>
      <c r="E209" s="13">
        <v>79.8</v>
      </c>
      <c r="F209" s="50">
        <f t="shared" si="26"/>
        <v>877.8</v>
      </c>
      <c r="G209" s="103"/>
      <c r="H209" s="103"/>
      <c r="I209" s="104"/>
      <c r="J209" s="103"/>
      <c r="K209" s="103"/>
      <c r="L209" s="103">
        <f t="shared" si="25"/>
        <v>11</v>
      </c>
      <c r="M209" s="103"/>
      <c r="N209" s="103" t="s">
        <v>946</v>
      </c>
      <c r="O209" s="104">
        <f>+E209*L209</f>
        <v>877.8</v>
      </c>
    </row>
    <row r="210" spans="1:15" s="105" customFormat="1" ht="15.75" x14ac:dyDescent="0.25">
      <c r="A210" s="113" t="s">
        <v>438</v>
      </c>
      <c r="B210" s="102">
        <v>44193</v>
      </c>
      <c r="C210" s="26" t="s">
        <v>693</v>
      </c>
      <c r="D210" s="38">
        <v>1</v>
      </c>
      <c r="E210" s="13">
        <v>2075</v>
      </c>
      <c r="F210" s="50">
        <f t="shared" si="26"/>
        <v>2075</v>
      </c>
      <c r="G210" s="103"/>
      <c r="H210" s="103"/>
      <c r="I210" s="104"/>
      <c r="J210" s="103"/>
      <c r="K210" s="103"/>
      <c r="L210" s="103">
        <f t="shared" si="25"/>
        <v>1</v>
      </c>
      <c r="M210" s="103"/>
      <c r="N210" s="103" t="s">
        <v>946</v>
      </c>
      <c r="O210" s="104">
        <f t="shared" si="23"/>
        <v>2075</v>
      </c>
    </row>
    <row r="211" spans="1:15" s="105" customFormat="1" ht="15.75" x14ac:dyDescent="0.25">
      <c r="A211" s="113" t="s">
        <v>439</v>
      </c>
      <c r="B211" s="102">
        <v>44193</v>
      </c>
      <c r="C211" s="26" t="s">
        <v>692</v>
      </c>
      <c r="D211" s="57">
        <v>18</v>
      </c>
      <c r="E211" s="13">
        <v>165</v>
      </c>
      <c r="F211" s="50">
        <f t="shared" si="26"/>
        <v>2970</v>
      </c>
      <c r="G211" s="103"/>
      <c r="H211" s="103"/>
      <c r="I211" s="104"/>
      <c r="J211" s="103"/>
      <c r="K211" s="103"/>
      <c r="L211" s="103">
        <f t="shared" si="25"/>
        <v>18</v>
      </c>
      <c r="M211" s="103"/>
      <c r="N211" s="103" t="s">
        <v>946</v>
      </c>
      <c r="O211" s="104">
        <f t="shared" si="23"/>
        <v>2970</v>
      </c>
    </row>
    <row r="212" spans="1:15" s="105" customFormat="1" ht="15.75" x14ac:dyDescent="0.25">
      <c r="A212" s="113" t="s">
        <v>440</v>
      </c>
      <c r="B212" s="102">
        <v>44193</v>
      </c>
      <c r="C212" s="26" t="s">
        <v>697</v>
      </c>
      <c r="D212" s="38">
        <v>20</v>
      </c>
      <c r="E212" s="13">
        <v>79.8</v>
      </c>
      <c r="F212" s="50">
        <f t="shared" si="26"/>
        <v>1596</v>
      </c>
      <c r="G212" s="103"/>
      <c r="H212" s="103"/>
      <c r="I212" s="104"/>
      <c r="J212" s="103"/>
      <c r="K212" s="103"/>
      <c r="L212" s="103">
        <f t="shared" si="25"/>
        <v>20</v>
      </c>
      <c r="M212" s="103"/>
      <c r="N212" s="103" t="s">
        <v>946</v>
      </c>
      <c r="O212" s="104">
        <f t="shared" si="23"/>
        <v>1596</v>
      </c>
    </row>
    <row r="213" spans="1:15" s="105" customFormat="1" ht="15.75" x14ac:dyDescent="0.25">
      <c r="A213" s="113" t="s">
        <v>441</v>
      </c>
      <c r="B213" s="102">
        <v>44193</v>
      </c>
      <c r="C213" s="26" t="s">
        <v>696</v>
      </c>
      <c r="D213" s="38">
        <v>9</v>
      </c>
      <c r="E213" s="13">
        <v>79.8</v>
      </c>
      <c r="F213" s="50">
        <f t="shared" si="26"/>
        <v>718.19999999999993</v>
      </c>
      <c r="G213" s="103"/>
      <c r="H213" s="103"/>
      <c r="I213" s="104"/>
      <c r="J213" s="103"/>
      <c r="K213" s="103"/>
      <c r="L213" s="103">
        <f t="shared" si="25"/>
        <v>9</v>
      </c>
      <c r="M213" s="103"/>
      <c r="N213" s="103" t="s">
        <v>946</v>
      </c>
      <c r="O213" s="104">
        <f t="shared" si="23"/>
        <v>718.19999999999993</v>
      </c>
    </row>
    <row r="214" spans="1:15" s="105" customFormat="1" ht="15.75" x14ac:dyDescent="0.25">
      <c r="A214" s="113" t="s">
        <v>442</v>
      </c>
      <c r="B214" s="102"/>
      <c r="C214" s="26" t="s">
        <v>808</v>
      </c>
      <c r="D214" s="38">
        <v>9</v>
      </c>
      <c r="E214" s="13">
        <v>352</v>
      </c>
      <c r="F214" s="50">
        <f t="shared" si="26"/>
        <v>3168</v>
      </c>
      <c r="G214" s="103"/>
      <c r="H214" s="103"/>
      <c r="I214" s="104"/>
      <c r="J214" s="103"/>
      <c r="K214" s="103"/>
      <c r="L214" s="103">
        <f t="shared" si="25"/>
        <v>9</v>
      </c>
      <c r="M214" s="103"/>
      <c r="N214" s="103" t="s">
        <v>946</v>
      </c>
      <c r="O214" s="104">
        <f t="shared" si="23"/>
        <v>3168</v>
      </c>
    </row>
    <row r="215" spans="1:15" s="105" customFormat="1" ht="15.75" x14ac:dyDescent="0.25">
      <c r="A215" s="113" t="s">
        <v>443</v>
      </c>
      <c r="B215" s="102">
        <v>44456</v>
      </c>
      <c r="C215" s="26" t="s">
        <v>698</v>
      </c>
      <c r="D215" s="38">
        <v>3</v>
      </c>
      <c r="E215" s="13">
        <v>600</v>
      </c>
      <c r="F215" s="50">
        <f t="shared" si="26"/>
        <v>1800</v>
      </c>
      <c r="G215" s="103"/>
      <c r="H215" s="103"/>
      <c r="I215" s="104"/>
      <c r="J215" s="103"/>
      <c r="K215" s="103"/>
      <c r="L215" s="103">
        <f t="shared" si="25"/>
        <v>3</v>
      </c>
      <c r="M215" s="103"/>
      <c r="N215" s="103" t="s">
        <v>945</v>
      </c>
      <c r="O215" s="104">
        <f t="shared" si="23"/>
        <v>1800</v>
      </c>
    </row>
    <row r="216" spans="1:15" s="105" customFormat="1" ht="15.75" x14ac:dyDescent="0.25">
      <c r="A216" s="113" t="s">
        <v>444</v>
      </c>
      <c r="B216" s="102">
        <v>44193</v>
      </c>
      <c r="C216" s="26" t="s">
        <v>699</v>
      </c>
      <c r="D216" s="38">
        <v>15</v>
      </c>
      <c r="E216" s="13">
        <v>140</v>
      </c>
      <c r="F216" s="50">
        <f t="shared" si="26"/>
        <v>2100</v>
      </c>
      <c r="G216" s="103"/>
      <c r="H216" s="103"/>
      <c r="I216" s="104"/>
      <c r="J216" s="103"/>
      <c r="K216" s="103"/>
      <c r="L216" s="103">
        <f t="shared" si="25"/>
        <v>15</v>
      </c>
      <c r="M216" s="103"/>
      <c r="N216" s="103" t="s">
        <v>945</v>
      </c>
      <c r="O216" s="104">
        <f t="shared" si="23"/>
        <v>2100</v>
      </c>
    </row>
    <row r="217" spans="1:15" s="105" customFormat="1" ht="15.75" x14ac:dyDescent="0.25">
      <c r="A217" s="113" t="s">
        <v>445</v>
      </c>
      <c r="B217" s="102">
        <v>44193</v>
      </c>
      <c r="C217" s="9" t="s">
        <v>706</v>
      </c>
      <c r="D217" s="48">
        <v>1</v>
      </c>
      <c r="E217" s="13">
        <v>5250</v>
      </c>
      <c r="F217" s="50">
        <f t="shared" si="26"/>
        <v>5250</v>
      </c>
      <c r="G217" s="103"/>
      <c r="H217" s="103"/>
      <c r="I217" s="104"/>
      <c r="J217" s="103"/>
      <c r="K217" s="103"/>
      <c r="L217" s="103">
        <f t="shared" si="25"/>
        <v>1</v>
      </c>
      <c r="M217" s="103"/>
      <c r="N217" s="103" t="s">
        <v>947</v>
      </c>
      <c r="O217" s="104">
        <f>+E217*L217</f>
        <v>5250</v>
      </c>
    </row>
    <row r="218" spans="1:15" s="105" customFormat="1" ht="15.75" x14ac:dyDescent="0.25">
      <c r="A218" s="113" t="s">
        <v>446</v>
      </c>
      <c r="B218" s="102">
        <v>44193</v>
      </c>
      <c r="C218" s="9" t="s">
        <v>700</v>
      </c>
      <c r="D218" s="48">
        <f>9+12+12+24</f>
        <v>57</v>
      </c>
      <c r="E218" s="13">
        <v>12.93</v>
      </c>
      <c r="F218" s="50">
        <f t="shared" si="26"/>
        <v>737.01</v>
      </c>
      <c r="G218" s="103"/>
      <c r="H218" s="103"/>
      <c r="I218" s="104"/>
      <c r="J218" s="103"/>
      <c r="K218" s="103"/>
      <c r="L218" s="103">
        <f t="shared" si="25"/>
        <v>57</v>
      </c>
      <c r="M218" s="103"/>
      <c r="N218" s="103" t="s">
        <v>947</v>
      </c>
      <c r="O218" s="104">
        <f t="shared" si="23"/>
        <v>737.01</v>
      </c>
    </row>
    <row r="219" spans="1:15" s="105" customFormat="1" ht="15.75" x14ac:dyDescent="0.25">
      <c r="A219" s="113" t="s">
        <v>447</v>
      </c>
      <c r="B219" s="102">
        <v>44193</v>
      </c>
      <c r="C219" s="9" t="s">
        <v>701</v>
      </c>
      <c r="D219" s="48">
        <f>16+12+12</f>
        <v>40</v>
      </c>
      <c r="E219" s="13">
        <v>14.37</v>
      </c>
      <c r="F219" s="50">
        <f t="shared" si="26"/>
        <v>574.79999999999995</v>
      </c>
      <c r="G219" s="103"/>
      <c r="H219" s="103"/>
      <c r="I219" s="104"/>
      <c r="J219" s="103"/>
      <c r="K219" s="103"/>
      <c r="L219" s="103">
        <f t="shared" si="25"/>
        <v>40</v>
      </c>
      <c r="M219" s="103"/>
      <c r="N219" s="103" t="s">
        <v>947</v>
      </c>
      <c r="O219" s="104">
        <f t="shared" si="23"/>
        <v>574.79999999999995</v>
      </c>
    </row>
    <row r="220" spans="1:15" s="105" customFormat="1" ht="15.75" x14ac:dyDescent="0.25">
      <c r="A220" s="113" t="s">
        <v>448</v>
      </c>
      <c r="B220" s="102">
        <v>44193</v>
      </c>
      <c r="C220" s="9" t="s">
        <v>702</v>
      </c>
      <c r="D220" s="48">
        <v>6</v>
      </c>
      <c r="E220" s="13">
        <v>35</v>
      </c>
      <c r="F220" s="50">
        <f t="shared" si="26"/>
        <v>210</v>
      </c>
      <c r="G220" s="103"/>
      <c r="H220" s="103"/>
      <c r="I220" s="104"/>
      <c r="J220" s="103"/>
      <c r="K220" s="103"/>
      <c r="L220" s="103">
        <f t="shared" si="25"/>
        <v>6</v>
      </c>
      <c r="M220" s="103"/>
      <c r="N220" s="103" t="s">
        <v>947</v>
      </c>
      <c r="O220" s="104">
        <f t="shared" si="23"/>
        <v>210</v>
      </c>
    </row>
    <row r="221" spans="1:15" s="105" customFormat="1" ht="15.75" x14ac:dyDescent="0.25">
      <c r="A221" s="113" t="s">
        <v>449</v>
      </c>
      <c r="B221" s="102">
        <v>44193</v>
      </c>
      <c r="C221" s="9" t="s">
        <v>703</v>
      </c>
      <c r="D221" s="48"/>
      <c r="E221" s="13">
        <v>30</v>
      </c>
      <c r="F221" s="50">
        <f t="shared" si="26"/>
        <v>0</v>
      </c>
      <c r="G221" s="103"/>
      <c r="H221" s="103"/>
      <c r="I221" s="104"/>
      <c r="J221" s="103"/>
      <c r="K221" s="103"/>
      <c r="L221" s="103">
        <f t="shared" si="25"/>
        <v>0</v>
      </c>
      <c r="M221" s="103"/>
      <c r="N221" s="103" t="s">
        <v>947</v>
      </c>
      <c r="O221" s="104">
        <f t="shared" si="23"/>
        <v>0</v>
      </c>
    </row>
    <row r="222" spans="1:15" s="105" customFormat="1" ht="15.75" x14ac:dyDescent="0.25">
      <c r="A222" s="113" t="s">
        <v>450</v>
      </c>
      <c r="B222" s="102">
        <v>44193</v>
      </c>
      <c r="C222" s="9" t="s">
        <v>704</v>
      </c>
      <c r="D222" s="48">
        <v>1300</v>
      </c>
      <c r="E222" s="13">
        <v>2.6</v>
      </c>
      <c r="F222" s="50">
        <f t="shared" si="26"/>
        <v>3380</v>
      </c>
      <c r="G222" s="103"/>
      <c r="H222" s="103"/>
      <c r="I222" s="104"/>
      <c r="J222" s="103"/>
      <c r="K222" s="103"/>
      <c r="L222" s="103">
        <f t="shared" si="25"/>
        <v>1300</v>
      </c>
      <c r="M222" s="103"/>
      <c r="N222" s="103" t="s">
        <v>947</v>
      </c>
      <c r="O222" s="104">
        <f t="shared" si="23"/>
        <v>3380</v>
      </c>
    </row>
    <row r="223" spans="1:15" s="105" customFormat="1" ht="15.75" x14ac:dyDescent="0.25">
      <c r="A223" s="113" t="s">
        <v>451</v>
      </c>
      <c r="B223" s="102">
        <v>44193</v>
      </c>
      <c r="C223" s="9" t="s">
        <v>705</v>
      </c>
      <c r="D223" s="48">
        <v>1</v>
      </c>
      <c r="E223" s="13">
        <v>728.81</v>
      </c>
      <c r="F223" s="50">
        <f t="shared" si="26"/>
        <v>728.81</v>
      </c>
      <c r="G223" s="103"/>
      <c r="H223" s="103"/>
      <c r="I223" s="104"/>
      <c r="J223" s="103"/>
      <c r="K223" s="103"/>
      <c r="L223" s="103">
        <f t="shared" si="25"/>
        <v>1</v>
      </c>
      <c r="M223" s="103"/>
      <c r="N223" s="103" t="s">
        <v>947</v>
      </c>
      <c r="O223" s="104">
        <f t="shared" si="23"/>
        <v>728.81</v>
      </c>
    </row>
    <row r="224" spans="1:15" s="105" customFormat="1" ht="15.75" x14ac:dyDescent="0.25">
      <c r="A224" s="113" t="s">
        <v>452</v>
      </c>
      <c r="B224" s="102">
        <v>44193</v>
      </c>
      <c r="C224" s="9" t="s">
        <v>709</v>
      </c>
      <c r="D224" s="58">
        <v>2</v>
      </c>
      <c r="E224" s="13">
        <v>350</v>
      </c>
      <c r="F224" s="50">
        <f t="shared" si="26"/>
        <v>700</v>
      </c>
      <c r="G224" s="103"/>
      <c r="H224" s="103"/>
      <c r="I224" s="104"/>
      <c r="J224" s="103"/>
      <c r="K224" s="103"/>
      <c r="L224" s="103">
        <f t="shared" si="25"/>
        <v>2</v>
      </c>
      <c r="M224" s="103"/>
      <c r="N224" s="103" t="s">
        <v>947</v>
      </c>
      <c r="O224" s="104">
        <f t="shared" si="23"/>
        <v>700</v>
      </c>
    </row>
    <row r="225" spans="1:15" s="105" customFormat="1" ht="15.75" x14ac:dyDescent="0.25">
      <c r="A225" s="113" t="s">
        <v>453</v>
      </c>
      <c r="B225" s="102">
        <v>44193</v>
      </c>
      <c r="C225" s="9" t="s">
        <v>707</v>
      </c>
      <c r="D225" s="48">
        <v>5</v>
      </c>
      <c r="E225" s="13">
        <v>595</v>
      </c>
      <c r="F225" s="50">
        <f t="shared" si="26"/>
        <v>2975</v>
      </c>
      <c r="G225" s="103"/>
      <c r="H225" s="103"/>
      <c r="I225" s="104"/>
      <c r="J225" s="103"/>
      <c r="K225" s="103"/>
      <c r="L225" s="103">
        <f t="shared" si="25"/>
        <v>5</v>
      </c>
      <c r="M225" s="103"/>
      <c r="N225" s="103" t="s">
        <v>947</v>
      </c>
      <c r="O225" s="104">
        <f t="shared" si="23"/>
        <v>2975</v>
      </c>
    </row>
    <row r="226" spans="1:15" s="105" customFormat="1" ht="15.75" x14ac:dyDescent="0.25">
      <c r="A226" s="113" t="s">
        <v>454</v>
      </c>
      <c r="B226" s="102">
        <v>44193</v>
      </c>
      <c r="C226" s="9" t="s">
        <v>868</v>
      </c>
      <c r="D226" s="48">
        <v>2</v>
      </c>
      <c r="E226" s="13">
        <v>300</v>
      </c>
      <c r="F226" s="50">
        <f t="shared" si="26"/>
        <v>600</v>
      </c>
      <c r="G226" s="103"/>
      <c r="H226" s="103"/>
      <c r="I226" s="104"/>
      <c r="J226" s="103"/>
      <c r="K226" s="103"/>
      <c r="L226" s="103">
        <f t="shared" si="25"/>
        <v>2</v>
      </c>
      <c r="M226" s="103"/>
      <c r="N226" s="103" t="s">
        <v>947</v>
      </c>
      <c r="O226" s="104">
        <f t="shared" si="23"/>
        <v>600</v>
      </c>
    </row>
    <row r="227" spans="1:15" s="105" customFormat="1" ht="15.75" x14ac:dyDescent="0.25">
      <c r="A227" s="113" t="s">
        <v>455</v>
      </c>
      <c r="B227" s="102">
        <v>44193</v>
      </c>
      <c r="C227" s="26" t="s">
        <v>710</v>
      </c>
      <c r="D227" s="32">
        <v>0</v>
      </c>
      <c r="E227" s="13">
        <v>3950</v>
      </c>
      <c r="F227" s="50">
        <f t="shared" si="26"/>
        <v>0</v>
      </c>
      <c r="G227" s="103"/>
      <c r="H227" s="103"/>
      <c r="I227" s="104"/>
      <c r="J227" s="103"/>
      <c r="K227" s="103"/>
      <c r="L227" s="103">
        <f t="shared" si="25"/>
        <v>0</v>
      </c>
      <c r="M227" s="103"/>
      <c r="N227" s="103" t="s">
        <v>947</v>
      </c>
      <c r="O227" s="104">
        <f t="shared" si="23"/>
        <v>0</v>
      </c>
    </row>
    <row r="228" spans="1:15" s="105" customFormat="1" ht="15.75" x14ac:dyDescent="0.25">
      <c r="A228" s="113" t="s">
        <v>456</v>
      </c>
      <c r="B228" s="106" t="s">
        <v>108</v>
      </c>
      <c r="C228" s="26" t="s">
        <v>714</v>
      </c>
      <c r="D228" s="55">
        <v>6</v>
      </c>
      <c r="E228" s="51">
        <v>11000</v>
      </c>
      <c r="F228" s="50">
        <f t="shared" si="26"/>
        <v>66000</v>
      </c>
      <c r="G228" s="103"/>
      <c r="H228" s="103"/>
      <c r="I228" s="104"/>
      <c r="J228" s="103"/>
      <c r="K228" s="103"/>
      <c r="L228" s="103">
        <f t="shared" si="25"/>
        <v>6</v>
      </c>
      <c r="M228" s="103"/>
      <c r="N228" s="103" t="s">
        <v>947</v>
      </c>
      <c r="O228" s="104">
        <f t="shared" ref="O228:O232" si="27">+E228*L228</f>
        <v>66000</v>
      </c>
    </row>
    <row r="229" spans="1:15" s="105" customFormat="1" ht="15.75" x14ac:dyDescent="0.25">
      <c r="A229" s="113" t="s">
        <v>457</v>
      </c>
      <c r="B229" s="102">
        <v>44652</v>
      </c>
      <c r="C229" s="26" t="s">
        <v>856</v>
      </c>
      <c r="D229" s="38">
        <v>5</v>
      </c>
      <c r="E229" s="59">
        <v>1700</v>
      </c>
      <c r="F229" s="50">
        <f t="shared" si="26"/>
        <v>8500</v>
      </c>
      <c r="G229" s="103"/>
      <c r="H229" s="103"/>
      <c r="I229" s="104"/>
      <c r="J229" s="103"/>
      <c r="K229" s="103"/>
      <c r="L229" s="103">
        <f t="shared" si="25"/>
        <v>5</v>
      </c>
      <c r="M229" s="103"/>
      <c r="N229" s="103" t="s">
        <v>946</v>
      </c>
      <c r="O229" s="104">
        <f t="shared" si="27"/>
        <v>8500</v>
      </c>
    </row>
    <row r="230" spans="1:15" s="105" customFormat="1" ht="15.75" x14ac:dyDescent="0.25">
      <c r="A230" s="113" t="s">
        <v>458</v>
      </c>
      <c r="B230" s="102">
        <v>44193</v>
      </c>
      <c r="C230" s="26" t="s">
        <v>712</v>
      </c>
      <c r="D230" s="32">
        <v>0</v>
      </c>
      <c r="E230" s="13">
        <v>148.31</v>
      </c>
      <c r="F230" s="50">
        <f t="shared" si="26"/>
        <v>0</v>
      </c>
      <c r="G230" s="103"/>
      <c r="H230" s="103"/>
      <c r="I230" s="104"/>
      <c r="J230" s="103"/>
      <c r="K230" s="103"/>
      <c r="L230" s="103">
        <f t="shared" si="25"/>
        <v>0</v>
      </c>
      <c r="M230" s="103"/>
      <c r="N230" s="103" t="s">
        <v>946</v>
      </c>
      <c r="O230" s="104">
        <f t="shared" si="27"/>
        <v>0</v>
      </c>
    </row>
    <row r="231" spans="1:15" s="105" customFormat="1" ht="15.75" x14ac:dyDescent="0.25">
      <c r="A231" s="113" t="s">
        <v>459</v>
      </c>
      <c r="B231" s="102">
        <v>44193</v>
      </c>
      <c r="C231" s="26" t="s">
        <v>713</v>
      </c>
      <c r="D231" s="32">
        <v>0</v>
      </c>
      <c r="E231" s="13">
        <v>122.88</v>
      </c>
      <c r="F231" s="50">
        <f t="shared" si="26"/>
        <v>0</v>
      </c>
      <c r="G231" s="103"/>
      <c r="H231" s="103"/>
      <c r="I231" s="104"/>
      <c r="J231" s="103"/>
      <c r="K231" s="103"/>
      <c r="L231" s="103">
        <f t="shared" si="25"/>
        <v>0</v>
      </c>
      <c r="M231" s="103"/>
      <c r="N231" s="103" t="s">
        <v>946</v>
      </c>
      <c r="O231" s="104">
        <f t="shared" si="27"/>
        <v>0</v>
      </c>
    </row>
    <row r="232" spans="1:15" s="105" customFormat="1" ht="15.75" x14ac:dyDescent="0.25">
      <c r="A232" s="113" t="s">
        <v>460</v>
      </c>
      <c r="B232" s="102">
        <v>44193</v>
      </c>
      <c r="C232" s="26" t="s">
        <v>847</v>
      </c>
      <c r="D232" s="32">
        <v>0</v>
      </c>
      <c r="E232" s="13">
        <v>0</v>
      </c>
      <c r="F232" s="50">
        <f t="shared" si="26"/>
        <v>0</v>
      </c>
      <c r="G232" s="103"/>
      <c r="H232" s="103"/>
      <c r="I232" s="104"/>
      <c r="J232" s="103"/>
      <c r="K232" s="103"/>
      <c r="L232" s="103">
        <f t="shared" si="25"/>
        <v>0</v>
      </c>
      <c r="M232" s="103"/>
      <c r="N232" s="103" t="s">
        <v>946</v>
      </c>
      <c r="O232" s="104">
        <f t="shared" si="27"/>
        <v>0</v>
      </c>
    </row>
    <row r="233" spans="1:15" s="105" customFormat="1" ht="15.75" x14ac:dyDescent="0.25">
      <c r="A233" s="113" t="s">
        <v>461</v>
      </c>
      <c r="B233" s="102">
        <v>44193</v>
      </c>
      <c r="C233" s="26" t="s">
        <v>711</v>
      </c>
      <c r="D233" s="32">
        <v>0</v>
      </c>
      <c r="E233" s="13">
        <v>237.29</v>
      </c>
      <c r="F233" s="50">
        <f t="shared" si="26"/>
        <v>0</v>
      </c>
      <c r="G233" s="107">
        <v>44851</v>
      </c>
      <c r="H233" s="103">
        <v>100</v>
      </c>
      <c r="I233" s="104">
        <v>156.35</v>
      </c>
      <c r="J233" s="103">
        <f>+H233*I233</f>
        <v>15635</v>
      </c>
      <c r="K233" s="103">
        <v>1</v>
      </c>
      <c r="L233" s="103">
        <f t="shared" si="25"/>
        <v>99</v>
      </c>
      <c r="M233" s="103"/>
      <c r="N233" s="103" t="s">
        <v>946</v>
      </c>
      <c r="O233" s="104">
        <f>+L233*I233</f>
        <v>15478.65</v>
      </c>
    </row>
    <row r="234" spans="1:15" s="105" customFormat="1" ht="15.75" x14ac:dyDescent="0.25">
      <c r="A234" s="113" t="s">
        <v>462</v>
      </c>
      <c r="B234" s="102">
        <v>44193</v>
      </c>
      <c r="C234" s="25" t="s">
        <v>716</v>
      </c>
      <c r="D234" s="32">
        <v>0</v>
      </c>
      <c r="E234" s="51">
        <v>82</v>
      </c>
      <c r="F234" s="50">
        <f t="shared" si="26"/>
        <v>0</v>
      </c>
      <c r="G234" s="103"/>
      <c r="H234" s="103"/>
      <c r="I234" s="104"/>
      <c r="J234" s="103"/>
      <c r="K234" s="103">
        <v>1</v>
      </c>
      <c r="L234" s="103">
        <f t="shared" si="25"/>
        <v>-1</v>
      </c>
      <c r="M234" s="103"/>
      <c r="N234" s="103" t="s">
        <v>945</v>
      </c>
      <c r="O234" s="104">
        <f t="shared" ref="O234:O235" si="28">+L234*I234</f>
        <v>0</v>
      </c>
    </row>
    <row r="235" spans="1:15" s="105" customFormat="1" ht="15.75" x14ac:dyDescent="0.25">
      <c r="A235" s="113" t="s">
        <v>463</v>
      </c>
      <c r="B235" s="102">
        <v>44193</v>
      </c>
      <c r="C235" s="25" t="s">
        <v>717</v>
      </c>
      <c r="D235" s="32">
        <v>0</v>
      </c>
      <c r="E235" s="51">
        <v>14.29</v>
      </c>
      <c r="F235" s="50">
        <f t="shared" si="26"/>
        <v>0</v>
      </c>
      <c r="G235" s="103"/>
      <c r="H235" s="103"/>
      <c r="I235" s="104"/>
      <c r="J235" s="103"/>
      <c r="K235" s="103"/>
      <c r="L235" s="103">
        <f t="shared" si="25"/>
        <v>0</v>
      </c>
      <c r="M235" s="103"/>
      <c r="N235" s="103" t="s">
        <v>945</v>
      </c>
      <c r="O235" s="104">
        <f t="shared" si="28"/>
        <v>0</v>
      </c>
    </row>
    <row r="236" spans="1:15" s="105" customFormat="1" ht="15.75" x14ac:dyDescent="0.25">
      <c r="A236" s="113" t="s">
        <v>464</v>
      </c>
      <c r="B236" s="106" t="s">
        <v>770</v>
      </c>
      <c r="C236" s="25" t="s">
        <v>715</v>
      </c>
      <c r="D236" s="32">
        <v>6</v>
      </c>
      <c r="E236" s="51">
        <v>82</v>
      </c>
      <c r="F236" s="50">
        <f t="shared" si="26"/>
        <v>492</v>
      </c>
      <c r="G236" s="103"/>
      <c r="H236" s="103"/>
      <c r="I236" s="104"/>
      <c r="J236" s="103"/>
      <c r="K236" s="103"/>
      <c r="L236" s="103">
        <f t="shared" si="25"/>
        <v>6</v>
      </c>
      <c r="M236" s="103"/>
      <c r="N236" s="103" t="s">
        <v>945</v>
      </c>
      <c r="O236" s="104">
        <f>+L236*E236</f>
        <v>492</v>
      </c>
    </row>
    <row r="237" spans="1:15" s="105" customFormat="1" ht="15.75" x14ac:dyDescent="0.25">
      <c r="A237" s="113" t="s">
        <v>465</v>
      </c>
      <c r="B237" s="106" t="s">
        <v>108</v>
      </c>
      <c r="C237" s="25" t="s">
        <v>718</v>
      </c>
      <c r="D237" s="32">
        <v>0</v>
      </c>
      <c r="E237" s="51">
        <v>6375</v>
      </c>
      <c r="F237" s="50">
        <f t="shared" si="26"/>
        <v>0</v>
      </c>
      <c r="G237" s="103"/>
      <c r="H237" s="103"/>
      <c r="I237" s="104"/>
      <c r="J237" s="103"/>
      <c r="K237" s="103">
        <v>1</v>
      </c>
      <c r="L237" s="103">
        <f t="shared" si="25"/>
        <v>-1</v>
      </c>
      <c r="M237" s="103"/>
      <c r="N237" s="103" t="s">
        <v>946</v>
      </c>
      <c r="O237" s="104">
        <f>+L237*E237</f>
        <v>-6375</v>
      </c>
    </row>
    <row r="238" spans="1:15" s="105" customFormat="1" ht="15.75" x14ac:dyDescent="0.25">
      <c r="A238" s="113" t="s">
        <v>466</v>
      </c>
      <c r="B238" s="102">
        <v>44193</v>
      </c>
      <c r="C238" s="9" t="s">
        <v>781</v>
      </c>
      <c r="D238" s="48">
        <v>2</v>
      </c>
      <c r="E238" s="13">
        <v>725</v>
      </c>
      <c r="F238" s="50">
        <f t="shared" si="26"/>
        <v>1450</v>
      </c>
      <c r="G238" s="107">
        <v>44852</v>
      </c>
      <c r="H238" s="103">
        <v>2</v>
      </c>
      <c r="I238" s="104">
        <v>857.86</v>
      </c>
      <c r="J238" s="103">
        <f>+I238*H238</f>
        <v>1715.72</v>
      </c>
      <c r="K238" s="103"/>
      <c r="L238" s="103">
        <f t="shared" si="25"/>
        <v>4</v>
      </c>
      <c r="M238" s="103" t="s">
        <v>1037</v>
      </c>
      <c r="N238" s="103" t="s">
        <v>947</v>
      </c>
      <c r="O238" s="104">
        <f>+L238*I238</f>
        <v>3431.44</v>
      </c>
    </row>
    <row r="239" spans="1:15" s="8" customFormat="1" ht="15.75" x14ac:dyDescent="0.25">
      <c r="A239" s="113" t="s">
        <v>467</v>
      </c>
      <c r="B239" s="102">
        <v>44193</v>
      </c>
      <c r="C239" s="9" t="s">
        <v>721</v>
      </c>
      <c r="D239" s="30">
        <v>40</v>
      </c>
      <c r="E239" s="13">
        <v>230</v>
      </c>
      <c r="F239" s="50">
        <f t="shared" si="26"/>
        <v>9200</v>
      </c>
      <c r="G239" s="107">
        <v>44852</v>
      </c>
      <c r="H239" s="103">
        <f>10*10</f>
        <v>100</v>
      </c>
      <c r="I239" s="104">
        <v>326.62</v>
      </c>
      <c r="J239" s="104">
        <f>+I239*H239</f>
        <v>32662</v>
      </c>
      <c r="K239" s="103">
        <f>6+1+1</f>
        <v>8</v>
      </c>
      <c r="L239" s="103">
        <f t="shared" si="25"/>
        <v>132</v>
      </c>
      <c r="M239" s="103" t="s">
        <v>1037</v>
      </c>
      <c r="N239" s="103" t="s">
        <v>947</v>
      </c>
      <c r="O239" s="104">
        <f>+L239*I239</f>
        <v>43113.840000000004</v>
      </c>
    </row>
    <row r="240" spans="1:15" s="105" customFormat="1" ht="15.75" x14ac:dyDescent="0.25">
      <c r="A240" s="113" t="s">
        <v>468</v>
      </c>
      <c r="B240" s="102">
        <v>44193</v>
      </c>
      <c r="C240" s="9" t="s">
        <v>722</v>
      </c>
      <c r="D240" s="48">
        <v>100</v>
      </c>
      <c r="E240" s="13">
        <v>2.25</v>
      </c>
      <c r="F240" s="50">
        <f t="shared" si="26"/>
        <v>225</v>
      </c>
      <c r="G240" s="103"/>
      <c r="H240" s="103"/>
      <c r="I240" s="104"/>
      <c r="J240" s="103"/>
      <c r="K240" s="103">
        <v>5</v>
      </c>
      <c r="L240" s="103">
        <f t="shared" ref="L240:L303" si="29">+D240+H240-K240</f>
        <v>95</v>
      </c>
      <c r="M240" s="103"/>
      <c r="N240" s="103" t="s">
        <v>947</v>
      </c>
      <c r="O240" s="104">
        <f t="shared" ref="O240:O267" si="30">+L240*E240</f>
        <v>213.75</v>
      </c>
    </row>
    <row r="241" spans="1:15" s="105" customFormat="1" ht="15.75" x14ac:dyDescent="0.25">
      <c r="A241" s="113" t="s">
        <v>469</v>
      </c>
      <c r="B241" s="102">
        <v>44193</v>
      </c>
      <c r="C241" s="9" t="s">
        <v>1039</v>
      </c>
      <c r="D241" s="48">
        <v>7</v>
      </c>
      <c r="E241" s="13">
        <v>250</v>
      </c>
      <c r="F241" s="50">
        <f t="shared" si="26"/>
        <v>1750</v>
      </c>
      <c r="G241" s="107">
        <v>44852</v>
      </c>
      <c r="H241" s="103">
        <f>2*10</f>
        <v>20</v>
      </c>
      <c r="I241" s="104">
        <v>428.22</v>
      </c>
      <c r="J241" s="104">
        <f>+I241*H241</f>
        <v>8564.4000000000015</v>
      </c>
      <c r="K241" s="103"/>
      <c r="L241" s="103">
        <f t="shared" si="29"/>
        <v>27</v>
      </c>
      <c r="M241" s="103" t="s">
        <v>1037</v>
      </c>
      <c r="N241" s="103" t="s">
        <v>947</v>
      </c>
      <c r="O241" s="104">
        <f>+L241*I241</f>
        <v>11561.94</v>
      </c>
    </row>
    <row r="242" spans="1:15" s="8" customFormat="1" ht="15.75" x14ac:dyDescent="0.25">
      <c r="A242" s="113" t="s">
        <v>470</v>
      </c>
      <c r="B242" s="102">
        <v>44193</v>
      </c>
      <c r="C242" s="9" t="s">
        <v>725</v>
      </c>
      <c r="D242" s="48">
        <v>61</v>
      </c>
      <c r="E242" s="13">
        <v>30</v>
      </c>
      <c r="F242" s="50">
        <f t="shared" si="26"/>
        <v>1830</v>
      </c>
      <c r="G242" s="107">
        <v>44852</v>
      </c>
      <c r="H242" s="103">
        <v>2</v>
      </c>
      <c r="I242" s="104">
        <v>21.69</v>
      </c>
      <c r="J242" s="104">
        <f t="shared" ref="J242" si="31">+I242*H242</f>
        <v>43.38</v>
      </c>
      <c r="K242" s="103">
        <v>15</v>
      </c>
      <c r="L242" s="103">
        <f t="shared" si="29"/>
        <v>48</v>
      </c>
      <c r="M242" s="103" t="s">
        <v>1037</v>
      </c>
      <c r="N242" s="103" t="s">
        <v>947</v>
      </c>
      <c r="O242" s="104">
        <f>+L242*I242</f>
        <v>1041.1200000000001</v>
      </c>
    </row>
    <row r="243" spans="1:15" s="105" customFormat="1" ht="15.75" x14ac:dyDescent="0.25">
      <c r="A243" s="113" t="s">
        <v>471</v>
      </c>
      <c r="B243" s="102">
        <v>44193</v>
      </c>
      <c r="C243" s="9" t="s">
        <v>726</v>
      </c>
      <c r="D243" s="58">
        <v>7</v>
      </c>
      <c r="E243" s="13">
        <v>120</v>
      </c>
      <c r="F243" s="50">
        <f t="shared" si="26"/>
        <v>840</v>
      </c>
      <c r="G243" s="103"/>
      <c r="H243" s="103"/>
      <c r="I243" s="104"/>
      <c r="J243" s="103"/>
      <c r="K243" s="103"/>
      <c r="L243" s="103">
        <f t="shared" si="29"/>
        <v>7</v>
      </c>
      <c r="M243" s="103"/>
      <c r="N243" s="103" t="s">
        <v>947</v>
      </c>
      <c r="O243" s="104">
        <f t="shared" si="30"/>
        <v>840</v>
      </c>
    </row>
    <row r="244" spans="1:15" s="105" customFormat="1" ht="15.75" x14ac:dyDescent="0.25">
      <c r="A244" s="113" t="s">
        <v>472</v>
      </c>
      <c r="B244" s="102">
        <v>44652</v>
      </c>
      <c r="C244" s="9" t="s">
        <v>727</v>
      </c>
      <c r="D244" s="14">
        <v>190</v>
      </c>
      <c r="E244" s="13">
        <v>560</v>
      </c>
      <c r="F244" s="50">
        <f t="shared" si="26"/>
        <v>106400</v>
      </c>
      <c r="G244" s="107">
        <v>44778</v>
      </c>
      <c r="H244" s="103">
        <f>70*6</f>
        <v>420</v>
      </c>
      <c r="I244" s="104">
        <f>65254/H244</f>
        <v>155.36666666666667</v>
      </c>
      <c r="J244" s="104">
        <f>+I244*H244</f>
        <v>65254</v>
      </c>
      <c r="K244" s="103">
        <f>4+4+4+2+4+3+6+6+3+12+4+4+3+6+1+2+4+5+18+24</f>
        <v>119</v>
      </c>
      <c r="L244" s="103">
        <f t="shared" si="29"/>
        <v>491</v>
      </c>
      <c r="M244" s="103" t="s">
        <v>943</v>
      </c>
      <c r="N244" s="103" t="s">
        <v>947</v>
      </c>
      <c r="O244" s="104">
        <f>+L244*I244</f>
        <v>76285.03333333334</v>
      </c>
    </row>
    <row r="245" spans="1:15" s="105" customFormat="1" ht="15.75" x14ac:dyDescent="0.25">
      <c r="A245" s="113" t="s">
        <v>473</v>
      </c>
      <c r="B245" s="106" t="s">
        <v>112</v>
      </c>
      <c r="C245" s="26" t="s">
        <v>752</v>
      </c>
      <c r="D245" s="38">
        <v>3</v>
      </c>
      <c r="E245" s="13">
        <v>135</v>
      </c>
      <c r="F245" s="50">
        <f t="shared" si="26"/>
        <v>405</v>
      </c>
      <c r="G245" s="103"/>
      <c r="H245" s="103"/>
      <c r="I245" s="104"/>
      <c r="J245" s="103"/>
      <c r="K245" s="103"/>
      <c r="L245" s="103">
        <f t="shared" si="29"/>
        <v>3</v>
      </c>
      <c r="M245" s="103"/>
      <c r="N245" s="103" t="s">
        <v>947</v>
      </c>
      <c r="O245" s="104">
        <f t="shared" si="30"/>
        <v>405</v>
      </c>
    </row>
    <row r="246" spans="1:15" s="105" customFormat="1" ht="15.75" x14ac:dyDescent="0.25">
      <c r="A246" s="113" t="s">
        <v>507</v>
      </c>
      <c r="B246" s="102">
        <v>44193</v>
      </c>
      <c r="C246" s="9" t="s">
        <v>728</v>
      </c>
      <c r="D246" s="30">
        <v>0</v>
      </c>
      <c r="E246" s="13">
        <v>62.5</v>
      </c>
      <c r="F246" s="50">
        <f t="shared" si="26"/>
        <v>0</v>
      </c>
      <c r="G246" s="107">
        <v>44852</v>
      </c>
      <c r="H246" s="103">
        <v>5</v>
      </c>
      <c r="I246" s="104">
        <v>206.54</v>
      </c>
      <c r="J246" s="103">
        <f>+I246*H246</f>
        <v>1032.7</v>
      </c>
      <c r="K246" s="103">
        <v>1</v>
      </c>
      <c r="L246" s="103">
        <f t="shared" si="29"/>
        <v>4</v>
      </c>
      <c r="M246" s="103" t="s">
        <v>1037</v>
      </c>
      <c r="N246" s="103" t="s">
        <v>947</v>
      </c>
      <c r="O246" s="104">
        <f>+L246*I246</f>
        <v>826.16</v>
      </c>
    </row>
    <row r="247" spans="1:15" s="105" customFormat="1" ht="15.75" x14ac:dyDescent="0.25">
      <c r="A247" s="113" t="s">
        <v>508</v>
      </c>
      <c r="B247" s="102">
        <v>44193</v>
      </c>
      <c r="C247" s="9" t="s">
        <v>729</v>
      </c>
      <c r="D247" s="30">
        <v>226</v>
      </c>
      <c r="E247" s="13">
        <v>22.2</v>
      </c>
      <c r="F247" s="50">
        <f t="shared" si="26"/>
        <v>5017.2</v>
      </c>
      <c r="G247" s="103"/>
      <c r="H247" s="103"/>
      <c r="I247" s="104"/>
      <c r="J247" s="103"/>
      <c r="K247" s="103"/>
      <c r="L247" s="103">
        <f t="shared" si="29"/>
        <v>226</v>
      </c>
      <c r="M247" s="103"/>
      <c r="N247" s="103" t="s">
        <v>947</v>
      </c>
      <c r="O247" s="104"/>
    </row>
    <row r="248" spans="1:15" s="8" customFormat="1" ht="15.75" x14ac:dyDescent="0.25">
      <c r="A248" s="113" t="s">
        <v>509</v>
      </c>
      <c r="B248" s="102">
        <v>44193</v>
      </c>
      <c r="C248" s="9" t="s">
        <v>730</v>
      </c>
      <c r="D248" s="30">
        <v>2</v>
      </c>
      <c r="E248" s="13">
        <v>375</v>
      </c>
      <c r="F248" s="50">
        <f t="shared" si="26"/>
        <v>750</v>
      </c>
      <c r="G248" s="107">
        <v>44610</v>
      </c>
      <c r="H248" s="103">
        <v>2</v>
      </c>
      <c r="I248" s="104">
        <v>284.99</v>
      </c>
      <c r="J248" s="104">
        <f t="shared" ref="J248" si="32">+I248*H248</f>
        <v>569.98</v>
      </c>
      <c r="K248" s="103"/>
      <c r="L248" s="103">
        <f t="shared" si="29"/>
        <v>4</v>
      </c>
      <c r="M248" s="103" t="s">
        <v>1037</v>
      </c>
      <c r="N248" s="103" t="s">
        <v>947</v>
      </c>
      <c r="O248" s="104">
        <f>+L248*I248</f>
        <v>1139.96</v>
      </c>
    </row>
    <row r="249" spans="1:15" s="105" customFormat="1" ht="15.75" x14ac:dyDescent="0.25">
      <c r="A249" s="113" t="s">
        <v>869</v>
      </c>
      <c r="B249" s="102">
        <v>44193</v>
      </c>
      <c r="C249" s="25" t="s">
        <v>825</v>
      </c>
      <c r="D249" s="38">
        <v>11</v>
      </c>
      <c r="E249" s="13">
        <v>301</v>
      </c>
      <c r="F249" s="50">
        <f t="shared" si="26"/>
        <v>3311</v>
      </c>
      <c r="G249" s="103"/>
      <c r="H249" s="103"/>
      <c r="I249" s="104"/>
      <c r="J249" s="103"/>
      <c r="K249" s="103"/>
      <c r="L249" s="103">
        <f t="shared" si="29"/>
        <v>11</v>
      </c>
      <c r="M249" s="103"/>
      <c r="N249" s="103" t="s">
        <v>947</v>
      </c>
      <c r="O249" s="104">
        <f t="shared" si="30"/>
        <v>3311</v>
      </c>
    </row>
    <row r="250" spans="1:15" s="105" customFormat="1" ht="15.75" x14ac:dyDescent="0.25">
      <c r="A250" s="113" t="s">
        <v>512</v>
      </c>
      <c r="B250" s="106" t="s">
        <v>106</v>
      </c>
      <c r="C250" s="25" t="s">
        <v>731</v>
      </c>
      <c r="D250" s="30">
        <v>0</v>
      </c>
      <c r="E250" s="51">
        <v>171.6</v>
      </c>
      <c r="F250" s="50">
        <f t="shared" si="26"/>
        <v>0</v>
      </c>
      <c r="G250" s="103"/>
      <c r="H250" s="103"/>
      <c r="I250" s="104"/>
      <c r="J250" s="103"/>
      <c r="K250" s="103">
        <f>3+3+3+6+3+3+3</f>
        <v>24</v>
      </c>
      <c r="L250" s="103">
        <f t="shared" si="29"/>
        <v>-24</v>
      </c>
      <c r="M250" s="103"/>
      <c r="N250" s="103" t="s">
        <v>945</v>
      </c>
      <c r="O250" s="104">
        <f t="shared" si="30"/>
        <v>-4118.3999999999996</v>
      </c>
    </row>
    <row r="251" spans="1:15" s="105" customFormat="1" ht="15.75" x14ac:dyDescent="0.25">
      <c r="A251" s="113" t="s">
        <v>870</v>
      </c>
      <c r="B251" s="102">
        <v>44193</v>
      </c>
      <c r="C251" s="9" t="s">
        <v>950</v>
      </c>
      <c r="D251" s="30">
        <v>12</v>
      </c>
      <c r="E251" s="13">
        <v>65</v>
      </c>
      <c r="F251" s="50">
        <f t="shared" si="26"/>
        <v>780</v>
      </c>
      <c r="G251" s="107">
        <v>44852</v>
      </c>
      <c r="H251" s="103">
        <v>32</v>
      </c>
      <c r="I251" s="104">
        <v>44.54</v>
      </c>
      <c r="J251" s="108">
        <f>+H251*I251</f>
        <v>1425.28</v>
      </c>
      <c r="K251" s="103">
        <f>4+4</f>
        <v>8</v>
      </c>
      <c r="L251" s="103">
        <f t="shared" si="29"/>
        <v>36</v>
      </c>
      <c r="M251" s="103" t="s">
        <v>1037</v>
      </c>
      <c r="N251" s="103" t="s">
        <v>945</v>
      </c>
      <c r="O251" s="104">
        <f>+L251*I251</f>
        <v>1603.44</v>
      </c>
    </row>
    <row r="252" spans="1:15" s="105" customFormat="1" ht="15.75" x14ac:dyDescent="0.25">
      <c r="A252" s="113" t="s">
        <v>513</v>
      </c>
      <c r="B252" s="102">
        <v>44678</v>
      </c>
      <c r="C252" s="25" t="s">
        <v>853</v>
      </c>
      <c r="D252" s="56">
        <v>16</v>
      </c>
      <c r="E252" s="13">
        <v>3000</v>
      </c>
      <c r="F252" s="50">
        <f t="shared" si="26"/>
        <v>48000</v>
      </c>
      <c r="G252" s="103"/>
      <c r="H252" s="103"/>
      <c r="I252" s="104"/>
      <c r="J252" s="103"/>
      <c r="K252" s="103"/>
      <c r="L252" s="103">
        <f t="shared" si="29"/>
        <v>16</v>
      </c>
      <c r="M252" s="103"/>
      <c r="N252" s="103" t="s">
        <v>945</v>
      </c>
      <c r="O252" s="104">
        <f t="shared" si="30"/>
        <v>48000</v>
      </c>
    </row>
    <row r="253" spans="1:15" s="105" customFormat="1" ht="15.75" x14ac:dyDescent="0.25">
      <c r="A253" s="113" t="s">
        <v>514</v>
      </c>
      <c r="B253" s="102">
        <v>44193</v>
      </c>
      <c r="C253" s="25" t="s">
        <v>734</v>
      </c>
      <c r="D253" s="38">
        <v>0</v>
      </c>
      <c r="E253" s="13">
        <v>1500</v>
      </c>
      <c r="F253" s="50">
        <f t="shared" si="26"/>
        <v>0</v>
      </c>
      <c r="G253" s="103"/>
      <c r="H253" s="103"/>
      <c r="I253" s="104"/>
      <c r="J253" s="103"/>
      <c r="K253" s="103"/>
      <c r="L253" s="103">
        <f t="shared" si="29"/>
        <v>0</v>
      </c>
      <c r="M253" s="103"/>
      <c r="N253" s="103" t="s">
        <v>945</v>
      </c>
      <c r="O253" s="104">
        <f t="shared" si="30"/>
        <v>0</v>
      </c>
    </row>
    <row r="254" spans="1:15" s="105" customFormat="1" ht="15.75" x14ac:dyDescent="0.25">
      <c r="A254" s="113" t="s">
        <v>871</v>
      </c>
      <c r="B254" s="102">
        <v>44678</v>
      </c>
      <c r="C254" s="25" t="s">
        <v>852</v>
      </c>
      <c r="D254" s="57">
        <v>11</v>
      </c>
      <c r="E254" s="13">
        <v>1500</v>
      </c>
      <c r="F254" s="50">
        <f t="shared" si="26"/>
        <v>16500</v>
      </c>
      <c r="G254" s="103"/>
      <c r="H254" s="103"/>
      <c r="I254" s="104"/>
      <c r="J254" s="103"/>
      <c r="K254" s="103"/>
      <c r="L254" s="103">
        <f t="shared" si="29"/>
        <v>11</v>
      </c>
      <c r="M254" s="103"/>
      <c r="N254" s="103" t="s">
        <v>945</v>
      </c>
      <c r="O254" s="104">
        <f t="shared" si="30"/>
        <v>16500</v>
      </c>
    </row>
    <row r="255" spans="1:15" s="105" customFormat="1" ht="15.75" x14ac:dyDescent="0.25">
      <c r="A255" s="113" t="s">
        <v>872</v>
      </c>
      <c r="B255" s="102">
        <v>44678</v>
      </c>
      <c r="C255" s="25" t="s">
        <v>735</v>
      </c>
      <c r="D255" s="57">
        <v>3</v>
      </c>
      <c r="E255" s="13">
        <v>3800</v>
      </c>
      <c r="F255" s="50">
        <f t="shared" si="26"/>
        <v>11400</v>
      </c>
      <c r="G255" s="103"/>
      <c r="H255" s="103"/>
      <c r="I255" s="104"/>
      <c r="J255" s="103"/>
      <c r="K255" s="103"/>
      <c r="L255" s="103">
        <f t="shared" si="29"/>
        <v>3</v>
      </c>
      <c r="M255" s="103"/>
      <c r="N255" s="103" t="s">
        <v>945</v>
      </c>
      <c r="O255" s="104">
        <f t="shared" si="30"/>
        <v>11400</v>
      </c>
    </row>
    <row r="256" spans="1:15" s="105" customFormat="1" ht="15.75" x14ac:dyDescent="0.25">
      <c r="A256" s="113" t="s">
        <v>515</v>
      </c>
      <c r="B256" s="102">
        <v>44678</v>
      </c>
      <c r="C256" s="25" t="s">
        <v>737</v>
      </c>
      <c r="D256" s="57">
        <v>2</v>
      </c>
      <c r="E256" s="13">
        <v>1500</v>
      </c>
      <c r="F256" s="50">
        <f t="shared" si="26"/>
        <v>3000</v>
      </c>
      <c r="G256" s="103"/>
      <c r="H256" s="103"/>
      <c r="I256" s="104"/>
      <c r="J256" s="103"/>
      <c r="K256" s="103"/>
      <c r="L256" s="103">
        <f t="shared" si="29"/>
        <v>2</v>
      </c>
      <c r="M256" s="103"/>
      <c r="N256" s="103" t="s">
        <v>945</v>
      </c>
      <c r="O256" s="104">
        <f t="shared" si="30"/>
        <v>3000</v>
      </c>
    </row>
    <row r="257" spans="1:15" s="105" customFormat="1" ht="15.75" x14ac:dyDescent="0.25">
      <c r="A257" s="113" t="s">
        <v>516</v>
      </c>
      <c r="B257" s="102">
        <v>44678</v>
      </c>
      <c r="C257" s="25" t="s">
        <v>736</v>
      </c>
      <c r="D257" s="57">
        <v>2</v>
      </c>
      <c r="E257" s="13">
        <v>3800</v>
      </c>
      <c r="F257" s="50">
        <f t="shared" si="26"/>
        <v>7600</v>
      </c>
      <c r="G257" s="103"/>
      <c r="H257" s="103"/>
      <c r="I257" s="104"/>
      <c r="J257" s="103"/>
      <c r="K257" s="103"/>
      <c r="L257" s="103">
        <f t="shared" si="29"/>
        <v>2</v>
      </c>
      <c r="M257" s="103"/>
      <c r="N257" s="103" t="s">
        <v>945</v>
      </c>
      <c r="O257" s="104">
        <f t="shared" si="30"/>
        <v>7600</v>
      </c>
    </row>
    <row r="258" spans="1:15" s="105" customFormat="1" ht="15.75" x14ac:dyDescent="0.25">
      <c r="A258" s="113" t="s">
        <v>517</v>
      </c>
      <c r="B258" s="102">
        <v>44678</v>
      </c>
      <c r="C258" s="25" t="s">
        <v>738</v>
      </c>
      <c r="D258" s="57">
        <v>4</v>
      </c>
      <c r="E258" s="13">
        <v>3800</v>
      </c>
      <c r="F258" s="50">
        <f t="shared" si="26"/>
        <v>15200</v>
      </c>
      <c r="G258" s="103"/>
      <c r="H258" s="103"/>
      <c r="I258" s="104"/>
      <c r="J258" s="103"/>
      <c r="K258" s="103"/>
      <c r="L258" s="103">
        <f t="shared" si="29"/>
        <v>4</v>
      </c>
      <c r="M258" s="103"/>
      <c r="N258" s="103" t="s">
        <v>945</v>
      </c>
      <c r="O258" s="104">
        <f t="shared" si="30"/>
        <v>15200</v>
      </c>
    </row>
    <row r="259" spans="1:15" s="105" customFormat="1" ht="15.75" x14ac:dyDescent="0.25">
      <c r="A259" s="113" t="s">
        <v>518</v>
      </c>
      <c r="B259" s="102">
        <v>44678</v>
      </c>
      <c r="C259" s="26" t="s">
        <v>751</v>
      </c>
      <c r="D259" s="57">
        <v>16</v>
      </c>
      <c r="E259" s="13">
        <v>3000</v>
      </c>
      <c r="F259" s="50">
        <f t="shared" si="26"/>
        <v>48000</v>
      </c>
      <c r="G259" s="103"/>
      <c r="H259" s="103"/>
      <c r="I259" s="104"/>
      <c r="J259" s="103"/>
      <c r="K259" s="103"/>
      <c r="L259" s="103">
        <f t="shared" si="29"/>
        <v>16</v>
      </c>
      <c r="M259" s="103"/>
      <c r="N259" s="103" t="s">
        <v>945</v>
      </c>
      <c r="O259" s="104">
        <f t="shared" si="30"/>
        <v>48000</v>
      </c>
    </row>
    <row r="260" spans="1:15" s="105" customFormat="1" ht="15.75" x14ac:dyDescent="0.25">
      <c r="A260" s="113" t="s">
        <v>519</v>
      </c>
      <c r="B260" s="102">
        <v>44678</v>
      </c>
      <c r="C260" s="25" t="s">
        <v>845</v>
      </c>
      <c r="D260" s="38">
        <v>2</v>
      </c>
      <c r="E260" s="13">
        <v>200</v>
      </c>
      <c r="F260" s="50">
        <f t="shared" si="26"/>
        <v>400</v>
      </c>
      <c r="G260" s="103"/>
      <c r="H260" s="103"/>
      <c r="I260" s="104"/>
      <c r="J260" s="103"/>
      <c r="K260" s="103"/>
      <c r="L260" s="103">
        <f t="shared" si="29"/>
        <v>2</v>
      </c>
      <c r="M260" s="103"/>
      <c r="N260" s="103" t="s">
        <v>945</v>
      </c>
      <c r="O260" s="104">
        <f t="shared" si="30"/>
        <v>400</v>
      </c>
    </row>
    <row r="261" spans="1:15" s="105" customFormat="1" ht="15.75" x14ac:dyDescent="0.25">
      <c r="A261" s="113" t="s">
        <v>520</v>
      </c>
      <c r="B261" s="102">
        <v>44193</v>
      </c>
      <c r="C261" s="9" t="s">
        <v>740</v>
      </c>
      <c r="D261" s="30">
        <v>3</v>
      </c>
      <c r="E261" s="13">
        <v>75</v>
      </c>
      <c r="F261" s="50">
        <f>D261*E261</f>
        <v>225</v>
      </c>
      <c r="G261" s="103"/>
      <c r="H261" s="103"/>
      <c r="I261" s="104"/>
      <c r="J261" s="103"/>
      <c r="K261" s="103"/>
      <c r="L261" s="103">
        <f t="shared" si="29"/>
        <v>3</v>
      </c>
      <c r="M261" s="103"/>
      <c r="N261" s="103" t="s">
        <v>947</v>
      </c>
      <c r="O261" s="104">
        <f t="shared" si="30"/>
        <v>225</v>
      </c>
    </row>
    <row r="262" spans="1:15" s="105" customFormat="1" ht="15.75" x14ac:dyDescent="0.25">
      <c r="A262" s="113" t="s">
        <v>521</v>
      </c>
      <c r="B262" s="102">
        <v>44193</v>
      </c>
      <c r="C262" s="9" t="s">
        <v>739</v>
      </c>
      <c r="D262" s="30">
        <v>300</v>
      </c>
      <c r="E262" s="13">
        <v>29</v>
      </c>
      <c r="F262" s="50">
        <f>D262*E262</f>
        <v>8700</v>
      </c>
      <c r="G262" s="103"/>
      <c r="H262" s="103"/>
      <c r="I262" s="104"/>
      <c r="J262" s="103"/>
      <c r="K262" s="103"/>
      <c r="L262" s="103">
        <f t="shared" si="29"/>
        <v>300</v>
      </c>
      <c r="M262" s="103"/>
      <c r="N262" s="103" t="s">
        <v>947</v>
      </c>
      <c r="O262" s="104">
        <f t="shared" si="30"/>
        <v>8700</v>
      </c>
    </row>
    <row r="263" spans="1:15" s="105" customFormat="1" ht="15.75" x14ac:dyDescent="0.25">
      <c r="A263" s="113" t="s">
        <v>522</v>
      </c>
      <c r="B263" s="102">
        <v>44193</v>
      </c>
      <c r="C263" s="25" t="s">
        <v>826</v>
      </c>
      <c r="D263" s="38">
        <v>16</v>
      </c>
      <c r="E263" s="13">
        <v>143</v>
      </c>
      <c r="F263" s="50">
        <f>D263*E263</f>
        <v>2288</v>
      </c>
      <c r="G263" s="103"/>
      <c r="H263" s="103"/>
      <c r="I263" s="104"/>
      <c r="J263" s="103"/>
      <c r="K263" s="103"/>
      <c r="L263" s="103">
        <f t="shared" si="29"/>
        <v>16</v>
      </c>
      <c r="M263" s="103"/>
      <c r="N263" s="103" t="s">
        <v>946</v>
      </c>
      <c r="O263" s="104">
        <f t="shared" si="30"/>
        <v>2288</v>
      </c>
    </row>
    <row r="264" spans="1:15" s="105" customFormat="1" ht="15.75" x14ac:dyDescent="0.25">
      <c r="A264" s="113" t="s">
        <v>523</v>
      </c>
      <c r="B264" s="102">
        <v>44193</v>
      </c>
      <c r="C264" s="9" t="s">
        <v>741</v>
      </c>
      <c r="D264" s="56">
        <v>112</v>
      </c>
      <c r="E264" s="13">
        <v>8.5</v>
      </c>
      <c r="F264" s="50">
        <f t="shared" ref="F264:F271" si="33">D264*E264</f>
        <v>952</v>
      </c>
      <c r="G264" s="103"/>
      <c r="H264" s="103"/>
      <c r="I264" s="104"/>
      <c r="J264" s="103"/>
      <c r="K264" s="103"/>
      <c r="L264" s="103">
        <f t="shared" si="29"/>
        <v>112</v>
      </c>
      <c r="M264" s="103"/>
      <c r="N264" s="103" t="s">
        <v>947</v>
      </c>
      <c r="O264" s="104">
        <f t="shared" si="30"/>
        <v>952</v>
      </c>
    </row>
    <row r="265" spans="1:15" s="105" customFormat="1" ht="15.75" x14ac:dyDescent="0.25">
      <c r="A265" s="113" t="s">
        <v>524</v>
      </c>
      <c r="B265" s="102">
        <v>44193</v>
      </c>
      <c r="C265" s="9" t="s">
        <v>742</v>
      </c>
      <c r="D265" s="56">
        <v>24</v>
      </c>
      <c r="E265" s="13">
        <v>12</v>
      </c>
      <c r="F265" s="50">
        <f t="shared" si="33"/>
        <v>288</v>
      </c>
      <c r="G265" s="103"/>
      <c r="H265" s="103"/>
      <c r="I265" s="104"/>
      <c r="J265" s="103"/>
      <c r="K265" s="103"/>
      <c r="L265" s="103">
        <f t="shared" si="29"/>
        <v>24</v>
      </c>
      <c r="M265" s="103"/>
      <c r="N265" s="103" t="s">
        <v>947</v>
      </c>
      <c r="O265" s="104">
        <f t="shared" si="30"/>
        <v>288</v>
      </c>
    </row>
    <row r="266" spans="1:15" s="105" customFormat="1" ht="15.75" x14ac:dyDescent="0.25">
      <c r="A266" s="113" t="s">
        <v>525</v>
      </c>
      <c r="B266" s="102">
        <v>44193</v>
      </c>
      <c r="C266" s="9" t="s">
        <v>743</v>
      </c>
      <c r="D266" s="30">
        <v>34</v>
      </c>
      <c r="E266" s="13">
        <v>8</v>
      </c>
      <c r="F266" s="50">
        <f t="shared" si="33"/>
        <v>272</v>
      </c>
      <c r="G266" s="103"/>
      <c r="H266" s="103"/>
      <c r="I266" s="104"/>
      <c r="J266" s="103"/>
      <c r="K266" s="103"/>
      <c r="L266" s="103">
        <f t="shared" si="29"/>
        <v>34</v>
      </c>
      <c r="M266" s="103"/>
      <c r="N266" s="103" t="s">
        <v>947</v>
      </c>
      <c r="O266" s="104">
        <f t="shared" si="30"/>
        <v>272</v>
      </c>
    </row>
    <row r="267" spans="1:15" s="105" customFormat="1" ht="15.75" x14ac:dyDescent="0.25">
      <c r="A267" s="113" t="s">
        <v>526</v>
      </c>
      <c r="B267" s="102">
        <v>44193</v>
      </c>
      <c r="C267" s="9" t="s">
        <v>744</v>
      </c>
      <c r="D267" s="30">
        <v>1</v>
      </c>
      <c r="E267" s="13">
        <v>150</v>
      </c>
      <c r="F267" s="50">
        <f t="shared" si="33"/>
        <v>150</v>
      </c>
      <c r="G267" s="107">
        <v>44852</v>
      </c>
      <c r="H267" s="103">
        <v>5</v>
      </c>
      <c r="I267" s="104">
        <v>91.99</v>
      </c>
      <c r="J267" s="108">
        <f>+H267*I267</f>
        <v>459.95</v>
      </c>
      <c r="K267" s="103"/>
      <c r="L267" s="103">
        <f t="shared" si="29"/>
        <v>6</v>
      </c>
      <c r="M267" s="103" t="s">
        <v>1037</v>
      </c>
      <c r="N267" s="103" t="s">
        <v>947</v>
      </c>
      <c r="O267" s="104">
        <f t="shared" si="30"/>
        <v>900</v>
      </c>
    </row>
    <row r="268" spans="1:15" s="105" customFormat="1" ht="15.75" x14ac:dyDescent="0.25">
      <c r="A268" s="113" t="s">
        <v>527</v>
      </c>
      <c r="B268" s="102">
        <v>44193</v>
      </c>
      <c r="C268" s="9" t="s">
        <v>745</v>
      </c>
      <c r="D268" s="30">
        <v>1</v>
      </c>
      <c r="E268" s="13">
        <v>211.86</v>
      </c>
      <c r="F268" s="50">
        <f t="shared" si="33"/>
        <v>211.86</v>
      </c>
      <c r="G268" s="107">
        <v>44851</v>
      </c>
      <c r="H268" s="103">
        <v>20</v>
      </c>
      <c r="I268" s="104">
        <v>188.21</v>
      </c>
      <c r="J268" s="108">
        <f t="shared" ref="J268:J272" si="34">+H268*I268</f>
        <v>3764.2000000000003</v>
      </c>
      <c r="K268" s="103"/>
      <c r="L268" s="103">
        <f t="shared" si="29"/>
        <v>21</v>
      </c>
      <c r="M268" s="103"/>
      <c r="N268" s="103" t="s">
        <v>946</v>
      </c>
      <c r="O268" s="104">
        <f>+L268*I268</f>
        <v>3952.4100000000003</v>
      </c>
    </row>
    <row r="269" spans="1:15" s="105" customFormat="1" ht="15.75" x14ac:dyDescent="0.25">
      <c r="A269" s="113" t="s">
        <v>528</v>
      </c>
      <c r="B269" s="106" t="s">
        <v>105</v>
      </c>
      <c r="C269" s="9" t="s">
        <v>747</v>
      </c>
      <c r="D269" s="30">
        <f>90+44</f>
        <v>134</v>
      </c>
      <c r="E269" s="13">
        <v>25.42</v>
      </c>
      <c r="F269" s="50">
        <f t="shared" si="33"/>
        <v>3406.28</v>
      </c>
      <c r="G269" s="107">
        <v>44851</v>
      </c>
      <c r="H269" s="103">
        <v>120</v>
      </c>
      <c r="I269" s="104">
        <v>21.6</v>
      </c>
      <c r="J269" s="108">
        <f t="shared" si="34"/>
        <v>2592</v>
      </c>
      <c r="K269" s="103"/>
      <c r="L269" s="103">
        <f t="shared" si="29"/>
        <v>254</v>
      </c>
      <c r="M269" s="103"/>
      <c r="N269" s="103" t="s">
        <v>947</v>
      </c>
      <c r="O269" s="104">
        <f>+L269*I269</f>
        <v>5486.4000000000005</v>
      </c>
    </row>
    <row r="270" spans="1:15" s="8" customFormat="1" ht="15.75" x14ac:dyDescent="0.25">
      <c r="A270" s="113" t="s">
        <v>529</v>
      </c>
      <c r="B270" s="102">
        <v>44193</v>
      </c>
      <c r="C270" s="9" t="s">
        <v>748</v>
      </c>
      <c r="D270" s="30">
        <v>31</v>
      </c>
      <c r="E270" s="13">
        <v>50</v>
      </c>
      <c r="F270" s="50">
        <f t="shared" si="33"/>
        <v>1550</v>
      </c>
      <c r="G270" s="107">
        <v>44852</v>
      </c>
      <c r="H270" s="103">
        <f>10*12</f>
        <v>120</v>
      </c>
      <c r="I270" s="104">
        <v>23.82</v>
      </c>
      <c r="J270" s="108">
        <f t="shared" si="34"/>
        <v>2858.4</v>
      </c>
      <c r="K270" s="103"/>
      <c r="L270" s="103">
        <f t="shared" si="29"/>
        <v>151</v>
      </c>
      <c r="M270" s="103" t="s">
        <v>1037</v>
      </c>
      <c r="N270" s="103" t="s">
        <v>947</v>
      </c>
      <c r="O270" s="104">
        <f>+L270*I270</f>
        <v>3596.82</v>
      </c>
    </row>
    <row r="271" spans="1:15" s="105" customFormat="1" ht="15.75" x14ac:dyDescent="0.25">
      <c r="A271" s="113" t="s">
        <v>873</v>
      </c>
      <c r="B271" s="102">
        <v>44193</v>
      </c>
      <c r="C271" s="25" t="s">
        <v>785</v>
      </c>
      <c r="D271" s="38">
        <v>4</v>
      </c>
      <c r="E271" s="13">
        <v>45</v>
      </c>
      <c r="F271" s="50">
        <f t="shared" si="33"/>
        <v>180</v>
      </c>
      <c r="G271" s="103"/>
      <c r="H271" s="103"/>
      <c r="I271" s="104"/>
      <c r="J271" s="108">
        <f t="shared" si="34"/>
        <v>0</v>
      </c>
      <c r="K271" s="103"/>
      <c r="L271" s="103">
        <f t="shared" si="29"/>
        <v>4</v>
      </c>
      <c r="M271" s="103"/>
      <c r="N271" s="103" t="s">
        <v>947</v>
      </c>
      <c r="O271" s="104">
        <f t="shared" ref="O271:O274" si="35">+L271*E271</f>
        <v>180</v>
      </c>
    </row>
    <row r="272" spans="1:15" s="105" customFormat="1" ht="15.75" x14ac:dyDescent="0.25">
      <c r="A272" s="113" t="s">
        <v>874</v>
      </c>
      <c r="B272" s="106" t="s">
        <v>105</v>
      </c>
      <c r="C272" s="9" t="s">
        <v>746</v>
      </c>
      <c r="D272" s="30">
        <v>7</v>
      </c>
      <c r="E272" s="51">
        <v>48</v>
      </c>
      <c r="F272" s="50">
        <f>D272*E272</f>
        <v>336</v>
      </c>
      <c r="G272" s="103"/>
      <c r="H272" s="103"/>
      <c r="I272" s="104"/>
      <c r="J272" s="108">
        <f t="shared" si="34"/>
        <v>0</v>
      </c>
      <c r="K272" s="103">
        <f>3+2</f>
        <v>5</v>
      </c>
      <c r="L272" s="103">
        <f t="shared" si="29"/>
        <v>2</v>
      </c>
      <c r="M272" s="103"/>
      <c r="N272" s="103" t="s">
        <v>947</v>
      </c>
      <c r="O272" s="104">
        <f t="shared" si="35"/>
        <v>96</v>
      </c>
    </row>
    <row r="273" spans="1:15" s="105" customFormat="1" ht="15.75" x14ac:dyDescent="0.25">
      <c r="A273" s="113" t="s">
        <v>875</v>
      </c>
      <c r="B273" s="102"/>
      <c r="C273" s="25" t="s">
        <v>815</v>
      </c>
      <c r="D273" s="38">
        <v>6</v>
      </c>
      <c r="E273" s="13"/>
      <c r="F273" s="50"/>
      <c r="G273" s="103"/>
      <c r="H273" s="103"/>
      <c r="I273" s="104"/>
      <c r="J273" s="103"/>
      <c r="K273" s="103"/>
      <c r="L273" s="103">
        <f t="shared" si="29"/>
        <v>6</v>
      </c>
      <c r="M273" s="103"/>
      <c r="N273" s="103" t="s">
        <v>946</v>
      </c>
      <c r="O273" s="104">
        <f t="shared" si="35"/>
        <v>0</v>
      </c>
    </row>
    <row r="274" spans="1:15" s="105" customFormat="1" ht="15.75" x14ac:dyDescent="0.25">
      <c r="A274" s="113" t="s">
        <v>876</v>
      </c>
      <c r="B274" s="102">
        <v>44193</v>
      </c>
      <c r="C274" s="26" t="s">
        <v>750</v>
      </c>
      <c r="D274" s="38">
        <v>20</v>
      </c>
      <c r="E274" s="13">
        <v>1449.14</v>
      </c>
      <c r="F274" s="50">
        <f t="shared" ref="F274:F286" si="36">D274*E274</f>
        <v>28982.800000000003</v>
      </c>
      <c r="G274" s="103"/>
      <c r="H274" s="103"/>
      <c r="I274" s="104"/>
      <c r="J274" s="103"/>
      <c r="K274" s="103"/>
      <c r="L274" s="103">
        <f t="shared" si="29"/>
        <v>20</v>
      </c>
      <c r="M274" s="103"/>
      <c r="N274" s="103" t="s">
        <v>945</v>
      </c>
      <c r="O274" s="104">
        <f t="shared" si="35"/>
        <v>28982.800000000003</v>
      </c>
    </row>
    <row r="275" spans="1:15" s="105" customFormat="1" ht="15.75" x14ac:dyDescent="0.25">
      <c r="A275" s="113" t="s">
        <v>877</v>
      </c>
      <c r="B275" s="102">
        <v>44193</v>
      </c>
      <c r="C275" s="26" t="s">
        <v>771</v>
      </c>
      <c r="D275" s="38">
        <v>3</v>
      </c>
      <c r="E275" s="13">
        <v>289</v>
      </c>
      <c r="F275" s="50">
        <f t="shared" si="36"/>
        <v>867</v>
      </c>
      <c r="G275" s="107">
        <v>44778</v>
      </c>
      <c r="H275" s="103">
        <v>10</v>
      </c>
      <c r="I275" s="104">
        <v>3481</v>
      </c>
      <c r="J275" s="103">
        <f>+I275/10</f>
        <v>348.1</v>
      </c>
      <c r="K275" s="103"/>
      <c r="L275" s="103">
        <f t="shared" si="29"/>
        <v>13</v>
      </c>
      <c r="M275" s="103" t="s">
        <v>943</v>
      </c>
      <c r="N275" s="103" t="s">
        <v>945</v>
      </c>
      <c r="O275" s="104">
        <f>+L275*I275</f>
        <v>45253</v>
      </c>
    </row>
    <row r="276" spans="1:15" s="105" customFormat="1" ht="15.75" x14ac:dyDescent="0.25">
      <c r="A276" s="113" t="s">
        <v>878</v>
      </c>
      <c r="B276" s="102">
        <v>44193</v>
      </c>
      <c r="C276" s="26" t="s">
        <v>754</v>
      </c>
      <c r="D276" s="38">
        <v>7</v>
      </c>
      <c r="E276" s="13">
        <v>38</v>
      </c>
      <c r="F276" s="50">
        <f t="shared" si="36"/>
        <v>266</v>
      </c>
      <c r="G276" s="103"/>
      <c r="H276" s="103"/>
      <c r="I276" s="104"/>
      <c r="J276" s="103"/>
      <c r="K276" s="103"/>
      <c r="L276" s="103">
        <f t="shared" si="29"/>
        <v>7</v>
      </c>
      <c r="M276" s="103"/>
      <c r="N276" s="103" t="s">
        <v>946</v>
      </c>
      <c r="O276" s="104">
        <f>+L276*E276</f>
        <v>266</v>
      </c>
    </row>
    <row r="277" spans="1:15" s="105" customFormat="1" ht="15.75" x14ac:dyDescent="0.25">
      <c r="A277" s="113" t="s">
        <v>879</v>
      </c>
      <c r="B277" s="106" t="s">
        <v>105</v>
      </c>
      <c r="C277" s="26" t="s">
        <v>753</v>
      </c>
      <c r="D277" s="38">
        <v>12</v>
      </c>
      <c r="E277" s="13">
        <v>38</v>
      </c>
      <c r="F277" s="50">
        <f t="shared" si="36"/>
        <v>456</v>
      </c>
      <c r="G277" s="103"/>
      <c r="H277" s="103"/>
      <c r="I277" s="104"/>
      <c r="J277" s="103"/>
      <c r="K277" s="103"/>
      <c r="L277" s="103">
        <f t="shared" si="29"/>
        <v>12</v>
      </c>
      <c r="M277" s="103"/>
      <c r="N277" s="103" t="s">
        <v>946</v>
      </c>
      <c r="O277" s="104">
        <f t="shared" ref="O277:O302" si="37">+L277*E277</f>
        <v>456</v>
      </c>
    </row>
    <row r="278" spans="1:15" s="105" customFormat="1" ht="15.75" x14ac:dyDescent="0.25">
      <c r="A278" s="113" t="s">
        <v>880</v>
      </c>
      <c r="B278" s="102">
        <v>44193</v>
      </c>
      <c r="C278" s="26" t="s">
        <v>757</v>
      </c>
      <c r="D278" s="38">
        <v>1</v>
      </c>
      <c r="E278" s="13">
        <v>38</v>
      </c>
      <c r="F278" s="50">
        <f t="shared" si="36"/>
        <v>38</v>
      </c>
      <c r="G278" s="103"/>
      <c r="H278" s="103"/>
      <c r="I278" s="104"/>
      <c r="J278" s="103"/>
      <c r="K278" s="103"/>
      <c r="L278" s="103">
        <f t="shared" si="29"/>
        <v>1</v>
      </c>
      <c r="M278" s="103"/>
      <c r="N278" s="103" t="s">
        <v>946</v>
      </c>
      <c r="O278" s="104">
        <f t="shared" si="37"/>
        <v>38</v>
      </c>
    </row>
    <row r="279" spans="1:15" s="105" customFormat="1" ht="15.75" x14ac:dyDescent="0.25">
      <c r="A279" s="113" t="s">
        <v>881</v>
      </c>
      <c r="B279" s="102">
        <v>44193</v>
      </c>
      <c r="C279" s="26" t="s">
        <v>760</v>
      </c>
      <c r="D279" s="38">
        <v>1</v>
      </c>
      <c r="E279" s="13">
        <v>41</v>
      </c>
      <c r="F279" s="50">
        <f t="shared" si="36"/>
        <v>41</v>
      </c>
      <c r="G279" s="103"/>
      <c r="H279" s="103"/>
      <c r="I279" s="104"/>
      <c r="J279" s="103"/>
      <c r="K279" s="103"/>
      <c r="L279" s="103">
        <f t="shared" si="29"/>
        <v>1</v>
      </c>
      <c r="M279" s="103"/>
      <c r="N279" s="103" t="s">
        <v>946</v>
      </c>
      <c r="O279" s="104">
        <f t="shared" si="37"/>
        <v>41</v>
      </c>
    </row>
    <row r="280" spans="1:15" s="105" customFormat="1" ht="15.75" x14ac:dyDescent="0.25">
      <c r="A280" s="113" t="s">
        <v>882</v>
      </c>
      <c r="B280" s="102">
        <v>44193</v>
      </c>
      <c r="C280" s="26" t="s">
        <v>758</v>
      </c>
      <c r="D280" s="38">
        <v>1</v>
      </c>
      <c r="E280" s="13">
        <v>38</v>
      </c>
      <c r="F280" s="50">
        <f t="shared" si="36"/>
        <v>38</v>
      </c>
      <c r="G280" s="103"/>
      <c r="H280" s="103"/>
      <c r="I280" s="104"/>
      <c r="J280" s="103"/>
      <c r="K280" s="103"/>
      <c r="L280" s="103">
        <f t="shared" si="29"/>
        <v>1</v>
      </c>
      <c r="M280" s="103"/>
      <c r="N280" s="103" t="s">
        <v>946</v>
      </c>
      <c r="O280" s="104">
        <f t="shared" si="37"/>
        <v>38</v>
      </c>
    </row>
    <row r="281" spans="1:15" s="105" customFormat="1" ht="15.75" x14ac:dyDescent="0.25">
      <c r="A281" s="113" t="s">
        <v>883</v>
      </c>
      <c r="B281" s="102">
        <v>44193</v>
      </c>
      <c r="C281" s="26" t="s">
        <v>759</v>
      </c>
      <c r="D281" s="38">
        <v>1</v>
      </c>
      <c r="E281" s="13">
        <v>38</v>
      </c>
      <c r="F281" s="50">
        <f t="shared" si="36"/>
        <v>38</v>
      </c>
      <c r="G281" s="103"/>
      <c r="H281" s="103"/>
      <c r="I281" s="104"/>
      <c r="J281" s="103"/>
      <c r="K281" s="103"/>
      <c r="L281" s="103">
        <f t="shared" si="29"/>
        <v>1</v>
      </c>
      <c r="M281" s="103"/>
      <c r="N281" s="103" t="s">
        <v>946</v>
      </c>
      <c r="O281" s="104">
        <f t="shared" si="37"/>
        <v>38</v>
      </c>
    </row>
    <row r="282" spans="1:15" s="105" customFormat="1" ht="15.75" x14ac:dyDescent="0.25">
      <c r="A282" s="113" t="s">
        <v>884</v>
      </c>
      <c r="B282" s="106" t="s">
        <v>105</v>
      </c>
      <c r="C282" s="26" t="s">
        <v>755</v>
      </c>
      <c r="D282" s="38">
        <v>1</v>
      </c>
      <c r="E282" s="13">
        <v>38</v>
      </c>
      <c r="F282" s="50">
        <f t="shared" si="36"/>
        <v>38</v>
      </c>
      <c r="G282" s="103"/>
      <c r="H282" s="103"/>
      <c r="I282" s="104"/>
      <c r="J282" s="103"/>
      <c r="K282" s="103"/>
      <c r="L282" s="103">
        <f t="shared" si="29"/>
        <v>1</v>
      </c>
      <c r="M282" s="103"/>
      <c r="N282" s="103" t="s">
        <v>946</v>
      </c>
      <c r="O282" s="104">
        <f t="shared" si="37"/>
        <v>38</v>
      </c>
    </row>
    <row r="283" spans="1:15" s="105" customFormat="1" ht="15.75" x14ac:dyDescent="0.25">
      <c r="A283" s="113" t="s">
        <v>885</v>
      </c>
      <c r="B283" s="102">
        <v>44193</v>
      </c>
      <c r="C283" s="26" t="s">
        <v>756</v>
      </c>
      <c r="D283" s="38">
        <v>1</v>
      </c>
      <c r="E283" s="13">
        <v>38</v>
      </c>
      <c r="F283" s="50">
        <f t="shared" si="36"/>
        <v>38</v>
      </c>
      <c r="G283" s="103"/>
      <c r="H283" s="103"/>
      <c r="I283" s="104"/>
      <c r="J283" s="103"/>
      <c r="K283" s="103"/>
      <c r="L283" s="103">
        <f t="shared" si="29"/>
        <v>1</v>
      </c>
      <c r="M283" s="103"/>
      <c r="N283" s="103" t="s">
        <v>946</v>
      </c>
      <c r="O283" s="104">
        <f t="shared" si="37"/>
        <v>38</v>
      </c>
    </row>
    <row r="284" spans="1:15" s="105" customFormat="1" ht="15.75" x14ac:dyDescent="0.25">
      <c r="A284" s="113" t="s">
        <v>886</v>
      </c>
      <c r="B284" s="102">
        <v>44193</v>
      </c>
      <c r="C284" s="26" t="s">
        <v>762</v>
      </c>
      <c r="D284" s="38">
        <v>7</v>
      </c>
      <c r="E284" s="13">
        <v>537</v>
      </c>
      <c r="F284" s="50">
        <f t="shared" si="36"/>
        <v>3759</v>
      </c>
      <c r="G284" s="103"/>
      <c r="H284" s="103"/>
      <c r="I284" s="104"/>
      <c r="J284" s="103"/>
      <c r="K284" s="103"/>
      <c r="L284" s="103">
        <f t="shared" si="29"/>
        <v>7</v>
      </c>
      <c r="M284" s="103"/>
      <c r="N284" s="103" t="s">
        <v>946</v>
      </c>
      <c r="O284" s="104">
        <f t="shared" si="37"/>
        <v>3759</v>
      </c>
    </row>
    <row r="285" spans="1:15" s="105" customFormat="1" ht="15.75" x14ac:dyDescent="0.25">
      <c r="A285" s="113" t="s">
        <v>887</v>
      </c>
      <c r="B285" s="102">
        <v>44193</v>
      </c>
      <c r="C285" s="26" t="s">
        <v>761</v>
      </c>
      <c r="D285" s="38">
        <v>3</v>
      </c>
      <c r="E285" s="13">
        <v>537</v>
      </c>
      <c r="F285" s="50">
        <f t="shared" si="36"/>
        <v>1611</v>
      </c>
      <c r="G285" s="103"/>
      <c r="H285" s="103"/>
      <c r="I285" s="104"/>
      <c r="J285" s="103"/>
      <c r="K285" s="103"/>
      <c r="L285" s="103">
        <f t="shared" si="29"/>
        <v>3</v>
      </c>
      <c r="M285" s="103"/>
      <c r="N285" s="103" t="s">
        <v>946</v>
      </c>
      <c r="O285" s="104">
        <f t="shared" si="37"/>
        <v>1611</v>
      </c>
    </row>
    <row r="286" spans="1:15" s="105" customFormat="1" ht="15.75" x14ac:dyDescent="0.25">
      <c r="A286" s="113" t="s">
        <v>888</v>
      </c>
      <c r="B286" s="102">
        <v>44193</v>
      </c>
      <c r="C286" s="9" t="s">
        <v>763</v>
      </c>
      <c r="D286" s="30">
        <v>13</v>
      </c>
      <c r="E286" s="13">
        <v>13.87</v>
      </c>
      <c r="F286" s="50">
        <f t="shared" si="36"/>
        <v>180.31</v>
      </c>
      <c r="G286" s="103"/>
      <c r="H286" s="103"/>
      <c r="I286" s="104"/>
      <c r="J286" s="103"/>
      <c r="K286" s="103"/>
      <c r="L286" s="103">
        <f t="shared" si="29"/>
        <v>13</v>
      </c>
      <c r="M286" s="103"/>
      <c r="N286" s="103" t="s">
        <v>947</v>
      </c>
      <c r="O286" s="104">
        <f t="shared" si="37"/>
        <v>180.31</v>
      </c>
    </row>
    <row r="287" spans="1:15" s="105" customFormat="1" ht="15.75" x14ac:dyDescent="0.25">
      <c r="A287" s="113" t="s">
        <v>889</v>
      </c>
      <c r="B287" s="102"/>
      <c r="C287" s="25" t="s">
        <v>814</v>
      </c>
      <c r="D287" s="38">
        <v>5</v>
      </c>
      <c r="E287" s="13"/>
      <c r="F287" s="50"/>
      <c r="G287" s="103"/>
      <c r="H287" s="103"/>
      <c r="I287" s="104"/>
      <c r="J287" s="103"/>
      <c r="K287" s="103"/>
      <c r="L287" s="103">
        <f t="shared" si="29"/>
        <v>5</v>
      </c>
      <c r="M287" s="103"/>
      <c r="N287" s="103" t="s">
        <v>946</v>
      </c>
      <c r="O287" s="104">
        <f>+L287*E287</f>
        <v>0</v>
      </c>
    </row>
    <row r="288" spans="1:15" s="105" customFormat="1" ht="15.75" x14ac:dyDescent="0.25">
      <c r="A288" s="113" t="s">
        <v>890</v>
      </c>
      <c r="B288" s="102"/>
      <c r="C288" s="25" t="s">
        <v>805</v>
      </c>
      <c r="D288" s="38">
        <v>9</v>
      </c>
      <c r="E288" s="13"/>
      <c r="F288" s="50"/>
      <c r="G288" s="103"/>
      <c r="H288" s="103"/>
      <c r="I288" s="104"/>
      <c r="J288" s="103"/>
      <c r="K288" s="103"/>
      <c r="L288" s="103">
        <f t="shared" si="29"/>
        <v>9</v>
      </c>
      <c r="M288" s="103"/>
      <c r="N288" s="103" t="s">
        <v>946</v>
      </c>
      <c r="O288" s="104">
        <f t="shared" si="37"/>
        <v>0</v>
      </c>
    </row>
    <row r="289" spans="1:15" s="105" customFormat="1" ht="15.75" x14ac:dyDescent="0.25">
      <c r="A289" s="113" t="s">
        <v>891</v>
      </c>
      <c r="B289" s="102"/>
      <c r="C289" s="25" t="s">
        <v>784</v>
      </c>
      <c r="D289" s="38">
        <v>29</v>
      </c>
      <c r="E289" s="13"/>
      <c r="F289" s="50"/>
      <c r="G289" s="107">
        <v>44852</v>
      </c>
      <c r="H289" s="103">
        <v>15</v>
      </c>
      <c r="I289" s="104">
        <v>25.52</v>
      </c>
      <c r="J289" s="108">
        <f>+H289*I289</f>
        <v>382.8</v>
      </c>
      <c r="K289" s="103">
        <v>1</v>
      </c>
      <c r="L289" s="103">
        <f t="shared" si="29"/>
        <v>43</v>
      </c>
      <c r="M289" s="103" t="s">
        <v>1037</v>
      </c>
      <c r="N289" s="103" t="s">
        <v>947</v>
      </c>
      <c r="O289" s="104">
        <f>+L289*I289</f>
        <v>1097.3599999999999</v>
      </c>
    </row>
    <row r="290" spans="1:15" s="105" customFormat="1" ht="15.75" x14ac:dyDescent="0.25">
      <c r="A290" s="113" t="s">
        <v>892</v>
      </c>
      <c r="B290" s="102">
        <v>44729</v>
      </c>
      <c r="C290" s="25" t="s">
        <v>860</v>
      </c>
      <c r="D290" s="38">
        <v>12</v>
      </c>
      <c r="E290" s="13">
        <v>1637.5</v>
      </c>
      <c r="F290" s="50">
        <f>+D290*E290</f>
        <v>19650</v>
      </c>
      <c r="G290" s="103"/>
      <c r="H290" s="103"/>
      <c r="I290" s="104"/>
      <c r="J290" s="103"/>
      <c r="K290" s="103"/>
      <c r="L290" s="103">
        <f t="shared" si="29"/>
        <v>12</v>
      </c>
      <c r="M290" s="103"/>
      <c r="N290" s="103" t="s">
        <v>946</v>
      </c>
      <c r="O290" s="104">
        <f t="shared" si="37"/>
        <v>19650</v>
      </c>
    </row>
    <row r="291" spans="1:15" s="105" customFormat="1" ht="15.75" x14ac:dyDescent="0.25">
      <c r="A291" s="113" t="s">
        <v>893</v>
      </c>
      <c r="B291" s="102">
        <v>44652</v>
      </c>
      <c r="C291" s="25" t="s">
        <v>859</v>
      </c>
      <c r="D291" s="38">
        <f>11+6+12+11</f>
        <v>40</v>
      </c>
      <c r="E291" s="13">
        <v>159</v>
      </c>
      <c r="F291" s="50">
        <f>+D291*E291</f>
        <v>6360</v>
      </c>
      <c r="G291" s="103"/>
      <c r="H291" s="103"/>
      <c r="I291" s="104"/>
      <c r="J291" s="103"/>
      <c r="K291" s="103">
        <f>3+1+1+1</f>
        <v>6</v>
      </c>
      <c r="L291" s="103">
        <f t="shared" si="29"/>
        <v>34</v>
      </c>
      <c r="M291" s="103"/>
      <c r="N291" s="103" t="s">
        <v>945</v>
      </c>
      <c r="O291" s="104">
        <f t="shared" si="37"/>
        <v>5406</v>
      </c>
    </row>
    <row r="292" spans="1:15" s="105" customFormat="1" ht="15.75" x14ac:dyDescent="0.25">
      <c r="A292" s="113" t="s">
        <v>894</v>
      </c>
      <c r="B292" s="102">
        <v>44652</v>
      </c>
      <c r="C292" s="25" t="s">
        <v>858</v>
      </c>
      <c r="D292" s="38">
        <v>11</v>
      </c>
      <c r="E292" s="13"/>
      <c r="F292" s="50">
        <f>+D292*E292</f>
        <v>0</v>
      </c>
      <c r="G292" s="103"/>
      <c r="H292" s="103"/>
      <c r="I292" s="104"/>
      <c r="J292" s="103"/>
      <c r="K292" s="103"/>
      <c r="L292" s="103">
        <f t="shared" si="29"/>
        <v>11</v>
      </c>
      <c r="M292" s="103"/>
      <c r="N292" s="103" t="s">
        <v>945</v>
      </c>
      <c r="O292" s="104">
        <f t="shared" si="37"/>
        <v>0</v>
      </c>
    </row>
    <row r="293" spans="1:15" s="105" customFormat="1" ht="15.75" x14ac:dyDescent="0.25">
      <c r="A293" s="113" t="s">
        <v>895</v>
      </c>
      <c r="B293" s="102">
        <v>44652</v>
      </c>
      <c r="C293" s="25" t="s">
        <v>920</v>
      </c>
      <c r="D293" s="38">
        <f>9+11+7</f>
        <v>27</v>
      </c>
      <c r="E293" s="13">
        <v>145</v>
      </c>
      <c r="F293" s="50">
        <f>+D293*E293</f>
        <v>3915</v>
      </c>
      <c r="G293" s="103"/>
      <c r="H293" s="103"/>
      <c r="I293" s="104"/>
      <c r="J293" s="103"/>
      <c r="K293" s="103"/>
      <c r="L293" s="103">
        <f t="shared" si="29"/>
        <v>27</v>
      </c>
      <c r="M293" s="103"/>
      <c r="N293" s="103" t="s">
        <v>945</v>
      </c>
      <c r="O293" s="104">
        <f t="shared" si="37"/>
        <v>3915</v>
      </c>
    </row>
    <row r="294" spans="1:15" s="105" customFormat="1" ht="15.75" x14ac:dyDescent="0.25">
      <c r="A294" s="113" t="s">
        <v>896</v>
      </c>
      <c r="B294" s="102"/>
      <c r="C294" s="25" t="s">
        <v>795</v>
      </c>
      <c r="D294" s="38">
        <v>29</v>
      </c>
      <c r="E294" s="13">
        <v>29.35</v>
      </c>
      <c r="F294" s="50">
        <f t="shared" ref="F294:F310" si="38">+D294*E294</f>
        <v>851.15000000000009</v>
      </c>
      <c r="G294" s="103"/>
      <c r="H294" s="103"/>
      <c r="I294" s="104"/>
      <c r="J294" s="103"/>
      <c r="K294" s="103"/>
      <c r="L294" s="103">
        <f t="shared" si="29"/>
        <v>29</v>
      </c>
      <c r="M294" s="103"/>
      <c r="N294" s="103" t="s">
        <v>946</v>
      </c>
      <c r="O294" s="104">
        <f t="shared" si="37"/>
        <v>851.15000000000009</v>
      </c>
    </row>
    <row r="295" spans="1:15" s="105" customFormat="1" ht="15.75" x14ac:dyDescent="0.25">
      <c r="A295" s="113" t="s">
        <v>897</v>
      </c>
      <c r="B295" s="102"/>
      <c r="C295" s="25" t="s">
        <v>843</v>
      </c>
      <c r="D295" s="38">
        <v>8</v>
      </c>
      <c r="E295" s="13"/>
      <c r="F295" s="50">
        <f t="shared" si="38"/>
        <v>0</v>
      </c>
      <c r="G295" s="103"/>
      <c r="H295" s="103"/>
      <c r="I295" s="104"/>
      <c r="J295" s="103"/>
      <c r="K295" s="103"/>
      <c r="L295" s="103">
        <f t="shared" si="29"/>
        <v>8</v>
      </c>
      <c r="M295" s="103"/>
      <c r="N295" s="103" t="s">
        <v>946</v>
      </c>
      <c r="O295" s="104">
        <f t="shared" si="37"/>
        <v>0</v>
      </c>
    </row>
    <row r="296" spans="1:15" s="105" customFormat="1" ht="15.75" x14ac:dyDescent="0.25">
      <c r="A296" s="113" t="s">
        <v>898</v>
      </c>
      <c r="B296" s="102"/>
      <c r="C296" s="25" t="s">
        <v>793</v>
      </c>
      <c r="D296" s="38">
        <f>3+1</f>
        <v>4</v>
      </c>
      <c r="E296" s="13"/>
      <c r="F296" s="50">
        <f t="shared" si="38"/>
        <v>0</v>
      </c>
      <c r="G296" s="103"/>
      <c r="H296" s="103"/>
      <c r="I296" s="104"/>
      <c r="J296" s="103"/>
      <c r="K296" s="103">
        <v>1</v>
      </c>
      <c r="L296" s="103">
        <f t="shared" si="29"/>
        <v>3</v>
      </c>
      <c r="M296" s="103"/>
      <c r="N296" s="103" t="s">
        <v>946</v>
      </c>
      <c r="O296" s="104">
        <f t="shared" si="37"/>
        <v>0</v>
      </c>
    </row>
    <row r="297" spans="1:15" s="105" customFormat="1" ht="15.75" x14ac:dyDescent="0.25">
      <c r="A297" s="113" t="s">
        <v>899</v>
      </c>
      <c r="B297" s="102"/>
      <c r="C297" s="25" t="s">
        <v>842</v>
      </c>
      <c r="D297" s="38">
        <v>2</v>
      </c>
      <c r="E297" s="13"/>
      <c r="F297" s="50">
        <f t="shared" si="38"/>
        <v>0</v>
      </c>
      <c r="G297" s="103"/>
      <c r="H297" s="103"/>
      <c r="I297" s="104"/>
      <c r="J297" s="103"/>
      <c r="K297" s="103"/>
      <c r="L297" s="103">
        <f t="shared" si="29"/>
        <v>2</v>
      </c>
      <c r="M297" s="103"/>
      <c r="N297" s="103" t="s">
        <v>946</v>
      </c>
      <c r="O297" s="104">
        <f t="shared" si="37"/>
        <v>0</v>
      </c>
    </row>
    <row r="298" spans="1:15" s="105" customFormat="1" ht="15.75" x14ac:dyDescent="0.25">
      <c r="A298" s="113" t="s">
        <v>900</v>
      </c>
      <c r="B298" s="102">
        <v>44193</v>
      </c>
      <c r="C298" s="25" t="s">
        <v>841</v>
      </c>
      <c r="D298" s="38">
        <v>1</v>
      </c>
      <c r="E298" s="13">
        <v>18.86</v>
      </c>
      <c r="F298" s="50">
        <f t="shared" si="38"/>
        <v>18.86</v>
      </c>
      <c r="G298" s="103"/>
      <c r="H298" s="103"/>
      <c r="I298" s="104"/>
      <c r="J298" s="103"/>
      <c r="K298" s="103"/>
      <c r="L298" s="103">
        <f t="shared" si="29"/>
        <v>1</v>
      </c>
      <c r="M298" s="103"/>
      <c r="N298" s="103" t="s">
        <v>946</v>
      </c>
      <c r="O298" s="104">
        <f>+L298*E298</f>
        <v>18.86</v>
      </c>
    </row>
    <row r="299" spans="1:15" s="105" customFormat="1" ht="15.75" x14ac:dyDescent="0.25">
      <c r="A299" s="113" t="s">
        <v>901</v>
      </c>
      <c r="B299" s="102">
        <v>44193</v>
      </c>
      <c r="C299" s="25" t="s">
        <v>848</v>
      </c>
      <c r="D299" s="38">
        <v>1</v>
      </c>
      <c r="E299" s="13"/>
      <c r="F299" s="50">
        <f t="shared" si="38"/>
        <v>0</v>
      </c>
      <c r="G299" s="103"/>
      <c r="H299" s="103"/>
      <c r="I299" s="104"/>
      <c r="J299" s="103"/>
      <c r="K299" s="103"/>
      <c r="L299" s="103">
        <f t="shared" si="29"/>
        <v>1</v>
      </c>
      <c r="M299" s="103"/>
      <c r="N299" s="103" t="s">
        <v>946</v>
      </c>
      <c r="O299" s="104">
        <f t="shared" si="37"/>
        <v>0</v>
      </c>
    </row>
    <row r="300" spans="1:15" s="105" customFormat="1" ht="15.75" x14ac:dyDescent="0.25">
      <c r="A300" s="113" t="s">
        <v>902</v>
      </c>
      <c r="B300" s="102">
        <v>44193</v>
      </c>
      <c r="C300" s="25" t="s">
        <v>839</v>
      </c>
      <c r="D300" s="38">
        <v>7</v>
      </c>
      <c r="E300" s="13"/>
      <c r="F300" s="50">
        <f t="shared" si="38"/>
        <v>0</v>
      </c>
      <c r="G300" s="103"/>
      <c r="H300" s="103"/>
      <c r="I300" s="104"/>
      <c r="J300" s="103"/>
      <c r="K300" s="103"/>
      <c r="L300" s="103">
        <f t="shared" si="29"/>
        <v>7</v>
      </c>
      <c r="M300" s="103"/>
      <c r="N300" s="103" t="s">
        <v>946</v>
      </c>
      <c r="O300" s="104">
        <f t="shared" si="37"/>
        <v>0</v>
      </c>
    </row>
    <row r="301" spans="1:15" s="105" customFormat="1" ht="15.75" x14ac:dyDescent="0.25">
      <c r="A301" s="113" t="s">
        <v>903</v>
      </c>
      <c r="B301" s="102">
        <v>44193</v>
      </c>
      <c r="C301" s="25" t="s">
        <v>867</v>
      </c>
      <c r="D301" s="38">
        <v>6</v>
      </c>
      <c r="E301" s="13">
        <v>176</v>
      </c>
      <c r="F301" s="50">
        <f t="shared" si="38"/>
        <v>1056</v>
      </c>
      <c r="G301" s="103"/>
      <c r="H301" s="103"/>
      <c r="I301" s="104"/>
      <c r="J301" s="103"/>
      <c r="K301" s="103"/>
      <c r="L301" s="103">
        <f t="shared" si="29"/>
        <v>6</v>
      </c>
      <c r="M301" s="103"/>
      <c r="N301" s="103" t="s">
        <v>947</v>
      </c>
      <c r="O301" s="104">
        <f t="shared" si="37"/>
        <v>1056</v>
      </c>
    </row>
    <row r="302" spans="1:15" s="105" customFormat="1" ht="15.75" x14ac:dyDescent="0.25">
      <c r="A302" s="113" t="s">
        <v>904</v>
      </c>
      <c r="B302" s="102">
        <v>44193</v>
      </c>
      <c r="C302" s="25" t="s">
        <v>798</v>
      </c>
      <c r="D302" s="38">
        <v>3</v>
      </c>
      <c r="E302" s="13">
        <v>234</v>
      </c>
      <c r="F302" s="50">
        <f t="shared" si="38"/>
        <v>702</v>
      </c>
      <c r="G302" s="103"/>
      <c r="H302" s="103"/>
      <c r="I302" s="104"/>
      <c r="J302" s="103"/>
      <c r="K302" s="103"/>
      <c r="L302" s="103">
        <f t="shared" si="29"/>
        <v>3</v>
      </c>
      <c r="M302" s="103"/>
      <c r="N302" s="103" t="s">
        <v>946</v>
      </c>
      <c r="O302" s="104">
        <f t="shared" si="37"/>
        <v>702</v>
      </c>
    </row>
    <row r="303" spans="1:15" s="105" customFormat="1" ht="15.75" x14ac:dyDescent="0.25">
      <c r="A303" s="113" t="s">
        <v>905</v>
      </c>
      <c r="B303" s="102">
        <v>44193</v>
      </c>
      <c r="C303" s="25" t="s">
        <v>764</v>
      </c>
      <c r="D303" s="38">
        <v>0</v>
      </c>
      <c r="E303" s="13">
        <v>39</v>
      </c>
      <c r="F303" s="50">
        <f t="shared" si="38"/>
        <v>0</v>
      </c>
      <c r="G303" s="107">
        <v>44755</v>
      </c>
      <c r="H303" s="103">
        <v>25</v>
      </c>
      <c r="I303" s="104">
        <v>50.84</v>
      </c>
      <c r="J303" s="108">
        <f>+H303*I303</f>
        <v>1271</v>
      </c>
      <c r="K303" s="38">
        <f>1+1+2+1+1</f>
        <v>6</v>
      </c>
      <c r="L303" s="103">
        <f t="shared" si="29"/>
        <v>19</v>
      </c>
      <c r="M303" s="103" t="s">
        <v>928</v>
      </c>
      <c r="N303" s="103" t="s">
        <v>945</v>
      </c>
      <c r="O303" s="104">
        <f>+L303*I303</f>
        <v>965.96</v>
      </c>
    </row>
    <row r="304" spans="1:15" s="105" customFormat="1" ht="15.75" x14ac:dyDescent="0.25">
      <c r="A304" s="113" t="s">
        <v>906</v>
      </c>
      <c r="B304" s="102"/>
      <c r="C304" s="25" t="s">
        <v>799</v>
      </c>
      <c r="D304" s="38">
        <v>120</v>
      </c>
      <c r="E304" s="13"/>
      <c r="F304" s="50">
        <f t="shared" si="38"/>
        <v>0</v>
      </c>
      <c r="G304" s="103"/>
      <c r="H304" s="103"/>
      <c r="I304" s="104"/>
      <c r="J304" s="103"/>
      <c r="K304" s="103"/>
      <c r="L304" s="103">
        <f t="shared" ref="L304:L318" si="39">+D304+H304-K304</f>
        <v>120</v>
      </c>
      <c r="M304" s="103"/>
      <c r="N304" s="103" t="s">
        <v>946</v>
      </c>
      <c r="O304" s="104">
        <f>+L304*E304</f>
        <v>0</v>
      </c>
    </row>
    <row r="305" spans="1:15" s="105" customFormat="1" ht="15.75" x14ac:dyDescent="0.25">
      <c r="A305" s="113" t="s">
        <v>907</v>
      </c>
      <c r="B305" s="102"/>
      <c r="C305" s="25" t="s">
        <v>824</v>
      </c>
      <c r="D305" s="38">
        <v>15</v>
      </c>
      <c r="E305" s="13"/>
      <c r="F305" s="50">
        <f t="shared" si="38"/>
        <v>0</v>
      </c>
      <c r="G305" s="107"/>
      <c r="H305" s="103"/>
      <c r="I305" s="104"/>
      <c r="J305" s="108"/>
      <c r="K305" s="108"/>
      <c r="L305" s="103">
        <f t="shared" si="39"/>
        <v>15</v>
      </c>
      <c r="M305" s="103"/>
      <c r="N305" s="103" t="s">
        <v>946</v>
      </c>
      <c r="O305" s="104">
        <f t="shared" ref="O305:O322" si="40">+L305*E305</f>
        <v>0</v>
      </c>
    </row>
    <row r="306" spans="1:15" s="105" customFormat="1" ht="15.75" x14ac:dyDescent="0.25">
      <c r="A306" s="113" t="s">
        <v>908</v>
      </c>
      <c r="B306" s="102"/>
      <c r="C306" s="25" t="s">
        <v>837</v>
      </c>
      <c r="D306" s="38">
        <v>9</v>
      </c>
      <c r="E306" s="13"/>
      <c r="F306" s="50">
        <f t="shared" si="38"/>
        <v>0</v>
      </c>
      <c r="G306" s="103"/>
      <c r="H306" s="103"/>
      <c r="I306" s="104"/>
      <c r="J306" s="103"/>
      <c r="K306" s="103"/>
      <c r="L306" s="103">
        <f t="shared" si="39"/>
        <v>9</v>
      </c>
      <c r="M306" s="103"/>
      <c r="N306" s="103" t="s">
        <v>946</v>
      </c>
      <c r="O306" s="104">
        <f t="shared" si="40"/>
        <v>0</v>
      </c>
    </row>
    <row r="307" spans="1:15" s="105" customFormat="1" ht="15.75" x14ac:dyDescent="0.25">
      <c r="A307" s="113" t="s">
        <v>909</v>
      </c>
      <c r="B307" s="102"/>
      <c r="C307" s="25" t="s">
        <v>792</v>
      </c>
      <c r="D307" s="38">
        <v>19</v>
      </c>
      <c r="E307" s="13"/>
      <c r="F307" s="50">
        <f t="shared" si="38"/>
        <v>0</v>
      </c>
      <c r="G307" s="103"/>
      <c r="H307" s="103"/>
      <c r="I307" s="104"/>
      <c r="J307" s="103"/>
      <c r="K307" s="103"/>
      <c r="L307" s="103">
        <f t="shared" si="39"/>
        <v>19</v>
      </c>
      <c r="M307" s="103"/>
      <c r="N307" s="103" t="s">
        <v>946</v>
      </c>
      <c r="O307" s="104">
        <f t="shared" si="40"/>
        <v>0</v>
      </c>
    </row>
    <row r="308" spans="1:15" s="105" customFormat="1" ht="15.75" x14ac:dyDescent="0.25">
      <c r="A308" s="113" t="s">
        <v>910</v>
      </c>
      <c r="B308" s="102"/>
      <c r="C308" s="25" t="s">
        <v>329</v>
      </c>
      <c r="D308" s="38">
        <v>21</v>
      </c>
      <c r="E308" s="13"/>
      <c r="F308" s="50">
        <f t="shared" si="38"/>
        <v>0</v>
      </c>
      <c r="G308" s="103"/>
      <c r="H308" s="103"/>
      <c r="I308" s="104"/>
      <c r="J308" s="103"/>
      <c r="K308" s="103"/>
      <c r="L308" s="103">
        <f t="shared" si="39"/>
        <v>21</v>
      </c>
      <c r="M308" s="103"/>
      <c r="N308" s="103" t="s">
        <v>946</v>
      </c>
      <c r="O308" s="104">
        <f t="shared" si="40"/>
        <v>0</v>
      </c>
    </row>
    <row r="309" spans="1:15" s="105" customFormat="1" ht="15.75" x14ac:dyDescent="0.25">
      <c r="A309" s="113" t="s">
        <v>911</v>
      </c>
      <c r="B309" s="102"/>
      <c r="C309" s="25" t="s">
        <v>330</v>
      </c>
      <c r="D309" s="38">
        <f>2+18</f>
        <v>20</v>
      </c>
      <c r="E309" s="13"/>
      <c r="F309" s="50">
        <f t="shared" si="38"/>
        <v>0</v>
      </c>
      <c r="G309" s="103"/>
      <c r="H309" s="103"/>
      <c r="I309" s="104"/>
      <c r="J309" s="103"/>
      <c r="K309" s="103"/>
      <c r="L309" s="103">
        <f t="shared" si="39"/>
        <v>20</v>
      </c>
      <c r="M309" s="103"/>
      <c r="N309" s="103" t="s">
        <v>946</v>
      </c>
      <c r="O309" s="104">
        <f t="shared" si="40"/>
        <v>0</v>
      </c>
    </row>
    <row r="310" spans="1:15" s="105" customFormat="1" ht="15.75" x14ac:dyDescent="0.25">
      <c r="A310" s="113" t="s">
        <v>912</v>
      </c>
      <c r="B310" s="102">
        <v>44193</v>
      </c>
      <c r="C310" s="25" t="s">
        <v>836</v>
      </c>
      <c r="D310" s="38">
        <v>19</v>
      </c>
      <c r="E310" s="13">
        <v>30</v>
      </c>
      <c r="F310" s="50">
        <f t="shared" si="38"/>
        <v>570</v>
      </c>
      <c r="G310" s="103"/>
      <c r="H310" s="103"/>
      <c r="I310" s="104"/>
      <c r="J310" s="103"/>
      <c r="K310" s="103"/>
      <c r="L310" s="103">
        <f t="shared" si="39"/>
        <v>19</v>
      </c>
      <c r="M310" s="103"/>
      <c r="N310" s="103" t="s">
        <v>946</v>
      </c>
      <c r="O310" s="104">
        <f t="shared" si="40"/>
        <v>570</v>
      </c>
    </row>
    <row r="311" spans="1:15" s="105" customFormat="1" ht="15.75" x14ac:dyDescent="0.25">
      <c r="A311" s="113" t="s">
        <v>530</v>
      </c>
      <c r="B311" s="102">
        <v>44193</v>
      </c>
      <c r="C311" s="25" t="s">
        <v>810</v>
      </c>
      <c r="D311" s="38">
        <v>6</v>
      </c>
      <c r="E311" s="13">
        <v>299.72000000000003</v>
      </c>
      <c r="F311" s="50">
        <f>+D311*E311</f>
        <v>1798.3200000000002</v>
      </c>
      <c r="G311" s="103"/>
      <c r="H311" s="103"/>
      <c r="I311" s="104"/>
      <c r="J311" s="103"/>
      <c r="K311" s="103"/>
      <c r="L311" s="103">
        <f t="shared" si="39"/>
        <v>6</v>
      </c>
      <c r="M311" s="103"/>
      <c r="N311" s="103" t="s">
        <v>946</v>
      </c>
      <c r="O311" s="104">
        <f t="shared" si="40"/>
        <v>1798.3200000000002</v>
      </c>
    </row>
    <row r="312" spans="1:15" s="105" customFormat="1" ht="15.75" x14ac:dyDescent="0.25">
      <c r="A312" s="113" t="s">
        <v>916</v>
      </c>
      <c r="B312" s="102"/>
      <c r="C312" s="25" t="s">
        <v>836</v>
      </c>
      <c r="D312" s="38">
        <v>19</v>
      </c>
      <c r="E312" s="13"/>
      <c r="F312" s="50"/>
      <c r="G312" s="103"/>
      <c r="H312" s="103"/>
      <c r="I312" s="104"/>
      <c r="J312" s="103"/>
      <c r="K312" s="103"/>
      <c r="L312" s="103">
        <f t="shared" si="39"/>
        <v>19</v>
      </c>
      <c r="M312" s="103"/>
      <c r="N312" s="103" t="s">
        <v>946</v>
      </c>
      <c r="O312" s="104">
        <f t="shared" si="40"/>
        <v>0</v>
      </c>
    </row>
    <row r="313" spans="1:15" s="105" customFormat="1" ht="15.75" x14ac:dyDescent="0.25">
      <c r="A313" s="113" t="s">
        <v>917</v>
      </c>
      <c r="B313" s="102"/>
      <c r="C313" s="25" t="s">
        <v>918</v>
      </c>
      <c r="D313" s="38">
        <v>5</v>
      </c>
      <c r="E313" s="13"/>
      <c r="F313" s="50"/>
      <c r="G313" s="103"/>
      <c r="H313" s="103"/>
      <c r="I313" s="104"/>
      <c r="J313" s="103"/>
      <c r="K313" s="103"/>
      <c r="L313" s="103">
        <f t="shared" si="39"/>
        <v>5</v>
      </c>
      <c r="M313" s="103"/>
      <c r="N313" s="103" t="s">
        <v>945</v>
      </c>
      <c r="O313" s="104">
        <f t="shared" si="40"/>
        <v>0</v>
      </c>
    </row>
    <row r="314" spans="1:15" s="105" customFormat="1" ht="15.75" x14ac:dyDescent="0.25">
      <c r="A314" s="113" t="s">
        <v>921</v>
      </c>
      <c r="B314" s="102"/>
      <c r="C314" s="25" t="s">
        <v>919</v>
      </c>
      <c r="D314" s="38">
        <f>12+10+11</f>
        <v>33</v>
      </c>
      <c r="E314" s="13">
        <v>150</v>
      </c>
      <c r="F314" s="50"/>
      <c r="G314" s="103"/>
      <c r="H314" s="103"/>
      <c r="I314" s="104"/>
      <c r="J314" s="103"/>
      <c r="K314" s="103"/>
      <c r="L314" s="103">
        <f t="shared" si="39"/>
        <v>33</v>
      </c>
      <c r="M314" s="103"/>
      <c r="N314" s="103" t="s">
        <v>945</v>
      </c>
      <c r="O314" s="104">
        <f t="shared" si="40"/>
        <v>4950</v>
      </c>
    </row>
    <row r="315" spans="1:15" s="105" customFormat="1" ht="15.75" x14ac:dyDescent="0.25">
      <c r="A315" s="113" t="s">
        <v>922</v>
      </c>
      <c r="B315" s="102"/>
      <c r="C315" s="25" t="s">
        <v>926</v>
      </c>
      <c r="D315" s="38">
        <v>1</v>
      </c>
      <c r="E315" s="13"/>
      <c r="F315" s="50"/>
      <c r="G315" s="103"/>
      <c r="H315" s="103"/>
      <c r="I315" s="104"/>
      <c r="J315" s="103"/>
      <c r="K315" s="103"/>
      <c r="L315" s="103">
        <f t="shared" si="39"/>
        <v>1</v>
      </c>
      <c r="M315" s="103"/>
      <c r="N315" s="103" t="s">
        <v>945</v>
      </c>
      <c r="O315" s="104">
        <f t="shared" si="40"/>
        <v>0</v>
      </c>
    </row>
    <row r="316" spans="1:15" s="105" customFormat="1" ht="15.75" x14ac:dyDescent="0.25">
      <c r="A316" s="113" t="s">
        <v>923</v>
      </c>
      <c r="B316" s="102"/>
      <c r="C316" s="25" t="s">
        <v>930</v>
      </c>
      <c r="D316" s="38"/>
      <c r="E316" s="13"/>
      <c r="F316" s="50"/>
      <c r="G316" s="103"/>
      <c r="H316" s="103"/>
      <c r="I316" s="104"/>
      <c r="J316" s="103"/>
      <c r="K316" s="103">
        <f>2+2+2</f>
        <v>6</v>
      </c>
      <c r="L316" s="103">
        <f t="shared" si="39"/>
        <v>-6</v>
      </c>
      <c r="M316" s="103"/>
      <c r="N316" s="103" t="s">
        <v>945</v>
      </c>
      <c r="O316" s="104">
        <f t="shared" si="40"/>
        <v>0</v>
      </c>
    </row>
    <row r="317" spans="1:15" s="105" customFormat="1" ht="15.75" x14ac:dyDescent="0.25">
      <c r="A317" s="113" t="s">
        <v>932</v>
      </c>
      <c r="B317" s="102"/>
      <c r="C317" s="25" t="s">
        <v>931</v>
      </c>
      <c r="D317" s="38"/>
      <c r="E317" s="13"/>
      <c r="F317" s="50"/>
      <c r="G317" s="103"/>
      <c r="H317" s="103"/>
      <c r="I317" s="104"/>
      <c r="J317" s="103"/>
      <c r="K317" s="103">
        <f>1+1</f>
        <v>2</v>
      </c>
      <c r="L317" s="103">
        <f t="shared" si="39"/>
        <v>-2</v>
      </c>
      <c r="M317" s="103"/>
      <c r="N317" s="103" t="s">
        <v>947</v>
      </c>
      <c r="O317" s="104">
        <f t="shared" si="40"/>
        <v>0</v>
      </c>
    </row>
    <row r="318" spans="1:15" s="105" customFormat="1" ht="15.75" x14ac:dyDescent="0.25">
      <c r="A318" s="113" t="s">
        <v>933</v>
      </c>
      <c r="B318" s="102"/>
      <c r="C318" s="68" t="s">
        <v>934</v>
      </c>
      <c r="D318" s="38"/>
      <c r="E318" s="13"/>
      <c r="F318" s="50"/>
      <c r="G318" s="103"/>
      <c r="H318" s="103"/>
      <c r="I318" s="104"/>
      <c r="J318" s="103"/>
      <c r="K318" s="103">
        <f>1+1+15+1</f>
        <v>18</v>
      </c>
      <c r="L318" s="103">
        <f t="shared" si="39"/>
        <v>-18</v>
      </c>
      <c r="M318" s="103"/>
      <c r="N318" s="103" t="s">
        <v>946</v>
      </c>
      <c r="O318" s="104">
        <f t="shared" si="40"/>
        <v>0</v>
      </c>
    </row>
    <row r="319" spans="1:15" s="105" customFormat="1" ht="15.75" x14ac:dyDescent="0.25">
      <c r="A319" s="113" t="s">
        <v>936</v>
      </c>
      <c r="B319" s="102">
        <v>44193</v>
      </c>
      <c r="C319" s="25" t="s">
        <v>613</v>
      </c>
      <c r="D319" s="38">
        <v>25</v>
      </c>
      <c r="E319" s="13">
        <v>5.78</v>
      </c>
      <c r="F319" s="50">
        <f>+D319*E319</f>
        <v>144.5</v>
      </c>
      <c r="G319" s="103"/>
      <c r="H319" s="103"/>
      <c r="I319" s="104"/>
      <c r="J319" s="103"/>
      <c r="K319" s="103">
        <v>1</v>
      </c>
      <c r="L319" s="103">
        <f t="shared" ref="L319:L325" si="41">+D319+H319-K319</f>
        <v>24</v>
      </c>
      <c r="M319" s="103"/>
      <c r="N319" s="103" t="s">
        <v>946</v>
      </c>
      <c r="O319" s="104">
        <f t="shared" si="40"/>
        <v>138.72</v>
      </c>
    </row>
    <row r="320" spans="1:15" s="105" customFormat="1" ht="15.75" x14ac:dyDescent="0.25">
      <c r="A320" s="113" t="s">
        <v>937</v>
      </c>
      <c r="B320" s="102"/>
      <c r="C320" s="25" t="s">
        <v>935</v>
      </c>
      <c r="D320" s="38"/>
      <c r="E320" s="13"/>
      <c r="F320" s="50"/>
      <c r="G320" s="103"/>
      <c r="H320" s="103"/>
      <c r="I320" s="104"/>
      <c r="J320" s="103"/>
      <c r="K320" s="103">
        <v>2</v>
      </c>
      <c r="L320" s="103">
        <f t="shared" si="41"/>
        <v>-2</v>
      </c>
      <c r="M320" s="103"/>
      <c r="N320" s="103" t="s">
        <v>946</v>
      </c>
      <c r="O320" s="104">
        <f t="shared" si="40"/>
        <v>0</v>
      </c>
    </row>
    <row r="321" spans="1:15" s="105" customFormat="1" ht="15.75" x14ac:dyDescent="0.25">
      <c r="A321" s="113" t="s">
        <v>938</v>
      </c>
      <c r="B321" s="102"/>
      <c r="C321" s="25" t="s">
        <v>939</v>
      </c>
      <c r="D321" s="38"/>
      <c r="E321" s="13"/>
      <c r="F321" s="50"/>
      <c r="G321" s="103"/>
      <c r="H321" s="103"/>
      <c r="I321" s="104"/>
      <c r="J321" s="103"/>
      <c r="K321" s="103">
        <v>1</v>
      </c>
      <c r="L321" s="103">
        <f t="shared" si="41"/>
        <v>-1</v>
      </c>
      <c r="M321" s="103"/>
      <c r="N321" s="103" t="s">
        <v>946</v>
      </c>
      <c r="O321" s="104">
        <f t="shared" si="40"/>
        <v>0</v>
      </c>
    </row>
    <row r="322" spans="1:15" s="105" customFormat="1" ht="15.75" x14ac:dyDescent="0.25">
      <c r="A322" s="113" t="s">
        <v>941</v>
      </c>
      <c r="B322" s="102"/>
      <c r="C322" s="25" t="s">
        <v>940</v>
      </c>
      <c r="D322" s="38"/>
      <c r="E322" s="13"/>
      <c r="F322" s="50"/>
      <c r="G322" s="103"/>
      <c r="H322" s="103"/>
      <c r="I322" s="104"/>
      <c r="J322" s="103"/>
      <c r="K322" s="103">
        <v>1</v>
      </c>
      <c r="L322" s="103">
        <f t="shared" si="41"/>
        <v>-1</v>
      </c>
      <c r="M322" s="103"/>
      <c r="N322" s="103" t="s">
        <v>946</v>
      </c>
      <c r="O322" s="104">
        <f t="shared" si="40"/>
        <v>0</v>
      </c>
    </row>
    <row r="323" spans="1:15" s="105" customFormat="1" ht="15.75" x14ac:dyDescent="0.25">
      <c r="A323" s="113" t="s">
        <v>948</v>
      </c>
      <c r="B323" s="102"/>
      <c r="C323" s="25" t="s">
        <v>942</v>
      </c>
      <c r="D323" s="38"/>
      <c r="E323" s="13"/>
      <c r="F323" s="50"/>
      <c r="G323" s="107">
        <v>44778</v>
      </c>
      <c r="H323" s="103">
        <f>120*12</f>
        <v>1440</v>
      </c>
      <c r="I323" s="104">
        <f>111864/H323</f>
        <v>77.683333333333337</v>
      </c>
      <c r="J323" s="104">
        <f>+I323*H323</f>
        <v>111864</v>
      </c>
      <c r="K323" s="103">
        <f>1+4+3+12+12+3+12+4+4+3+12+4+5+4+4+36</f>
        <v>123</v>
      </c>
      <c r="L323" s="103">
        <f t="shared" si="41"/>
        <v>1317</v>
      </c>
      <c r="M323" s="103"/>
      <c r="N323" s="103" t="s">
        <v>946</v>
      </c>
      <c r="O323" s="104">
        <f>+L323*I323</f>
        <v>102308.95000000001</v>
      </c>
    </row>
    <row r="324" spans="1:15" s="105" customFormat="1" ht="15.75" x14ac:dyDescent="0.25">
      <c r="A324" s="113" t="s">
        <v>953</v>
      </c>
      <c r="B324" s="102"/>
      <c r="C324" s="25" t="s">
        <v>949</v>
      </c>
      <c r="D324" s="38"/>
      <c r="E324" s="13"/>
      <c r="F324" s="50"/>
      <c r="G324" s="103"/>
      <c r="H324" s="103"/>
      <c r="I324" s="104"/>
      <c r="J324" s="103"/>
      <c r="K324" s="103">
        <v>1</v>
      </c>
      <c r="L324" s="103">
        <f t="shared" si="41"/>
        <v>-1</v>
      </c>
      <c r="M324" s="103"/>
      <c r="N324" s="103" t="s">
        <v>946</v>
      </c>
      <c r="O324" s="104">
        <f>+L324*I324</f>
        <v>0</v>
      </c>
    </row>
    <row r="325" spans="1:15" s="105" customFormat="1" ht="15.75" x14ac:dyDescent="0.25">
      <c r="A325" s="113" t="s">
        <v>954</v>
      </c>
      <c r="B325" s="102"/>
      <c r="C325" s="25" t="s">
        <v>952</v>
      </c>
      <c r="D325" s="38"/>
      <c r="E325" s="13"/>
      <c r="F325" s="50"/>
      <c r="G325" s="103"/>
      <c r="H325" s="103"/>
      <c r="I325" s="104"/>
      <c r="J325" s="103"/>
      <c r="K325" s="103">
        <f>1+1+2</f>
        <v>4</v>
      </c>
      <c r="L325" s="103">
        <f t="shared" si="41"/>
        <v>-4</v>
      </c>
      <c r="M325" s="103"/>
      <c r="N325" s="103" t="s">
        <v>945</v>
      </c>
      <c r="O325" s="104">
        <f t="shared" ref="O325:O330" si="42">+L325*I325</f>
        <v>0</v>
      </c>
    </row>
    <row r="326" spans="1:15" s="105" customFormat="1" ht="15.75" x14ac:dyDescent="0.25">
      <c r="A326" s="113" t="s">
        <v>957</v>
      </c>
      <c r="B326" s="102"/>
      <c r="C326" s="25" t="s">
        <v>958</v>
      </c>
      <c r="D326" s="38"/>
      <c r="E326" s="13"/>
      <c r="F326" s="50"/>
      <c r="G326" s="103"/>
      <c r="H326" s="103"/>
      <c r="I326" s="104"/>
      <c r="J326" s="103"/>
      <c r="K326" s="103">
        <f>1+1+2+2+1</f>
        <v>7</v>
      </c>
      <c r="L326" s="103">
        <f t="shared" ref="L326:L328" si="43">+D326+H326-K326</f>
        <v>-7</v>
      </c>
      <c r="M326" s="103"/>
      <c r="N326" s="103" t="s">
        <v>945</v>
      </c>
      <c r="O326" s="104">
        <f t="shared" si="42"/>
        <v>0</v>
      </c>
    </row>
    <row r="327" spans="1:15" s="105" customFormat="1" ht="15.75" x14ac:dyDescent="0.25">
      <c r="A327" s="113" t="s">
        <v>972</v>
      </c>
      <c r="B327" s="102"/>
      <c r="C327" s="25" t="s">
        <v>959</v>
      </c>
      <c r="D327" s="38"/>
      <c r="E327" s="13"/>
      <c r="F327" s="50"/>
      <c r="G327" s="107">
        <v>44852</v>
      </c>
      <c r="H327" s="103">
        <v>20</v>
      </c>
      <c r="I327" s="104">
        <v>19.329999999999998</v>
      </c>
      <c r="J327" s="108">
        <f>+H327*I327</f>
        <v>386.59999999999997</v>
      </c>
      <c r="K327" s="103">
        <f>1+1+2+2</f>
        <v>6</v>
      </c>
      <c r="L327" s="103">
        <f t="shared" si="43"/>
        <v>14</v>
      </c>
      <c r="M327" s="103" t="s">
        <v>1037</v>
      </c>
      <c r="N327" s="103" t="s">
        <v>947</v>
      </c>
      <c r="O327" s="104">
        <f t="shared" si="42"/>
        <v>270.62</v>
      </c>
    </row>
    <row r="328" spans="1:15" s="105" customFormat="1" ht="15.75" x14ac:dyDescent="0.25">
      <c r="A328" s="113" t="s">
        <v>973</v>
      </c>
      <c r="B328" s="102"/>
      <c r="C328" s="25" t="s">
        <v>1036</v>
      </c>
      <c r="D328" s="38"/>
      <c r="E328" s="13"/>
      <c r="F328" s="50"/>
      <c r="G328" s="107">
        <v>44852</v>
      </c>
      <c r="H328" s="103">
        <v>10</v>
      </c>
      <c r="I328" s="104">
        <v>145.80000000000001</v>
      </c>
      <c r="J328" s="108">
        <f>+H328*I328</f>
        <v>1458</v>
      </c>
      <c r="K328" s="103">
        <f>1+1+2+1</f>
        <v>5</v>
      </c>
      <c r="L328" s="103">
        <f t="shared" si="43"/>
        <v>5</v>
      </c>
      <c r="M328" s="103" t="s">
        <v>1037</v>
      </c>
      <c r="N328" s="103" t="s">
        <v>947</v>
      </c>
      <c r="O328" s="104">
        <f t="shared" si="42"/>
        <v>729</v>
      </c>
    </row>
    <row r="329" spans="1:15" s="105" customFormat="1" ht="15.75" x14ac:dyDescent="0.25">
      <c r="A329" s="113" t="s">
        <v>974</v>
      </c>
      <c r="B329" s="102"/>
      <c r="C329" s="25" t="s">
        <v>1040</v>
      </c>
      <c r="D329" s="38"/>
      <c r="E329" s="13"/>
      <c r="F329" s="50"/>
      <c r="G329" s="107">
        <v>44852</v>
      </c>
      <c r="H329" s="103">
        <v>30</v>
      </c>
      <c r="I329" s="104">
        <v>97.59</v>
      </c>
      <c r="J329" s="108">
        <f>+H329*I329</f>
        <v>2927.7000000000003</v>
      </c>
      <c r="K329" s="103">
        <f t="shared" ref="K329" si="44">1+1+2</f>
        <v>4</v>
      </c>
      <c r="L329" s="103">
        <f t="shared" ref="L329:L382" si="45">+D329+H329-K329</f>
        <v>26</v>
      </c>
      <c r="M329" s="103" t="s">
        <v>1037</v>
      </c>
      <c r="N329" s="103" t="s">
        <v>947</v>
      </c>
      <c r="O329" s="104">
        <f t="shared" si="42"/>
        <v>2537.34</v>
      </c>
    </row>
    <row r="330" spans="1:15" s="105" customFormat="1" ht="15.75" x14ac:dyDescent="0.25">
      <c r="A330" s="113" t="s">
        <v>975</v>
      </c>
      <c r="B330" s="102"/>
      <c r="C330" s="25" t="s">
        <v>960</v>
      </c>
      <c r="D330" s="38"/>
      <c r="E330" s="13"/>
      <c r="F330" s="50"/>
      <c r="G330" s="103"/>
      <c r="H330" s="103"/>
      <c r="I330" s="104"/>
      <c r="J330" s="103"/>
      <c r="K330" s="103">
        <v>2</v>
      </c>
      <c r="L330" s="103">
        <f t="shared" si="45"/>
        <v>-2</v>
      </c>
      <c r="M330" s="103"/>
      <c r="N330" s="103" t="s">
        <v>946</v>
      </c>
      <c r="O330" s="104">
        <f t="shared" si="42"/>
        <v>0</v>
      </c>
    </row>
    <row r="331" spans="1:15" s="105" customFormat="1" ht="31.5" x14ac:dyDescent="0.25">
      <c r="A331" s="113" t="s">
        <v>976</v>
      </c>
      <c r="B331" s="102"/>
      <c r="C331" s="25" t="s">
        <v>961</v>
      </c>
      <c r="D331" s="38"/>
      <c r="E331" s="13"/>
      <c r="F331" s="50"/>
      <c r="G331" s="107">
        <v>44851</v>
      </c>
      <c r="H331" s="103">
        <v>25</v>
      </c>
      <c r="I331" s="104">
        <v>672.78</v>
      </c>
      <c r="J331" s="108">
        <f>+H331*I331</f>
        <v>16819.5</v>
      </c>
      <c r="K331" s="103">
        <f>1+1</f>
        <v>2</v>
      </c>
      <c r="L331" s="103">
        <f t="shared" si="45"/>
        <v>23</v>
      </c>
      <c r="M331" s="121" t="s">
        <v>1006</v>
      </c>
      <c r="N331" s="103" t="s">
        <v>946</v>
      </c>
      <c r="O331" s="104">
        <f>+L331*I331</f>
        <v>15473.939999999999</v>
      </c>
    </row>
    <row r="332" spans="1:15" s="105" customFormat="1" ht="15.75" x14ac:dyDescent="0.25">
      <c r="A332" s="113" t="s">
        <v>977</v>
      </c>
      <c r="B332" s="102"/>
      <c r="C332" s="25" t="s">
        <v>962</v>
      </c>
      <c r="D332" s="38"/>
      <c r="E332" s="13"/>
      <c r="F332" s="50"/>
      <c r="G332" s="107">
        <v>44852</v>
      </c>
      <c r="H332" s="103">
        <v>12</v>
      </c>
      <c r="I332" s="104">
        <f>1452+261.36</f>
        <v>1713.3600000000001</v>
      </c>
      <c r="J332" s="108">
        <f>+H332*I332</f>
        <v>20560.32</v>
      </c>
      <c r="K332" s="103">
        <v>1</v>
      </c>
      <c r="L332" s="103">
        <f t="shared" si="45"/>
        <v>11</v>
      </c>
      <c r="M332" s="103"/>
      <c r="N332" s="103" t="s">
        <v>946</v>
      </c>
      <c r="O332" s="104">
        <f t="shared" ref="O332:O382" si="46">+L332*I332</f>
        <v>18846.960000000003</v>
      </c>
    </row>
    <row r="333" spans="1:15" s="105" customFormat="1" ht="15.75" x14ac:dyDescent="0.25">
      <c r="A333" s="113" t="s">
        <v>978</v>
      </c>
      <c r="B333" s="102"/>
      <c r="C333" s="25" t="s">
        <v>963</v>
      </c>
      <c r="D333" s="38"/>
      <c r="E333" s="13"/>
      <c r="F333" s="50"/>
      <c r="G333" s="107">
        <v>44852</v>
      </c>
      <c r="H333" s="103">
        <v>15</v>
      </c>
      <c r="I333" s="104">
        <f>4210+757.8</f>
        <v>4967.8</v>
      </c>
      <c r="J333" s="108">
        <f>+H333*I333</f>
        <v>74517</v>
      </c>
      <c r="K333" s="103"/>
      <c r="L333" s="103">
        <f t="shared" si="45"/>
        <v>15</v>
      </c>
      <c r="M333" s="103"/>
      <c r="N333" s="103" t="s">
        <v>946</v>
      </c>
      <c r="O333" s="104">
        <f t="shared" si="46"/>
        <v>74517</v>
      </c>
    </row>
    <row r="334" spans="1:15" s="105" customFormat="1" ht="15.75" x14ac:dyDescent="0.25">
      <c r="A334" s="113" t="s">
        <v>979</v>
      </c>
      <c r="B334" s="102"/>
      <c r="C334" s="25" t="s">
        <v>964</v>
      </c>
      <c r="D334" s="38"/>
      <c r="E334" s="13"/>
      <c r="F334" s="50"/>
      <c r="G334" s="107">
        <v>44852</v>
      </c>
      <c r="H334" s="103">
        <v>16</v>
      </c>
      <c r="I334" s="104">
        <f>3200+576</f>
        <v>3776</v>
      </c>
      <c r="J334" s="108">
        <f>+H334*I334</f>
        <v>60416</v>
      </c>
      <c r="K334" s="103"/>
      <c r="L334" s="103">
        <f t="shared" si="45"/>
        <v>16</v>
      </c>
      <c r="M334" s="103"/>
      <c r="N334" s="103" t="s">
        <v>946</v>
      </c>
      <c r="O334" s="104">
        <f t="shared" si="46"/>
        <v>60416</v>
      </c>
    </row>
    <row r="335" spans="1:15" s="105" customFormat="1" ht="15.75" x14ac:dyDescent="0.25">
      <c r="A335" s="113" t="s">
        <v>980</v>
      </c>
      <c r="B335" s="102"/>
      <c r="C335" s="25" t="s">
        <v>965</v>
      </c>
      <c r="D335" s="38"/>
      <c r="E335" s="13"/>
      <c r="F335" s="50"/>
      <c r="G335" s="107">
        <v>44852</v>
      </c>
      <c r="H335" s="103">
        <v>5</v>
      </c>
      <c r="I335" s="104">
        <f>1911+343.98</f>
        <v>2254.98</v>
      </c>
      <c r="J335" s="108">
        <f t="shared" ref="J335:J345" si="47">+H335*I335</f>
        <v>11274.9</v>
      </c>
      <c r="K335" s="103"/>
      <c r="L335" s="103">
        <f t="shared" si="45"/>
        <v>5</v>
      </c>
      <c r="M335" s="103"/>
      <c r="N335" s="103" t="s">
        <v>946</v>
      </c>
      <c r="O335" s="104">
        <f t="shared" si="46"/>
        <v>11274.9</v>
      </c>
    </row>
    <row r="336" spans="1:15" s="105" customFormat="1" ht="15.75" x14ac:dyDescent="0.25">
      <c r="A336" s="113" t="s">
        <v>981</v>
      </c>
      <c r="B336" s="102"/>
      <c r="C336" s="25" t="s">
        <v>966</v>
      </c>
      <c r="D336" s="38"/>
      <c r="E336" s="13"/>
      <c r="F336" s="50"/>
      <c r="G336" s="107">
        <v>44852</v>
      </c>
      <c r="H336" s="103">
        <v>20</v>
      </c>
      <c r="I336" s="104">
        <f>3200+576</f>
        <v>3776</v>
      </c>
      <c r="J336" s="108">
        <f t="shared" si="47"/>
        <v>75520</v>
      </c>
      <c r="K336" s="103"/>
      <c r="L336" s="103">
        <f t="shared" si="45"/>
        <v>20</v>
      </c>
      <c r="M336" s="103"/>
      <c r="N336" s="103" t="s">
        <v>946</v>
      </c>
      <c r="O336" s="104">
        <f t="shared" si="46"/>
        <v>75520</v>
      </c>
    </row>
    <row r="337" spans="1:15" s="105" customFormat="1" ht="15.75" x14ac:dyDescent="0.25">
      <c r="A337" s="113" t="s">
        <v>982</v>
      </c>
      <c r="B337" s="102"/>
      <c r="C337" s="25" t="s">
        <v>967</v>
      </c>
      <c r="D337" s="38"/>
      <c r="E337" s="13"/>
      <c r="F337" s="50"/>
      <c r="G337" s="107">
        <v>44852</v>
      </c>
      <c r="H337" s="103">
        <v>10</v>
      </c>
      <c r="I337" s="104">
        <f>4800+864</f>
        <v>5664</v>
      </c>
      <c r="J337" s="108">
        <f t="shared" si="47"/>
        <v>56640</v>
      </c>
      <c r="K337" s="103"/>
      <c r="L337" s="103">
        <f t="shared" si="45"/>
        <v>10</v>
      </c>
      <c r="M337" s="103"/>
      <c r="N337" s="103" t="s">
        <v>946</v>
      </c>
      <c r="O337" s="104">
        <f t="shared" si="46"/>
        <v>56640</v>
      </c>
    </row>
    <row r="338" spans="1:15" s="105" customFormat="1" ht="15.75" x14ac:dyDescent="0.25">
      <c r="A338" s="113" t="s">
        <v>983</v>
      </c>
      <c r="B338" s="102"/>
      <c r="C338" s="25" t="s">
        <v>968</v>
      </c>
      <c r="D338" s="38"/>
      <c r="E338" s="13"/>
      <c r="F338" s="50"/>
      <c r="G338" s="107">
        <v>44852</v>
      </c>
      <c r="H338" s="103">
        <v>35</v>
      </c>
      <c r="I338" s="104">
        <f>2050+369</f>
        <v>2419</v>
      </c>
      <c r="J338" s="108">
        <f t="shared" si="47"/>
        <v>84665</v>
      </c>
      <c r="K338" s="103"/>
      <c r="L338" s="103">
        <f t="shared" si="45"/>
        <v>35</v>
      </c>
      <c r="M338" s="103"/>
      <c r="N338" s="103" t="s">
        <v>946</v>
      </c>
      <c r="O338" s="104">
        <f t="shared" si="46"/>
        <v>84665</v>
      </c>
    </row>
    <row r="339" spans="1:15" s="105" customFormat="1" ht="15.75" x14ac:dyDescent="0.25">
      <c r="A339" s="113" t="s">
        <v>984</v>
      </c>
      <c r="B339" s="102"/>
      <c r="C339" s="25" t="s">
        <v>969</v>
      </c>
      <c r="D339" s="38"/>
      <c r="E339" s="13"/>
      <c r="F339" s="50"/>
      <c r="G339" s="107">
        <v>44852</v>
      </c>
      <c r="H339" s="103">
        <v>5</v>
      </c>
      <c r="I339" s="104">
        <f>3737+672.66</f>
        <v>4409.66</v>
      </c>
      <c r="J339" s="108">
        <f t="shared" si="47"/>
        <v>22048.3</v>
      </c>
      <c r="K339" s="103"/>
      <c r="L339" s="103">
        <f t="shared" si="45"/>
        <v>5</v>
      </c>
      <c r="M339" s="103"/>
      <c r="N339" s="103" t="s">
        <v>946</v>
      </c>
      <c r="O339" s="104">
        <f t="shared" si="46"/>
        <v>22048.3</v>
      </c>
    </row>
    <row r="340" spans="1:15" s="105" customFormat="1" ht="15.75" x14ac:dyDescent="0.25">
      <c r="A340" s="113" t="s">
        <v>985</v>
      </c>
      <c r="B340" s="102"/>
      <c r="C340" s="25" t="s">
        <v>994</v>
      </c>
      <c r="D340" s="38"/>
      <c r="E340" s="13"/>
      <c r="F340" s="50"/>
      <c r="G340" s="107">
        <v>44862</v>
      </c>
      <c r="H340" s="103">
        <v>40</v>
      </c>
      <c r="I340" s="104">
        <f>8750+1575</f>
        <v>10325</v>
      </c>
      <c r="J340" s="108">
        <f t="shared" si="47"/>
        <v>413000</v>
      </c>
      <c r="K340" s="103"/>
      <c r="L340" s="103">
        <f t="shared" si="45"/>
        <v>40</v>
      </c>
      <c r="M340" s="103"/>
      <c r="N340" s="103" t="s">
        <v>946</v>
      </c>
      <c r="O340" s="104">
        <f t="shared" si="46"/>
        <v>413000</v>
      </c>
    </row>
    <row r="341" spans="1:15" s="105" customFormat="1" ht="15.75" x14ac:dyDescent="0.25">
      <c r="A341" s="113" t="s">
        <v>986</v>
      </c>
      <c r="B341" s="102"/>
      <c r="C341" s="25" t="s">
        <v>995</v>
      </c>
      <c r="D341" s="38"/>
      <c r="E341" s="13"/>
      <c r="F341" s="50"/>
      <c r="G341" s="107">
        <v>44862</v>
      </c>
      <c r="H341" s="103">
        <v>4</v>
      </c>
      <c r="I341" s="104">
        <f>1311+235.98</f>
        <v>1546.98</v>
      </c>
      <c r="J341" s="108">
        <f t="shared" si="47"/>
        <v>6187.92</v>
      </c>
      <c r="K341" s="103"/>
      <c r="L341" s="103">
        <f t="shared" si="45"/>
        <v>4</v>
      </c>
      <c r="M341" s="103"/>
      <c r="N341" s="103" t="s">
        <v>946</v>
      </c>
      <c r="O341" s="104">
        <f t="shared" si="46"/>
        <v>6187.92</v>
      </c>
    </row>
    <row r="342" spans="1:15" s="105" customFormat="1" ht="15.75" x14ac:dyDescent="0.25">
      <c r="A342" s="113" t="s">
        <v>987</v>
      </c>
      <c r="B342" s="102"/>
      <c r="C342" s="25" t="s">
        <v>295</v>
      </c>
      <c r="D342" s="38"/>
      <c r="E342" s="13"/>
      <c r="F342" s="50"/>
      <c r="G342" s="103"/>
      <c r="H342" s="103"/>
      <c r="I342" s="104"/>
      <c r="J342" s="108">
        <f t="shared" si="47"/>
        <v>0</v>
      </c>
      <c r="K342" s="103">
        <v>1</v>
      </c>
      <c r="L342" s="103">
        <f t="shared" si="45"/>
        <v>-1</v>
      </c>
      <c r="M342" s="103"/>
      <c r="N342" s="103" t="s">
        <v>946</v>
      </c>
      <c r="O342" s="104">
        <f t="shared" si="46"/>
        <v>0</v>
      </c>
    </row>
    <row r="343" spans="1:15" s="105" customFormat="1" ht="15.75" x14ac:dyDescent="0.25">
      <c r="A343" s="113" t="s">
        <v>988</v>
      </c>
      <c r="B343" s="102"/>
      <c r="C343" s="25" t="s">
        <v>970</v>
      </c>
      <c r="D343" s="38"/>
      <c r="E343" s="13"/>
      <c r="F343" s="50"/>
      <c r="G343" s="103"/>
      <c r="H343" s="103"/>
      <c r="I343" s="104"/>
      <c r="J343" s="108">
        <f t="shared" si="47"/>
        <v>0</v>
      </c>
      <c r="K343" s="103">
        <f>2+2</f>
        <v>4</v>
      </c>
      <c r="L343" s="103">
        <f t="shared" si="45"/>
        <v>-4</v>
      </c>
      <c r="M343" s="103"/>
      <c r="N343" s="103" t="s">
        <v>946</v>
      </c>
      <c r="O343" s="104">
        <f t="shared" si="46"/>
        <v>0</v>
      </c>
    </row>
    <row r="344" spans="1:15" s="105" customFormat="1" ht="15.75" x14ac:dyDescent="0.25">
      <c r="A344" s="113" t="s">
        <v>989</v>
      </c>
      <c r="B344" s="102"/>
      <c r="C344" s="25" t="s">
        <v>971</v>
      </c>
      <c r="D344" s="38"/>
      <c r="E344" s="13"/>
      <c r="F344" s="50"/>
      <c r="G344" s="103"/>
      <c r="H344" s="103"/>
      <c r="I344" s="104"/>
      <c r="J344" s="108">
        <f t="shared" si="47"/>
        <v>0</v>
      </c>
      <c r="K344" s="103">
        <f>3+3</f>
        <v>6</v>
      </c>
      <c r="L344" s="103">
        <f t="shared" si="45"/>
        <v>-6</v>
      </c>
      <c r="M344" s="103"/>
      <c r="N344" s="103" t="s">
        <v>946</v>
      </c>
      <c r="O344" s="104">
        <f t="shared" si="46"/>
        <v>0</v>
      </c>
    </row>
    <row r="345" spans="1:15" s="105" customFormat="1" ht="31.5" x14ac:dyDescent="0.25">
      <c r="A345" s="113" t="s">
        <v>990</v>
      </c>
      <c r="B345" s="102"/>
      <c r="C345" s="123" t="s">
        <v>996</v>
      </c>
      <c r="D345" s="38"/>
      <c r="E345" s="13"/>
      <c r="F345" s="50"/>
      <c r="G345" s="107">
        <v>44851</v>
      </c>
      <c r="H345" s="103">
        <v>30</v>
      </c>
      <c r="I345" s="104">
        <v>240.72</v>
      </c>
      <c r="J345" s="108">
        <f t="shared" si="47"/>
        <v>7221.6</v>
      </c>
      <c r="K345" s="103"/>
      <c r="L345" s="103">
        <f t="shared" si="45"/>
        <v>30</v>
      </c>
      <c r="M345" s="121" t="s">
        <v>1006</v>
      </c>
      <c r="N345" s="103" t="s">
        <v>946</v>
      </c>
      <c r="O345" s="104">
        <f>+L345*I345</f>
        <v>7221.6</v>
      </c>
    </row>
    <row r="346" spans="1:15" s="105" customFormat="1" ht="31.5" x14ac:dyDescent="0.25">
      <c r="A346" s="113" t="s">
        <v>991</v>
      </c>
      <c r="B346" s="102"/>
      <c r="C346" s="25" t="s">
        <v>997</v>
      </c>
      <c r="D346" s="38"/>
      <c r="E346" s="13"/>
      <c r="F346" s="50"/>
      <c r="G346" s="107">
        <v>44851</v>
      </c>
      <c r="H346" s="103">
        <v>10</v>
      </c>
      <c r="I346" s="104">
        <v>40.119999999999997</v>
      </c>
      <c r="J346" s="108">
        <f>+H346*I346</f>
        <v>401.2</v>
      </c>
      <c r="K346" s="103"/>
      <c r="L346" s="103">
        <f t="shared" si="45"/>
        <v>10</v>
      </c>
      <c r="M346" s="121" t="s">
        <v>1006</v>
      </c>
      <c r="N346" s="103" t="s">
        <v>946</v>
      </c>
      <c r="O346" s="104">
        <f t="shared" si="46"/>
        <v>401.2</v>
      </c>
    </row>
    <row r="347" spans="1:15" s="105" customFormat="1" ht="31.5" x14ac:dyDescent="0.25">
      <c r="A347" s="113" t="s">
        <v>992</v>
      </c>
      <c r="B347" s="102"/>
      <c r="C347" s="25" t="s">
        <v>998</v>
      </c>
      <c r="D347" s="38"/>
      <c r="E347" s="13"/>
      <c r="F347" s="50"/>
      <c r="G347" s="107">
        <v>44851</v>
      </c>
      <c r="H347" s="103">
        <v>25</v>
      </c>
      <c r="I347" s="104">
        <v>141.6</v>
      </c>
      <c r="J347" s="108">
        <f t="shared" ref="J347:J365" si="48">+H347*I347</f>
        <v>3540</v>
      </c>
      <c r="K347" s="103"/>
      <c r="L347" s="103">
        <f t="shared" si="45"/>
        <v>25</v>
      </c>
      <c r="M347" s="121" t="s">
        <v>1006</v>
      </c>
      <c r="N347" s="103" t="s">
        <v>946</v>
      </c>
      <c r="O347" s="104">
        <f t="shared" si="46"/>
        <v>3540</v>
      </c>
    </row>
    <row r="348" spans="1:15" s="105" customFormat="1" ht="31.5" x14ac:dyDescent="0.25">
      <c r="A348" s="113" t="s">
        <v>993</v>
      </c>
      <c r="B348" s="102"/>
      <c r="C348" s="25" t="s">
        <v>999</v>
      </c>
      <c r="D348" s="38"/>
      <c r="E348" s="13"/>
      <c r="F348" s="50"/>
      <c r="G348" s="107">
        <v>44851</v>
      </c>
      <c r="H348" s="103">
        <v>4</v>
      </c>
      <c r="I348" s="104">
        <v>1443.73</v>
      </c>
      <c r="J348" s="104">
        <f t="shared" si="48"/>
        <v>5774.92</v>
      </c>
      <c r="K348" s="103"/>
      <c r="L348" s="103">
        <f t="shared" si="45"/>
        <v>4</v>
      </c>
      <c r="M348" s="121" t="s">
        <v>1006</v>
      </c>
      <c r="N348" s="103" t="s">
        <v>946</v>
      </c>
      <c r="O348" s="104">
        <f t="shared" si="46"/>
        <v>5774.92</v>
      </c>
    </row>
    <row r="349" spans="1:15" s="105" customFormat="1" ht="31.5" x14ac:dyDescent="0.25">
      <c r="A349" s="113" t="s">
        <v>1015</v>
      </c>
      <c r="B349" s="102"/>
      <c r="C349" s="25" t="s">
        <v>1000</v>
      </c>
      <c r="D349" s="38"/>
      <c r="E349" s="13"/>
      <c r="F349" s="50"/>
      <c r="G349" s="107">
        <v>44851</v>
      </c>
      <c r="H349" s="103">
        <v>10</v>
      </c>
      <c r="I349" s="104">
        <v>1177.05</v>
      </c>
      <c r="J349" s="104">
        <f t="shared" si="48"/>
        <v>11770.5</v>
      </c>
      <c r="K349" s="103"/>
      <c r="L349" s="103">
        <f t="shared" si="45"/>
        <v>10</v>
      </c>
      <c r="M349" s="121" t="s">
        <v>1006</v>
      </c>
      <c r="N349" s="103" t="s">
        <v>946</v>
      </c>
      <c r="O349" s="104">
        <f t="shared" si="46"/>
        <v>11770.5</v>
      </c>
    </row>
    <row r="350" spans="1:15" s="105" customFormat="1" ht="31.5" x14ac:dyDescent="0.25">
      <c r="A350" s="113" t="s">
        <v>1016</v>
      </c>
      <c r="B350" s="102"/>
      <c r="C350" s="25" t="s">
        <v>1001</v>
      </c>
      <c r="D350" s="38"/>
      <c r="E350" s="13"/>
      <c r="F350" s="50"/>
      <c r="G350" s="107">
        <v>44851</v>
      </c>
      <c r="H350" s="103">
        <v>4</v>
      </c>
      <c r="I350" s="104">
        <v>1330.45</v>
      </c>
      <c r="J350" s="104">
        <f t="shared" si="48"/>
        <v>5321.8</v>
      </c>
      <c r="K350" s="103"/>
      <c r="L350" s="103">
        <f t="shared" si="45"/>
        <v>4</v>
      </c>
      <c r="M350" s="121" t="s">
        <v>1006</v>
      </c>
      <c r="N350" s="103" t="s">
        <v>946</v>
      </c>
      <c r="O350" s="104">
        <f t="shared" si="46"/>
        <v>5321.8</v>
      </c>
    </row>
    <row r="351" spans="1:15" s="105" customFormat="1" ht="31.5" x14ac:dyDescent="0.25">
      <c r="A351" s="113" t="s">
        <v>1017</v>
      </c>
      <c r="B351" s="102"/>
      <c r="C351" s="25" t="s">
        <v>1002</v>
      </c>
      <c r="D351" s="38"/>
      <c r="E351" s="13"/>
      <c r="F351" s="50"/>
      <c r="G351" s="107">
        <v>44851</v>
      </c>
      <c r="H351" s="103">
        <v>4</v>
      </c>
      <c r="I351" s="104">
        <v>676.14</v>
      </c>
      <c r="J351" s="104">
        <f t="shared" si="48"/>
        <v>2704.56</v>
      </c>
      <c r="K351" s="103"/>
      <c r="L351" s="103">
        <f t="shared" si="45"/>
        <v>4</v>
      </c>
      <c r="M351" s="121" t="s">
        <v>1006</v>
      </c>
      <c r="N351" s="103" t="s">
        <v>946</v>
      </c>
      <c r="O351" s="104">
        <f t="shared" si="46"/>
        <v>2704.56</v>
      </c>
    </row>
    <row r="352" spans="1:15" s="105" customFormat="1" ht="31.5" x14ac:dyDescent="0.25">
      <c r="A352" s="113" t="s">
        <v>1018</v>
      </c>
      <c r="B352" s="102"/>
      <c r="C352" s="25" t="s">
        <v>1003</v>
      </c>
      <c r="D352" s="38"/>
      <c r="E352" s="13"/>
      <c r="F352" s="50"/>
      <c r="G352" s="107">
        <v>44851</v>
      </c>
      <c r="H352" s="103">
        <v>4</v>
      </c>
      <c r="I352" s="104">
        <v>693.84</v>
      </c>
      <c r="J352" s="104">
        <f t="shared" si="48"/>
        <v>2775.36</v>
      </c>
      <c r="K352" s="103"/>
      <c r="L352" s="103">
        <f t="shared" si="45"/>
        <v>4</v>
      </c>
      <c r="M352" s="121" t="s">
        <v>1006</v>
      </c>
      <c r="N352" s="103" t="s">
        <v>946</v>
      </c>
      <c r="O352" s="104">
        <f t="shared" si="46"/>
        <v>2775.36</v>
      </c>
    </row>
    <row r="353" spans="1:15" s="105" customFormat="1" ht="31.5" x14ac:dyDescent="0.25">
      <c r="A353" s="113" t="s">
        <v>1019</v>
      </c>
      <c r="B353" s="102"/>
      <c r="C353" s="25" t="s">
        <v>1004</v>
      </c>
      <c r="D353" s="38"/>
      <c r="E353" s="13"/>
      <c r="F353" s="50"/>
      <c r="G353" s="107">
        <v>44851</v>
      </c>
      <c r="H353" s="103">
        <v>4</v>
      </c>
      <c r="I353" s="104">
        <v>1632.53</v>
      </c>
      <c r="J353" s="104">
        <f t="shared" si="48"/>
        <v>6530.12</v>
      </c>
      <c r="K353" s="103"/>
      <c r="L353" s="103">
        <f t="shared" si="45"/>
        <v>4</v>
      </c>
      <c r="M353" s="121" t="s">
        <v>1006</v>
      </c>
      <c r="N353" s="103" t="s">
        <v>946</v>
      </c>
      <c r="O353" s="104">
        <f t="shared" si="46"/>
        <v>6530.12</v>
      </c>
    </row>
    <row r="354" spans="1:15" s="105" customFormat="1" ht="31.5" x14ac:dyDescent="0.25">
      <c r="A354" s="113" t="s">
        <v>1020</v>
      </c>
      <c r="B354" s="102"/>
      <c r="C354" s="25" t="s">
        <v>1005</v>
      </c>
      <c r="D354" s="38"/>
      <c r="E354" s="13"/>
      <c r="F354" s="50"/>
      <c r="G354" s="107">
        <v>44851</v>
      </c>
      <c r="H354" s="103">
        <v>1</v>
      </c>
      <c r="I354" s="104">
        <v>3268.6</v>
      </c>
      <c r="J354" s="104">
        <f t="shared" si="48"/>
        <v>3268.6</v>
      </c>
      <c r="K354" s="103"/>
      <c r="L354" s="103">
        <f t="shared" si="45"/>
        <v>1</v>
      </c>
      <c r="M354" s="121" t="s">
        <v>1006</v>
      </c>
      <c r="N354" s="103" t="s">
        <v>946</v>
      </c>
      <c r="O354" s="104">
        <f t="shared" si="46"/>
        <v>3268.6</v>
      </c>
    </row>
    <row r="355" spans="1:15" s="105" customFormat="1" ht="31.5" x14ac:dyDescent="0.25">
      <c r="A355" s="113" t="s">
        <v>1021</v>
      </c>
      <c r="B355" s="102"/>
      <c r="C355" s="25" t="s">
        <v>1007</v>
      </c>
      <c r="D355" s="38"/>
      <c r="E355" s="13"/>
      <c r="F355" s="50"/>
      <c r="G355" s="107">
        <v>44851</v>
      </c>
      <c r="H355" s="103">
        <v>15</v>
      </c>
      <c r="I355" s="104">
        <v>3908.16</v>
      </c>
      <c r="J355" s="104">
        <f t="shared" si="48"/>
        <v>58622.399999999994</v>
      </c>
      <c r="K355" s="103"/>
      <c r="L355" s="103">
        <f t="shared" si="45"/>
        <v>15</v>
      </c>
      <c r="M355" s="121" t="s">
        <v>1006</v>
      </c>
      <c r="N355" s="103" t="s">
        <v>946</v>
      </c>
      <c r="O355" s="104">
        <f t="shared" si="46"/>
        <v>58622.399999999994</v>
      </c>
    </row>
    <row r="356" spans="1:15" s="105" customFormat="1" ht="31.5" x14ac:dyDescent="0.25">
      <c r="A356" s="113" t="s">
        <v>1022</v>
      </c>
      <c r="B356" s="102"/>
      <c r="C356" s="25" t="s">
        <v>1008</v>
      </c>
      <c r="D356" s="38"/>
      <c r="E356" s="13"/>
      <c r="F356" s="50"/>
      <c r="G356" s="107">
        <v>44851</v>
      </c>
      <c r="H356" s="103">
        <v>20</v>
      </c>
      <c r="I356" s="104">
        <v>1711</v>
      </c>
      <c r="J356" s="104">
        <f t="shared" si="48"/>
        <v>34220</v>
      </c>
      <c r="K356" s="103"/>
      <c r="L356" s="103">
        <f t="shared" si="45"/>
        <v>20</v>
      </c>
      <c r="M356" s="121" t="s">
        <v>1006</v>
      </c>
      <c r="N356" s="103" t="s">
        <v>946</v>
      </c>
      <c r="O356" s="104">
        <f t="shared" si="46"/>
        <v>34220</v>
      </c>
    </row>
    <row r="357" spans="1:15" s="105" customFormat="1" ht="31.5" x14ac:dyDescent="0.25">
      <c r="A357" s="113" t="s">
        <v>1023</v>
      </c>
      <c r="B357" s="102"/>
      <c r="C357" s="25" t="s">
        <v>1009</v>
      </c>
      <c r="D357" s="38"/>
      <c r="E357" s="13"/>
      <c r="F357" s="50"/>
      <c r="G357" s="107">
        <v>44851</v>
      </c>
      <c r="H357" s="103">
        <v>5</v>
      </c>
      <c r="I357" s="104">
        <v>1165.8399999999999</v>
      </c>
      <c r="J357" s="104">
        <f t="shared" si="48"/>
        <v>5829.2</v>
      </c>
      <c r="K357" s="103"/>
      <c r="L357" s="103">
        <f t="shared" si="45"/>
        <v>5</v>
      </c>
      <c r="M357" s="121" t="s">
        <v>1006</v>
      </c>
      <c r="N357" s="103" t="s">
        <v>946</v>
      </c>
      <c r="O357" s="104">
        <f t="shared" si="46"/>
        <v>5829.2</v>
      </c>
    </row>
    <row r="358" spans="1:15" s="105" customFormat="1" ht="31.5" x14ac:dyDescent="0.25">
      <c r="A358" s="113" t="s">
        <v>1024</v>
      </c>
      <c r="B358" s="102"/>
      <c r="C358" s="25" t="s">
        <v>1010</v>
      </c>
      <c r="D358" s="38"/>
      <c r="E358" s="13"/>
      <c r="F358" s="50"/>
      <c r="G358" s="107">
        <v>44851</v>
      </c>
      <c r="H358" s="103">
        <v>5</v>
      </c>
      <c r="I358" s="104">
        <v>4399.04</v>
      </c>
      <c r="J358" s="104">
        <f t="shared" si="48"/>
        <v>21995.200000000001</v>
      </c>
      <c r="K358" s="103"/>
      <c r="L358" s="103">
        <f t="shared" si="45"/>
        <v>5</v>
      </c>
      <c r="M358" s="121" t="s">
        <v>1006</v>
      </c>
      <c r="N358" s="103" t="s">
        <v>946</v>
      </c>
      <c r="O358" s="104">
        <f t="shared" si="46"/>
        <v>21995.200000000001</v>
      </c>
    </row>
    <row r="359" spans="1:15" s="105" customFormat="1" ht="31.5" x14ac:dyDescent="0.25">
      <c r="A359" s="113" t="s">
        <v>1025</v>
      </c>
      <c r="B359" s="102"/>
      <c r="C359" s="25" t="s">
        <v>1011</v>
      </c>
      <c r="D359" s="38"/>
      <c r="E359" s="13"/>
      <c r="F359" s="50"/>
      <c r="G359" s="107">
        <v>44851</v>
      </c>
      <c r="H359" s="103">
        <v>5</v>
      </c>
      <c r="I359" s="104">
        <v>4399.04</v>
      </c>
      <c r="J359" s="104">
        <f t="shared" si="48"/>
        <v>21995.200000000001</v>
      </c>
      <c r="K359" s="103"/>
      <c r="L359" s="103">
        <f t="shared" si="45"/>
        <v>5</v>
      </c>
      <c r="M359" s="121" t="s">
        <v>1006</v>
      </c>
      <c r="N359" s="103" t="s">
        <v>946</v>
      </c>
      <c r="O359" s="104">
        <f t="shared" si="46"/>
        <v>21995.200000000001</v>
      </c>
    </row>
    <row r="360" spans="1:15" s="105" customFormat="1" ht="31.5" x14ac:dyDescent="0.25">
      <c r="A360" s="113" t="s">
        <v>1026</v>
      </c>
      <c r="B360" s="102"/>
      <c r="C360" s="25" t="s">
        <v>1012</v>
      </c>
      <c r="D360" s="38"/>
      <c r="E360" s="13"/>
      <c r="F360" s="50"/>
      <c r="G360" s="107">
        <v>44851</v>
      </c>
      <c r="H360" s="103">
        <v>5</v>
      </c>
      <c r="I360" s="104">
        <v>4399.04</v>
      </c>
      <c r="J360" s="104">
        <f t="shared" si="48"/>
        <v>21995.200000000001</v>
      </c>
      <c r="K360" s="103"/>
      <c r="L360" s="103">
        <f t="shared" si="45"/>
        <v>5</v>
      </c>
      <c r="M360" s="121" t="s">
        <v>1006</v>
      </c>
      <c r="N360" s="103" t="s">
        <v>946</v>
      </c>
      <c r="O360" s="104">
        <f t="shared" si="46"/>
        <v>21995.200000000001</v>
      </c>
    </row>
    <row r="361" spans="1:15" s="105" customFormat="1" ht="31.5" x14ac:dyDescent="0.25">
      <c r="A361" s="113" t="s">
        <v>1027</v>
      </c>
      <c r="B361" s="102"/>
      <c r="C361" s="25" t="s">
        <v>1013</v>
      </c>
      <c r="D361" s="38"/>
      <c r="E361" s="13"/>
      <c r="F361" s="50"/>
      <c r="G361" s="107">
        <v>44851</v>
      </c>
      <c r="H361" s="103">
        <v>12</v>
      </c>
      <c r="I361" s="104">
        <v>1869.12</v>
      </c>
      <c r="J361" s="104">
        <f t="shared" si="48"/>
        <v>22429.439999999999</v>
      </c>
      <c r="K361" s="103"/>
      <c r="L361" s="103">
        <f t="shared" si="45"/>
        <v>12</v>
      </c>
      <c r="M361" s="121" t="s">
        <v>1006</v>
      </c>
      <c r="N361" s="103" t="s">
        <v>946</v>
      </c>
      <c r="O361" s="104">
        <f t="shared" si="46"/>
        <v>22429.439999999999</v>
      </c>
    </row>
    <row r="362" spans="1:15" s="105" customFormat="1" ht="31.5" x14ac:dyDescent="0.25">
      <c r="A362" s="113" t="s">
        <v>1028</v>
      </c>
      <c r="B362" s="102"/>
      <c r="C362" s="25" t="s">
        <v>1014</v>
      </c>
      <c r="D362" s="38"/>
      <c r="E362" s="13"/>
      <c r="F362" s="50"/>
      <c r="G362" s="107">
        <v>44851</v>
      </c>
      <c r="H362" s="103">
        <v>30</v>
      </c>
      <c r="I362" s="104">
        <v>41.3</v>
      </c>
      <c r="J362" s="104">
        <f t="shared" si="48"/>
        <v>1239</v>
      </c>
      <c r="K362" s="103"/>
      <c r="L362" s="103">
        <f t="shared" si="45"/>
        <v>30</v>
      </c>
      <c r="M362" s="121" t="s">
        <v>1006</v>
      </c>
      <c r="N362" s="103" t="s">
        <v>946</v>
      </c>
      <c r="O362" s="104">
        <f t="shared" si="46"/>
        <v>1239</v>
      </c>
    </row>
    <row r="363" spans="1:15" s="105" customFormat="1" ht="15.75" x14ac:dyDescent="0.25">
      <c r="A363" s="113" t="s">
        <v>1029</v>
      </c>
      <c r="B363" s="102"/>
      <c r="C363" s="25" t="s">
        <v>1038</v>
      </c>
      <c r="D363" s="38"/>
      <c r="E363" s="13"/>
      <c r="F363" s="50"/>
      <c r="G363" s="107">
        <v>44852</v>
      </c>
      <c r="H363" s="103">
        <v>10</v>
      </c>
      <c r="I363" s="104">
        <v>18.77</v>
      </c>
      <c r="J363" s="104">
        <f t="shared" si="48"/>
        <v>187.7</v>
      </c>
      <c r="K363" s="103"/>
      <c r="L363" s="103">
        <f t="shared" si="45"/>
        <v>10</v>
      </c>
      <c r="M363" s="121" t="s">
        <v>1037</v>
      </c>
      <c r="N363" s="103" t="s">
        <v>947</v>
      </c>
      <c r="O363" s="104">
        <f t="shared" si="46"/>
        <v>187.7</v>
      </c>
    </row>
    <row r="364" spans="1:15" s="105" customFormat="1" ht="15.75" x14ac:dyDescent="0.25">
      <c r="A364" s="113" t="s">
        <v>1030</v>
      </c>
      <c r="B364" s="102"/>
      <c r="C364" s="25" t="s">
        <v>1041</v>
      </c>
      <c r="D364" s="38"/>
      <c r="E364" s="13"/>
      <c r="F364" s="50"/>
      <c r="G364" s="107">
        <v>44852</v>
      </c>
      <c r="H364" s="103">
        <v>40</v>
      </c>
      <c r="I364" s="104">
        <v>44.55</v>
      </c>
      <c r="J364" s="104">
        <f t="shared" si="48"/>
        <v>1782</v>
      </c>
      <c r="K364" s="103"/>
      <c r="L364" s="103">
        <f t="shared" si="45"/>
        <v>40</v>
      </c>
      <c r="M364" s="121" t="s">
        <v>1037</v>
      </c>
      <c r="N364" s="103" t="s">
        <v>947</v>
      </c>
      <c r="O364" s="104">
        <f t="shared" si="46"/>
        <v>1782</v>
      </c>
    </row>
    <row r="365" spans="1:15" s="105" customFormat="1" ht="15.75" x14ac:dyDescent="0.25">
      <c r="A365" s="113" t="s">
        <v>1031</v>
      </c>
      <c r="B365" s="102"/>
      <c r="C365" s="25" t="s">
        <v>1042</v>
      </c>
      <c r="D365" s="38"/>
      <c r="E365" s="13"/>
      <c r="F365" s="50"/>
      <c r="G365" s="107">
        <v>44851</v>
      </c>
      <c r="H365" s="103">
        <v>2</v>
      </c>
      <c r="I365" s="104">
        <v>650</v>
      </c>
      <c r="J365" s="104">
        <f t="shared" si="48"/>
        <v>1300</v>
      </c>
      <c r="K365" s="103"/>
      <c r="L365" s="103">
        <f t="shared" si="45"/>
        <v>2</v>
      </c>
      <c r="M365" s="121" t="s">
        <v>1037</v>
      </c>
      <c r="N365" s="103" t="s">
        <v>947</v>
      </c>
      <c r="O365" s="104">
        <f t="shared" si="46"/>
        <v>1300</v>
      </c>
    </row>
    <row r="366" spans="1:15" s="105" customFormat="1" ht="15.75" x14ac:dyDescent="0.25">
      <c r="A366" s="113" t="s">
        <v>1032</v>
      </c>
      <c r="B366" s="102"/>
      <c r="C366" s="25" t="s">
        <v>1043</v>
      </c>
      <c r="D366" s="38"/>
      <c r="E366" s="13"/>
      <c r="F366" s="50"/>
      <c r="G366" s="107">
        <v>44852</v>
      </c>
      <c r="H366" s="103">
        <f>10*12</f>
        <v>120</v>
      </c>
      <c r="I366" s="104">
        <v>27</v>
      </c>
      <c r="J366" s="104">
        <f>+I366*H366</f>
        <v>3240</v>
      </c>
      <c r="K366" s="103"/>
      <c r="L366" s="103">
        <f t="shared" si="45"/>
        <v>120</v>
      </c>
      <c r="M366" s="121" t="s">
        <v>1037</v>
      </c>
      <c r="N366" s="103" t="s">
        <v>947</v>
      </c>
      <c r="O366" s="104">
        <f t="shared" si="46"/>
        <v>3240</v>
      </c>
    </row>
    <row r="367" spans="1:15" s="105" customFormat="1" ht="15.75" x14ac:dyDescent="0.25">
      <c r="A367" s="113" t="s">
        <v>1033</v>
      </c>
      <c r="B367" s="102"/>
      <c r="C367" s="25" t="s">
        <v>1044</v>
      </c>
      <c r="D367" s="38"/>
      <c r="E367" s="13"/>
      <c r="F367" s="50"/>
      <c r="G367" s="107">
        <v>44852</v>
      </c>
      <c r="H367" s="103">
        <v>120</v>
      </c>
      <c r="I367" s="104">
        <v>45.89</v>
      </c>
      <c r="J367" s="104">
        <f>+I367*H367</f>
        <v>5506.8</v>
      </c>
      <c r="K367" s="103"/>
      <c r="L367" s="103">
        <f t="shared" si="45"/>
        <v>120</v>
      </c>
      <c r="M367" s="121" t="s">
        <v>1037</v>
      </c>
      <c r="N367" s="103" t="s">
        <v>947</v>
      </c>
      <c r="O367" s="104">
        <f t="shared" si="46"/>
        <v>5506.8</v>
      </c>
    </row>
    <row r="368" spans="1:15" s="105" customFormat="1" ht="15.75" x14ac:dyDescent="0.25">
      <c r="A368" s="113" t="s">
        <v>1034</v>
      </c>
      <c r="B368" s="102"/>
      <c r="C368" s="25" t="s">
        <v>1045</v>
      </c>
      <c r="D368" s="38"/>
      <c r="E368" s="13"/>
      <c r="F368" s="50"/>
      <c r="G368" s="107">
        <v>44852</v>
      </c>
      <c r="H368" s="103">
        <v>120</v>
      </c>
      <c r="I368" s="104">
        <v>51.33</v>
      </c>
      <c r="J368" s="104">
        <f t="shared" ref="J368:J375" si="49">+I368*H368</f>
        <v>6159.5999999999995</v>
      </c>
      <c r="K368" s="103"/>
      <c r="L368" s="103">
        <f t="shared" si="45"/>
        <v>120</v>
      </c>
      <c r="M368" s="121" t="s">
        <v>1037</v>
      </c>
      <c r="N368" s="103" t="s">
        <v>947</v>
      </c>
      <c r="O368" s="104">
        <f t="shared" si="46"/>
        <v>6159.5999999999995</v>
      </c>
    </row>
    <row r="369" spans="1:15" s="105" customFormat="1" ht="15.75" x14ac:dyDescent="0.25">
      <c r="A369" s="113" t="s">
        <v>1057</v>
      </c>
      <c r="B369" s="102"/>
      <c r="C369" s="25" t="s">
        <v>1046</v>
      </c>
      <c r="D369" s="38"/>
      <c r="E369" s="13"/>
      <c r="F369" s="50"/>
      <c r="G369" s="107">
        <v>44852</v>
      </c>
      <c r="H369" s="103">
        <v>120</v>
      </c>
      <c r="I369" s="104">
        <v>127.65</v>
      </c>
      <c r="J369" s="104">
        <f t="shared" si="49"/>
        <v>15318</v>
      </c>
      <c r="K369" s="103"/>
      <c r="L369" s="103">
        <f t="shared" si="45"/>
        <v>120</v>
      </c>
      <c r="M369" s="121" t="s">
        <v>1037</v>
      </c>
      <c r="N369" s="103" t="s">
        <v>947</v>
      </c>
      <c r="O369" s="104">
        <f t="shared" si="46"/>
        <v>15318</v>
      </c>
    </row>
    <row r="370" spans="1:15" s="105" customFormat="1" ht="15.75" x14ac:dyDescent="0.25">
      <c r="A370" s="113" t="s">
        <v>1058</v>
      </c>
      <c r="B370" s="102"/>
      <c r="C370" s="25" t="s">
        <v>1047</v>
      </c>
      <c r="D370" s="38"/>
      <c r="E370" s="13"/>
      <c r="F370" s="50"/>
      <c r="G370" s="107">
        <v>44852</v>
      </c>
      <c r="H370" s="103">
        <v>5</v>
      </c>
      <c r="I370" s="104">
        <v>5442.16</v>
      </c>
      <c r="J370" s="104">
        <f t="shared" si="49"/>
        <v>27210.799999999999</v>
      </c>
      <c r="K370" s="103"/>
      <c r="L370" s="103">
        <f t="shared" si="45"/>
        <v>5</v>
      </c>
      <c r="M370" s="121" t="s">
        <v>1037</v>
      </c>
      <c r="N370" s="103" t="s">
        <v>947</v>
      </c>
      <c r="O370" s="104">
        <f t="shared" si="46"/>
        <v>27210.799999999999</v>
      </c>
    </row>
    <row r="371" spans="1:15" s="105" customFormat="1" ht="15.75" x14ac:dyDescent="0.25">
      <c r="A371" s="113" t="s">
        <v>1059</v>
      </c>
      <c r="B371" s="102"/>
      <c r="C371" s="25" t="s">
        <v>1048</v>
      </c>
      <c r="D371" s="38"/>
      <c r="E371" s="13"/>
      <c r="F371" s="50"/>
      <c r="G371" s="107">
        <v>44852</v>
      </c>
      <c r="H371" s="103">
        <v>1</v>
      </c>
      <c r="I371" s="104">
        <v>5330</v>
      </c>
      <c r="J371" s="104">
        <f t="shared" si="49"/>
        <v>5330</v>
      </c>
      <c r="K371" s="103"/>
      <c r="L371" s="103">
        <f t="shared" si="45"/>
        <v>1</v>
      </c>
      <c r="M371" s="121" t="s">
        <v>1037</v>
      </c>
      <c r="N371" s="103" t="s">
        <v>947</v>
      </c>
      <c r="O371" s="104">
        <f t="shared" si="46"/>
        <v>5330</v>
      </c>
    </row>
    <row r="372" spans="1:15" s="105" customFormat="1" ht="15.75" x14ac:dyDescent="0.25">
      <c r="A372" s="113" t="s">
        <v>1060</v>
      </c>
      <c r="B372" s="102"/>
      <c r="C372" s="25" t="s">
        <v>1049</v>
      </c>
      <c r="D372" s="38"/>
      <c r="E372" s="13"/>
      <c r="F372" s="50"/>
      <c r="G372" s="107">
        <v>44852</v>
      </c>
      <c r="H372" s="103">
        <v>5</v>
      </c>
      <c r="I372" s="104">
        <v>678.24</v>
      </c>
      <c r="J372" s="104">
        <f t="shared" si="49"/>
        <v>3391.2</v>
      </c>
      <c r="K372" s="103"/>
      <c r="L372" s="103">
        <f t="shared" si="45"/>
        <v>5</v>
      </c>
      <c r="M372" s="121" t="s">
        <v>1037</v>
      </c>
      <c r="N372" s="103" t="s">
        <v>947</v>
      </c>
      <c r="O372" s="104">
        <f t="shared" si="46"/>
        <v>3391.2</v>
      </c>
    </row>
    <row r="373" spans="1:15" s="105" customFormat="1" ht="15.75" x14ac:dyDescent="0.25">
      <c r="A373" s="113" t="s">
        <v>1061</v>
      </c>
      <c r="B373" s="102"/>
      <c r="C373" s="25" t="s">
        <v>1050</v>
      </c>
      <c r="D373" s="38"/>
      <c r="E373" s="13"/>
      <c r="F373" s="50"/>
      <c r="G373" s="107">
        <v>44852</v>
      </c>
      <c r="H373" s="103">
        <v>5</v>
      </c>
      <c r="I373" s="104">
        <v>678.24</v>
      </c>
      <c r="J373" s="104">
        <f t="shared" si="49"/>
        <v>3391.2</v>
      </c>
      <c r="K373" s="103"/>
      <c r="L373" s="103">
        <f t="shared" si="45"/>
        <v>5</v>
      </c>
      <c r="M373" s="121" t="s">
        <v>1037</v>
      </c>
      <c r="N373" s="103" t="s">
        <v>947</v>
      </c>
      <c r="O373" s="104">
        <f t="shared" si="46"/>
        <v>3391.2</v>
      </c>
    </row>
    <row r="374" spans="1:15" s="105" customFormat="1" ht="15.75" x14ac:dyDescent="0.25">
      <c r="A374" s="113" t="s">
        <v>1062</v>
      </c>
      <c r="B374" s="102"/>
      <c r="C374" s="25" t="s">
        <v>1051</v>
      </c>
      <c r="D374" s="38"/>
      <c r="E374" s="13"/>
      <c r="F374" s="50"/>
      <c r="G374" s="107">
        <v>44852</v>
      </c>
      <c r="H374" s="103">
        <v>3</v>
      </c>
      <c r="I374" s="104">
        <v>511</v>
      </c>
      <c r="J374" s="104">
        <f t="shared" si="49"/>
        <v>1533</v>
      </c>
      <c r="K374" s="103"/>
      <c r="L374" s="103">
        <f t="shared" si="45"/>
        <v>3</v>
      </c>
      <c r="M374" s="121" t="s">
        <v>1037</v>
      </c>
      <c r="N374" s="103" t="s">
        <v>947</v>
      </c>
      <c r="O374" s="104">
        <f t="shared" si="46"/>
        <v>1533</v>
      </c>
    </row>
    <row r="375" spans="1:15" s="105" customFormat="1" ht="15.75" x14ac:dyDescent="0.25">
      <c r="A375" s="113" t="s">
        <v>1063</v>
      </c>
      <c r="B375" s="102"/>
      <c r="C375" s="25" t="s">
        <v>1052</v>
      </c>
      <c r="D375" s="38"/>
      <c r="E375" s="13"/>
      <c r="F375" s="50"/>
      <c r="G375" s="107">
        <v>44852</v>
      </c>
      <c r="H375" s="103">
        <v>3</v>
      </c>
      <c r="I375" s="104">
        <v>511</v>
      </c>
      <c r="J375" s="104">
        <f t="shared" si="49"/>
        <v>1533</v>
      </c>
      <c r="K375" s="103"/>
      <c r="L375" s="103">
        <f t="shared" si="45"/>
        <v>3</v>
      </c>
      <c r="M375" s="121" t="s">
        <v>1037</v>
      </c>
      <c r="N375" s="103" t="s">
        <v>947</v>
      </c>
      <c r="O375" s="104">
        <f t="shared" si="46"/>
        <v>1533</v>
      </c>
    </row>
    <row r="376" spans="1:15" s="105" customFormat="1" ht="15.75" x14ac:dyDescent="0.25">
      <c r="A376" s="113" t="s">
        <v>1064</v>
      </c>
      <c r="B376" s="102"/>
      <c r="C376" s="25" t="s">
        <v>1053</v>
      </c>
      <c r="D376" s="38"/>
      <c r="E376" s="13"/>
      <c r="F376" s="50"/>
      <c r="G376" s="107">
        <v>44852</v>
      </c>
      <c r="H376" s="103">
        <v>3</v>
      </c>
      <c r="I376" s="104">
        <v>511</v>
      </c>
      <c r="J376" s="104">
        <f t="shared" ref="J376" si="50">+I376*H376</f>
        <v>1533</v>
      </c>
      <c r="K376" s="103"/>
      <c r="L376" s="103">
        <f t="shared" si="45"/>
        <v>3</v>
      </c>
      <c r="M376" s="121" t="s">
        <v>1037</v>
      </c>
      <c r="N376" s="103" t="s">
        <v>947</v>
      </c>
      <c r="O376" s="104">
        <f t="shared" si="46"/>
        <v>1533</v>
      </c>
    </row>
    <row r="377" spans="1:15" s="105" customFormat="1" ht="15.75" x14ac:dyDescent="0.25">
      <c r="A377" s="113" t="s">
        <v>1065</v>
      </c>
      <c r="B377" s="102"/>
      <c r="C377" s="25" t="s">
        <v>1054</v>
      </c>
      <c r="D377" s="38"/>
      <c r="E377" s="13"/>
      <c r="F377" s="50"/>
      <c r="G377" s="107">
        <v>44852</v>
      </c>
      <c r="H377" s="103">
        <v>3</v>
      </c>
      <c r="I377" s="104">
        <v>511</v>
      </c>
      <c r="J377" s="104">
        <f t="shared" ref="J377:J382" si="51">+I377*H377</f>
        <v>1533</v>
      </c>
      <c r="K377" s="103"/>
      <c r="L377" s="103">
        <f t="shared" si="45"/>
        <v>3</v>
      </c>
      <c r="M377" s="121" t="s">
        <v>1037</v>
      </c>
      <c r="N377" s="103" t="s">
        <v>947</v>
      </c>
      <c r="O377" s="104">
        <f t="shared" si="46"/>
        <v>1533</v>
      </c>
    </row>
    <row r="378" spans="1:15" s="105" customFormat="1" ht="15.75" x14ac:dyDescent="0.25">
      <c r="A378" s="113" t="s">
        <v>1066</v>
      </c>
      <c r="B378" s="102"/>
      <c r="C378" s="25" t="s">
        <v>1055</v>
      </c>
      <c r="D378" s="38"/>
      <c r="E378" s="13"/>
      <c r="F378" s="50"/>
      <c r="G378" s="107">
        <v>44852</v>
      </c>
      <c r="H378" s="103">
        <v>20</v>
      </c>
      <c r="I378" s="104">
        <v>3.32</v>
      </c>
      <c r="J378" s="104">
        <f t="shared" si="51"/>
        <v>66.399999999999991</v>
      </c>
      <c r="K378" s="103"/>
      <c r="L378" s="103">
        <f t="shared" si="45"/>
        <v>20</v>
      </c>
      <c r="M378" s="121" t="s">
        <v>1037</v>
      </c>
      <c r="N378" s="103" t="s">
        <v>947</v>
      </c>
      <c r="O378" s="104">
        <f t="shared" si="46"/>
        <v>66.399999999999991</v>
      </c>
    </row>
    <row r="379" spans="1:15" s="105" customFormat="1" ht="15.75" x14ac:dyDescent="0.25">
      <c r="A379" s="113" t="s">
        <v>1067</v>
      </c>
      <c r="B379" s="102"/>
      <c r="C379" s="25" t="s">
        <v>1056</v>
      </c>
      <c r="D379" s="38"/>
      <c r="E379" s="13"/>
      <c r="F379" s="50"/>
      <c r="G379" s="107">
        <v>44852</v>
      </c>
      <c r="H379" s="103">
        <v>5</v>
      </c>
      <c r="I379" s="104">
        <v>64.900000000000006</v>
      </c>
      <c r="J379" s="104">
        <f t="shared" si="51"/>
        <v>324.5</v>
      </c>
      <c r="K379" s="103"/>
      <c r="L379" s="103">
        <f t="shared" si="45"/>
        <v>5</v>
      </c>
      <c r="M379" s="121" t="s">
        <v>1037</v>
      </c>
      <c r="N379" s="103" t="s">
        <v>947</v>
      </c>
      <c r="O379" s="104">
        <f t="shared" si="46"/>
        <v>324.5</v>
      </c>
    </row>
    <row r="380" spans="1:15" s="105" customFormat="1" ht="15.75" x14ac:dyDescent="0.25">
      <c r="A380" s="113" t="s">
        <v>1068</v>
      </c>
      <c r="B380" s="114"/>
      <c r="C380" s="115" t="s">
        <v>1077</v>
      </c>
      <c r="D380" s="99"/>
      <c r="E380" s="100"/>
      <c r="F380" s="101"/>
      <c r="G380" s="119">
        <v>44865</v>
      </c>
      <c r="H380" s="117">
        <v>5</v>
      </c>
      <c r="I380" s="118">
        <v>8720.2000000000007</v>
      </c>
      <c r="J380" s="118">
        <f t="shared" si="51"/>
        <v>43601</v>
      </c>
      <c r="K380" s="117"/>
      <c r="L380" s="117">
        <f t="shared" si="45"/>
        <v>5</v>
      </c>
      <c r="M380" s="122" t="s">
        <v>1078</v>
      </c>
      <c r="N380" s="117" t="s">
        <v>947</v>
      </c>
      <c r="O380" s="118">
        <f t="shared" si="46"/>
        <v>43601</v>
      </c>
    </row>
    <row r="381" spans="1:15" s="105" customFormat="1" ht="15.75" x14ac:dyDescent="0.25">
      <c r="A381" s="113" t="s">
        <v>1073</v>
      </c>
      <c r="B381" s="114"/>
      <c r="C381" s="115" t="s">
        <v>1079</v>
      </c>
      <c r="D381" s="99"/>
      <c r="E381" s="100"/>
      <c r="F381" s="101"/>
      <c r="G381" s="119">
        <v>44865</v>
      </c>
      <c r="H381" s="117">
        <v>5</v>
      </c>
      <c r="I381" s="118">
        <v>7729</v>
      </c>
      <c r="J381" s="118">
        <f t="shared" si="51"/>
        <v>38645</v>
      </c>
      <c r="K381" s="117"/>
      <c r="L381" s="117">
        <f t="shared" si="45"/>
        <v>5</v>
      </c>
      <c r="M381" s="122" t="s">
        <v>1078</v>
      </c>
      <c r="N381" s="117" t="s">
        <v>947</v>
      </c>
      <c r="O381" s="118">
        <f t="shared" si="46"/>
        <v>38645</v>
      </c>
    </row>
    <row r="382" spans="1:15" s="105" customFormat="1" ht="15.75" x14ac:dyDescent="0.25">
      <c r="A382" s="113" t="s">
        <v>1074</v>
      </c>
      <c r="B382" s="114"/>
      <c r="C382" s="115" t="s">
        <v>1080</v>
      </c>
      <c r="D382" s="99"/>
      <c r="E382" s="100"/>
      <c r="F382" s="101"/>
      <c r="G382" s="119">
        <v>44865</v>
      </c>
      <c r="H382" s="117">
        <v>10</v>
      </c>
      <c r="I382" s="118">
        <v>4897</v>
      </c>
      <c r="J382" s="118">
        <f t="shared" si="51"/>
        <v>48970</v>
      </c>
      <c r="K382" s="117"/>
      <c r="L382" s="117">
        <f t="shared" si="45"/>
        <v>10</v>
      </c>
      <c r="M382" s="122" t="s">
        <v>1078</v>
      </c>
      <c r="N382" s="117" t="s">
        <v>947</v>
      </c>
      <c r="O382" s="118">
        <f t="shared" si="46"/>
        <v>48970</v>
      </c>
    </row>
    <row r="383" spans="1:15" s="105" customFormat="1" ht="15.75" x14ac:dyDescent="0.25">
      <c r="A383" s="116"/>
      <c r="B383" s="114"/>
      <c r="C383" s="115"/>
      <c r="D383" s="99"/>
      <c r="E383" s="100"/>
      <c r="F383" s="101"/>
      <c r="G383" s="119"/>
      <c r="H383" s="117"/>
      <c r="I383" s="118"/>
      <c r="J383" s="118"/>
      <c r="K383" s="117"/>
      <c r="L383" s="117"/>
      <c r="M383" s="122"/>
      <c r="N383" s="117"/>
      <c r="O383" s="118"/>
    </row>
    <row r="384" spans="1:15" s="105" customFormat="1" ht="15.75" x14ac:dyDescent="0.25">
      <c r="A384" s="116"/>
      <c r="B384" s="114"/>
      <c r="C384" s="115"/>
      <c r="D384" s="99"/>
      <c r="E384" s="100"/>
      <c r="F384" s="101"/>
      <c r="G384" s="119"/>
      <c r="H384" s="117"/>
      <c r="I384" s="118"/>
      <c r="J384" s="118"/>
      <c r="K384" s="117"/>
      <c r="L384" s="117"/>
      <c r="M384" s="122"/>
      <c r="N384" s="117"/>
      <c r="O384" s="118"/>
    </row>
    <row r="385" spans="1:15" s="105" customFormat="1" ht="15.75" x14ac:dyDescent="0.25">
      <c r="A385" s="116"/>
      <c r="B385" s="114"/>
      <c r="C385" s="115"/>
      <c r="D385" s="99"/>
      <c r="E385" s="100"/>
      <c r="F385" s="101"/>
      <c r="G385" s="119"/>
      <c r="H385" s="117"/>
      <c r="I385" s="118"/>
      <c r="J385" s="118"/>
      <c r="K385" s="117"/>
      <c r="L385" s="117"/>
      <c r="M385" s="117"/>
      <c r="N385" s="117"/>
      <c r="O385" s="118"/>
    </row>
    <row r="386" spans="1:15" customFormat="1" ht="15" x14ac:dyDescent="0.25">
      <c r="A386" s="69" t="s">
        <v>98</v>
      </c>
      <c r="B386" s="241"/>
      <c r="C386" s="242"/>
      <c r="D386" s="242"/>
      <c r="E386" s="243"/>
      <c r="F386" s="70">
        <f>SUM(F8:F377)</f>
        <v>1579639.4203600003</v>
      </c>
      <c r="G386" s="70"/>
      <c r="H386" s="70"/>
      <c r="I386" s="70">
        <f>SUM(I8:I382)</f>
        <v>119472.59866666666</v>
      </c>
      <c r="J386" s="70">
        <f>SUM(J8:J382)</f>
        <v>1607688.45</v>
      </c>
      <c r="K386" s="70"/>
      <c r="L386" s="70"/>
      <c r="M386" s="70"/>
      <c r="N386" s="70"/>
      <c r="O386" s="70">
        <f>SUM(O8:O382)</f>
        <v>3446379.3869033335</v>
      </c>
    </row>
    <row r="387" spans="1:15" s="2" customFormat="1" ht="15.75" x14ac:dyDescent="0.25">
      <c r="C387" s="43"/>
      <c r="I387" s="65"/>
      <c r="O387" s="65"/>
    </row>
    <row r="388" spans="1:15" x14ac:dyDescent="0.3">
      <c r="C388" s="96"/>
      <c r="F388" s="63">
        <f>SUBTOTAL(9,F34:F386)</f>
        <v>3101465.6107200012</v>
      </c>
      <c r="O388" s="52">
        <f>SUBTOTAL(9,O35:O387)</f>
        <v>6401685.5438066684</v>
      </c>
    </row>
    <row r="389" spans="1:15" ht="23.25" customHeight="1" x14ac:dyDescent="0.3">
      <c r="A389" s="85" t="s">
        <v>7</v>
      </c>
      <c r="C389" s="96"/>
    </row>
    <row r="390" spans="1:15" x14ac:dyDescent="0.3">
      <c r="C390" s="96"/>
    </row>
    <row r="391" spans="1:15" ht="23.25" customHeight="1" x14ac:dyDescent="0.3">
      <c r="B391" s="85" t="s">
        <v>531</v>
      </c>
      <c r="C391" s="96"/>
    </row>
    <row r="392" spans="1:15" x14ac:dyDescent="0.3">
      <c r="C392" s="96"/>
    </row>
    <row r="393" spans="1:15" x14ac:dyDescent="0.3">
      <c r="A393" s="97" t="s">
        <v>5</v>
      </c>
      <c r="C393" s="96"/>
    </row>
    <row r="394" spans="1:15" x14ac:dyDescent="0.3">
      <c r="C394" s="96"/>
    </row>
    <row r="395" spans="1:15" x14ac:dyDescent="0.3">
      <c r="A395" s="97"/>
      <c r="C395" s="96"/>
    </row>
    <row r="396" spans="1:15" x14ac:dyDescent="0.3">
      <c r="A396" s="98" t="s">
        <v>924</v>
      </c>
      <c r="C396" s="96"/>
    </row>
    <row r="397" spans="1:15" x14ac:dyDescent="0.3">
      <c r="A397" s="85" t="s">
        <v>925</v>
      </c>
      <c r="C397" s="96"/>
    </row>
    <row r="398" spans="1:15" x14ac:dyDescent="0.3">
      <c r="C398" s="96" t="s">
        <v>506</v>
      </c>
    </row>
    <row r="399" spans="1:15" x14ac:dyDescent="0.3">
      <c r="C399" s="96"/>
    </row>
    <row r="400" spans="1:15" x14ac:dyDescent="0.3">
      <c r="C400" s="96"/>
    </row>
    <row r="401" spans="3:3" x14ac:dyDescent="0.3">
      <c r="C401" s="96"/>
    </row>
    <row r="402" spans="3:3" x14ac:dyDescent="0.3">
      <c r="C402" s="96"/>
    </row>
    <row r="403" spans="3:3" x14ac:dyDescent="0.3">
      <c r="C403" s="96"/>
    </row>
    <row r="404" spans="3:3" x14ac:dyDescent="0.3">
      <c r="C404" s="96"/>
    </row>
    <row r="405" spans="3:3" x14ac:dyDescent="0.3">
      <c r="C405" s="96"/>
    </row>
  </sheetData>
  <mergeCells count="4">
    <mergeCell ref="A3:F3"/>
    <mergeCell ref="A4:F4"/>
    <mergeCell ref="A5:F5"/>
    <mergeCell ref="B386:E386"/>
  </mergeCells>
  <phoneticPr fontId="12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12"/>
  <sheetViews>
    <sheetView zoomScaleNormal="100" workbookViewId="0">
      <pane ySplit="7" topLeftCell="A244" activePane="bottomLeft" state="frozen"/>
      <selection activeCell="B1" sqref="B1"/>
      <selection pane="bottomLeft" activeCell="K250" sqref="K250"/>
    </sheetView>
  </sheetViews>
  <sheetFormatPr baseColWidth="10" defaultColWidth="11.42578125" defaultRowHeight="18.75" x14ac:dyDescent="0.3"/>
  <cols>
    <col min="1" max="1" width="16" style="85" customWidth="1"/>
    <col min="2" max="2" width="19.28515625" style="85" customWidth="1"/>
    <col min="3" max="3" width="51.28515625" style="85" customWidth="1"/>
    <col min="4" max="4" width="14.140625" customWidth="1"/>
    <col min="5" max="5" width="17.140625" customWidth="1"/>
    <col min="6" max="6" width="22.42578125" customWidth="1"/>
    <col min="7" max="7" width="18.5703125" customWidth="1"/>
    <col min="8" max="8" width="11.140625" customWidth="1"/>
    <col min="9" max="9" width="16.85546875" style="63" customWidth="1"/>
    <col min="10" max="11" width="13.140625" customWidth="1"/>
    <col min="12" max="12" width="12.7109375" style="85" bestFit="1" customWidth="1"/>
    <col min="13" max="13" width="13.42578125" customWidth="1"/>
    <col min="14" max="14" width="17.7109375" style="85" bestFit="1" customWidth="1"/>
    <col min="15" max="15" width="14.42578125" style="85" bestFit="1" customWidth="1"/>
    <col min="16" max="16384" width="11.42578125" style="85"/>
  </cols>
  <sheetData>
    <row r="3" spans="1:15" ht="26.25" x14ac:dyDescent="0.4">
      <c r="A3" s="244" t="s">
        <v>0</v>
      </c>
      <c r="B3" s="244"/>
      <c r="C3" s="244"/>
      <c r="D3" s="234"/>
      <c r="E3" s="234"/>
      <c r="F3" s="234"/>
    </row>
    <row r="4" spans="1:15" x14ac:dyDescent="0.3">
      <c r="A4" s="245" t="s">
        <v>1</v>
      </c>
      <c r="B4" s="246"/>
      <c r="C4" s="246"/>
      <c r="D4" s="236"/>
      <c r="E4" s="236"/>
      <c r="F4" s="236"/>
    </row>
    <row r="5" spans="1:15" x14ac:dyDescent="0.3">
      <c r="A5" s="237" t="s">
        <v>955</v>
      </c>
      <c r="B5" s="237"/>
      <c r="C5" s="237"/>
      <c r="D5" s="237"/>
      <c r="E5" s="237"/>
      <c r="F5" s="237"/>
    </row>
    <row r="7" spans="1:15" ht="56.25" x14ac:dyDescent="0.3">
      <c r="A7" s="86" t="s">
        <v>118</v>
      </c>
      <c r="B7" s="86" t="s">
        <v>9</v>
      </c>
      <c r="C7" s="87" t="s">
        <v>2</v>
      </c>
      <c r="D7" s="83" t="s">
        <v>3</v>
      </c>
      <c r="E7" s="83" t="s">
        <v>117</v>
      </c>
      <c r="F7" s="83" t="s">
        <v>4</v>
      </c>
      <c r="G7" s="82" t="s">
        <v>9</v>
      </c>
      <c r="H7" s="83" t="s">
        <v>915</v>
      </c>
      <c r="I7" s="84" t="s">
        <v>117</v>
      </c>
      <c r="J7" s="83" t="s">
        <v>4</v>
      </c>
      <c r="K7" s="83" t="s">
        <v>929</v>
      </c>
      <c r="L7" s="87" t="s">
        <v>914</v>
      </c>
      <c r="M7" s="83" t="s">
        <v>927</v>
      </c>
      <c r="N7" s="87" t="s">
        <v>944</v>
      </c>
      <c r="O7" s="83" t="s">
        <v>4</v>
      </c>
    </row>
    <row r="8" spans="1:15" s="92" customFormat="1" x14ac:dyDescent="0.3">
      <c r="A8" s="113" t="s">
        <v>11</v>
      </c>
      <c r="B8" s="102">
        <v>44652</v>
      </c>
      <c r="C8" s="25" t="s">
        <v>857</v>
      </c>
      <c r="D8" s="14">
        <f>18*30</f>
        <v>540</v>
      </c>
      <c r="E8" s="13">
        <v>850</v>
      </c>
      <c r="F8" s="50">
        <f>+E8*18</f>
        <v>15300</v>
      </c>
      <c r="G8" s="103"/>
      <c r="H8" s="103"/>
      <c r="I8" s="104"/>
      <c r="J8" s="103"/>
      <c r="K8" s="103">
        <f>4+2+2+2+5+4+2</f>
        <v>21</v>
      </c>
      <c r="L8" s="103">
        <f>+D8+H8-K8</f>
        <v>519</v>
      </c>
      <c r="M8" s="103"/>
      <c r="N8" s="103" t="s">
        <v>945</v>
      </c>
      <c r="O8" s="104">
        <f>+E8*L8</f>
        <v>441150</v>
      </c>
    </row>
    <row r="9" spans="1:15" s="8" customFormat="1" ht="15.75" x14ac:dyDescent="0.25">
      <c r="A9" s="113" t="s">
        <v>120</v>
      </c>
      <c r="B9" s="102">
        <v>44193</v>
      </c>
      <c r="C9" s="25" t="s">
        <v>533</v>
      </c>
      <c r="D9" s="14">
        <v>43</v>
      </c>
      <c r="E9" s="13">
        <v>215</v>
      </c>
      <c r="F9" s="50">
        <f>D9*E9</f>
        <v>9245</v>
      </c>
      <c r="G9" s="103"/>
      <c r="H9" s="103"/>
      <c r="I9" s="104"/>
      <c r="J9" s="103"/>
      <c r="K9" s="103">
        <f>1+1</f>
        <v>2</v>
      </c>
      <c r="L9" s="103">
        <f t="shared" ref="L9:L72" si="0">+D9+H9-K9</f>
        <v>41</v>
      </c>
      <c r="M9" s="103"/>
      <c r="N9" s="103" t="s">
        <v>946</v>
      </c>
      <c r="O9" s="104">
        <f t="shared" ref="O9:O33" si="1">+E9*L9</f>
        <v>8815</v>
      </c>
    </row>
    <row r="10" spans="1:15" s="8" customFormat="1" ht="14.25" customHeight="1" x14ac:dyDescent="0.25">
      <c r="A10" s="113" t="s">
        <v>12</v>
      </c>
      <c r="B10" s="102">
        <v>44453</v>
      </c>
      <c r="C10" s="25" t="s">
        <v>534</v>
      </c>
      <c r="D10" s="14">
        <f>2+9</f>
        <v>11</v>
      </c>
      <c r="E10" s="13">
        <v>1350</v>
      </c>
      <c r="F10" s="50">
        <f>D10*E10</f>
        <v>14850</v>
      </c>
      <c r="G10" s="103"/>
      <c r="H10" s="103"/>
      <c r="I10" s="104"/>
      <c r="J10" s="103"/>
      <c r="K10" s="103"/>
      <c r="L10" s="103">
        <f t="shared" si="0"/>
        <v>11</v>
      </c>
      <c r="M10" s="103"/>
      <c r="N10" s="103" t="s">
        <v>946</v>
      </c>
      <c r="O10" s="104">
        <f t="shared" si="1"/>
        <v>14850</v>
      </c>
    </row>
    <row r="11" spans="1:15" s="8" customFormat="1" ht="15.75" x14ac:dyDescent="0.25">
      <c r="A11" s="113" t="s">
        <v>121</v>
      </c>
      <c r="B11" s="102">
        <v>44193</v>
      </c>
      <c r="C11" s="25" t="s">
        <v>535</v>
      </c>
      <c r="D11" s="30">
        <v>0</v>
      </c>
      <c r="E11" s="13">
        <v>127.12</v>
      </c>
      <c r="F11" s="50">
        <f t="shared" ref="F11:F23" si="2">D11*E11</f>
        <v>0</v>
      </c>
      <c r="G11" s="103"/>
      <c r="H11" s="103"/>
      <c r="I11" s="104"/>
      <c r="J11" s="103"/>
      <c r="K11" s="103"/>
      <c r="L11" s="103">
        <f t="shared" si="0"/>
        <v>0</v>
      </c>
      <c r="M11" s="103"/>
      <c r="N11" s="103" t="s">
        <v>946</v>
      </c>
      <c r="O11" s="104">
        <f t="shared" si="1"/>
        <v>0</v>
      </c>
    </row>
    <row r="12" spans="1:15" s="8" customFormat="1" ht="15.75" x14ac:dyDescent="0.25">
      <c r="A12" s="113" t="s">
        <v>122</v>
      </c>
      <c r="B12" s="102">
        <v>44193</v>
      </c>
      <c r="C12" s="25" t="s">
        <v>838</v>
      </c>
      <c r="D12" s="38">
        <v>1</v>
      </c>
      <c r="E12" s="13">
        <v>30</v>
      </c>
      <c r="F12" s="50">
        <f t="shared" si="2"/>
        <v>30</v>
      </c>
      <c r="G12" s="103"/>
      <c r="H12" s="103"/>
      <c r="I12" s="104"/>
      <c r="J12" s="103"/>
      <c r="K12" s="103"/>
      <c r="L12" s="103">
        <f t="shared" si="0"/>
        <v>1</v>
      </c>
      <c r="M12" s="103"/>
      <c r="N12" s="103" t="s">
        <v>946</v>
      </c>
      <c r="O12" s="104">
        <f t="shared" si="1"/>
        <v>30</v>
      </c>
    </row>
    <row r="13" spans="1:15" s="8" customFormat="1" ht="15.75" x14ac:dyDescent="0.25">
      <c r="A13" s="113" t="s">
        <v>123</v>
      </c>
      <c r="B13" s="102">
        <v>44193</v>
      </c>
      <c r="C13" s="25" t="s">
        <v>840</v>
      </c>
      <c r="D13" s="14">
        <v>10</v>
      </c>
      <c r="E13" s="13">
        <v>11</v>
      </c>
      <c r="F13" s="50">
        <f t="shared" si="2"/>
        <v>110</v>
      </c>
      <c r="G13" s="103"/>
      <c r="H13" s="103"/>
      <c r="I13" s="104"/>
      <c r="J13" s="103"/>
      <c r="K13" s="103"/>
      <c r="L13" s="103">
        <f t="shared" si="0"/>
        <v>10</v>
      </c>
      <c r="M13" s="103"/>
      <c r="N13" s="103" t="s">
        <v>946</v>
      </c>
      <c r="O13" s="104">
        <f t="shared" si="1"/>
        <v>110</v>
      </c>
    </row>
    <row r="14" spans="1:15" s="8" customFormat="1" ht="15.75" x14ac:dyDescent="0.25">
      <c r="A14" s="113" t="s">
        <v>13</v>
      </c>
      <c r="B14" s="102">
        <v>44193</v>
      </c>
      <c r="C14" s="25" t="s">
        <v>536</v>
      </c>
      <c r="D14" s="14">
        <f>49+60+2</f>
        <v>111</v>
      </c>
      <c r="E14" s="13">
        <v>15.84</v>
      </c>
      <c r="F14" s="50">
        <f t="shared" si="2"/>
        <v>1758.24</v>
      </c>
      <c r="G14" s="103"/>
      <c r="H14" s="103"/>
      <c r="I14" s="104"/>
      <c r="J14" s="103"/>
      <c r="K14" s="103"/>
      <c r="L14" s="103">
        <f t="shared" si="0"/>
        <v>111</v>
      </c>
      <c r="M14" s="103"/>
      <c r="N14" s="103" t="s">
        <v>946</v>
      </c>
      <c r="O14" s="104">
        <f t="shared" si="1"/>
        <v>1758.24</v>
      </c>
    </row>
    <row r="15" spans="1:15" s="8" customFormat="1" ht="15.75" x14ac:dyDescent="0.25">
      <c r="A15" s="113" t="s">
        <v>14</v>
      </c>
      <c r="B15" s="102">
        <v>44193</v>
      </c>
      <c r="C15" s="25" t="s">
        <v>537</v>
      </c>
      <c r="D15" s="14">
        <v>52</v>
      </c>
      <c r="E15" s="13">
        <v>22.41</v>
      </c>
      <c r="F15" s="50">
        <f t="shared" si="2"/>
        <v>1165.32</v>
      </c>
      <c r="G15" s="103"/>
      <c r="H15" s="103"/>
      <c r="I15" s="104"/>
      <c r="J15" s="103"/>
      <c r="K15" s="103"/>
      <c r="L15" s="103">
        <f t="shared" si="0"/>
        <v>52</v>
      </c>
      <c r="M15" s="103"/>
      <c r="N15" s="103" t="s">
        <v>946</v>
      </c>
      <c r="O15" s="104">
        <f t="shared" si="1"/>
        <v>1165.32</v>
      </c>
    </row>
    <row r="16" spans="1:15" s="8" customFormat="1" ht="15.75" x14ac:dyDescent="0.25">
      <c r="A16" s="113" t="s">
        <v>15</v>
      </c>
      <c r="B16" s="102">
        <v>44193</v>
      </c>
      <c r="C16" s="25" t="s">
        <v>538</v>
      </c>
      <c r="D16" s="14">
        <v>42</v>
      </c>
      <c r="E16" s="13">
        <v>5.5</v>
      </c>
      <c r="F16" s="50">
        <f t="shared" si="2"/>
        <v>231</v>
      </c>
      <c r="G16" s="103"/>
      <c r="H16" s="103"/>
      <c r="I16" s="104"/>
      <c r="J16" s="103"/>
      <c r="K16" s="103"/>
      <c r="L16" s="103">
        <f t="shared" si="0"/>
        <v>42</v>
      </c>
      <c r="M16" s="103"/>
      <c r="N16" s="103" t="s">
        <v>946</v>
      </c>
      <c r="O16" s="104">
        <f t="shared" si="1"/>
        <v>231</v>
      </c>
    </row>
    <row r="17" spans="1:15" s="8" customFormat="1" ht="15.75" x14ac:dyDescent="0.25">
      <c r="A17" s="113" t="s">
        <v>124</v>
      </c>
      <c r="B17" s="102">
        <v>44193</v>
      </c>
      <c r="C17" s="25" t="s">
        <v>539</v>
      </c>
      <c r="D17" s="14">
        <v>32</v>
      </c>
      <c r="E17" s="13">
        <v>78.099999999999994</v>
      </c>
      <c r="F17" s="50">
        <f t="shared" si="2"/>
        <v>2499.1999999999998</v>
      </c>
      <c r="G17" s="103"/>
      <c r="H17" s="103"/>
      <c r="I17" s="104"/>
      <c r="J17" s="103"/>
      <c r="K17" s="103"/>
      <c r="L17" s="103">
        <f t="shared" si="0"/>
        <v>32</v>
      </c>
      <c r="M17" s="103"/>
      <c r="N17" s="103" t="s">
        <v>946</v>
      </c>
      <c r="O17" s="104">
        <f t="shared" si="1"/>
        <v>2499.1999999999998</v>
      </c>
    </row>
    <row r="18" spans="1:15" s="8" customFormat="1" ht="15.75" x14ac:dyDescent="0.25">
      <c r="A18" s="113" t="s">
        <v>16</v>
      </c>
      <c r="B18" s="102" t="s">
        <v>107</v>
      </c>
      <c r="C18" s="25" t="s">
        <v>540</v>
      </c>
      <c r="D18" s="14">
        <v>131</v>
      </c>
      <c r="E18" s="13">
        <v>5.17</v>
      </c>
      <c r="F18" s="50">
        <f t="shared" si="2"/>
        <v>677.27</v>
      </c>
      <c r="G18" s="103"/>
      <c r="H18" s="103"/>
      <c r="I18" s="104"/>
      <c r="J18" s="103"/>
      <c r="K18" s="103"/>
      <c r="L18" s="103">
        <f t="shared" si="0"/>
        <v>131</v>
      </c>
      <c r="M18" s="103"/>
      <c r="N18" s="103" t="s">
        <v>946</v>
      </c>
      <c r="O18" s="104">
        <f t="shared" si="1"/>
        <v>677.27</v>
      </c>
    </row>
    <row r="19" spans="1:15" s="8" customFormat="1" ht="15.75" x14ac:dyDescent="0.25">
      <c r="A19" s="113" t="s">
        <v>17</v>
      </c>
      <c r="B19" s="102" t="s">
        <v>107</v>
      </c>
      <c r="C19" s="25" t="s">
        <v>541</v>
      </c>
      <c r="D19" s="14">
        <v>10</v>
      </c>
      <c r="E19" s="51">
        <v>15</v>
      </c>
      <c r="F19" s="50">
        <f t="shared" si="2"/>
        <v>150</v>
      </c>
      <c r="G19" s="103"/>
      <c r="H19" s="103"/>
      <c r="I19" s="104"/>
      <c r="J19" s="103"/>
      <c r="K19" s="103"/>
      <c r="L19" s="103">
        <f t="shared" si="0"/>
        <v>10</v>
      </c>
      <c r="M19" s="103"/>
      <c r="N19" s="103" t="s">
        <v>946</v>
      </c>
      <c r="O19" s="104">
        <f t="shared" si="1"/>
        <v>150</v>
      </c>
    </row>
    <row r="20" spans="1:15" s="8" customFormat="1" ht="15.75" x14ac:dyDescent="0.25">
      <c r="A20" s="113" t="s">
        <v>18</v>
      </c>
      <c r="B20" s="102">
        <v>44193</v>
      </c>
      <c r="C20" s="25" t="s">
        <v>542</v>
      </c>
      <c r="D20" s="30">
        <f>4+7+1</f>
        <v>12</v>
      </c>
      <c r="E20" s="13">
        <v>15</v>
      </c>
      <c r="F20" s="50">
        <f t="shared" si="2"/>
        <v>180</v>
      </c>
      <c r="G20" s="103"/>
      <c r="H20" s="103"/>
      <c r="I20" s="104"/>
      <c r="J20" s="103"/>
      <c r="K20" s="103"/>
      <c r="L20" s="103">
        <f t="shared" si="0"/>
        <v>12</v>
      </c>
      <c r="M20" s="103"/>
      <c r="N20" s="103" t="s">
        <v>946</v>
      </c>
      <c r="O20" s="104">
        <f t="shared" si="1"/>
        <v>180</v>
      </c>
    </row>
    <row r="21" spans="1:15" s="8" customFormat="1" ht="15.75" x14ac:dyDescent="0.25">
      <c r="A21" s="113" t="s">
        <v>19</v>
      </c>
      <c r="B21" s="102">
        <v>44193</v>
      </c>
      <c r="C21" s="25" t="s">
        <v>543</v>
      </c>
      <c r="D21" s="30">
        <v>8</v>
      </c>
      <c r="E21" s="22">
        <v>15</v>
      </c>
      <c r="F21" s="50">
        <f t="shared" si="2"/>
        <v>120</v>
      </c>
      <c r="G21" s="103"/>
      <c r="H21" s="103"/>
      <c r="I21" s="104"/>
      <c r="J21" s="103"/>
      <c r="K21" s="103"/>
      <c r="L21" s="103">
        <f t="shared" si="0"/>
        <v>8</v>
      </c>
      <c r="M21" s="103"/>
      <c r="N21" s="103" t="s">
        <v>946</v>
      </c>
      <c r="O21" s="104">
        <f t="shared" si="1"/>
        <v>120</v>
      </c>
    </row>
    <row r="22" spans="1:15" s="8" customFormat="1" ht="15.75" x14ac:dyDescent="0.25">
      <c r="A22" s="113" t="s">
        <v>20</v>
      </c>
      <c r="B22" s="102">
        <v>44193</v>
      </c>
      <c r="C22" s="25" t="s">
        <v>835</v>
      </c>
      <c r="D22" s="30">
        <v>1</v>
      </c>
      <c r="E22" s="22">
        <v>15</v>
      </c>
      <c r="F22" s="50">
        <f t="shared" si="2"/>
        <v>15</v>
      </c>
      <c r="G22" s="103"/>
      <c r="H22" s="103"/>
      <c r="I22" s="104"/>
      <c r="J22" s="103"/>
      <c r="K22" s="103"/>
      <c r="L22" s="103">
        <f t="shared" si="0"/>
        <v>1</v>
      </c>
      <c r="M22" s="103"/>
      <c r="N22" s="103" t="s">
        <v>946</v>
      </c>
      <c r="O22" s="104">
        <f t="shared" si="1"/>
        <v>15</v>
      </c>
    </row>
    <row r="23" spans="1:15" s="8" customFormat="1" ht="15.75" x14ac:dyDescent="0.25">
      <c r="A23" s="113" t="s">
        <v>21</v>
      </c>
      <c r="B23" s="102" t="s">
        <v>107</v>
      </c>
      <c r="C23" s="25" t="s">
        <v>544</v>
      </c>
      <c r="D23" s="30">
        <v>32</v>
      </c>
      <c r="E23" s="51">
        <v>15</v>
      </c>
      <c r="F23" s="50">
        <f t="shared" si="2"/>
        <v>480</v>
      </c>
      <c r="G23" s="103"/>
      <c r="H23" s="103"/>
      <c r="I23" s="104"/>
      <c r="J23" s="103"/>
      <c r="K23" s="103"/>
      <c r="L23" s="103">
        <f t="shared" si="0"/>
        <v>32</v>
      </c>
      <c r="M23" s="103"/>
      <c r="N23" s="103" t="s">
        <v>946</v>
      </c>
      <c r="O23" s="104">
        <f t="shared" si="1"/>
        <v>480</v>
      </c>
    </row>
    <row r="24" spans="1:15" s="8" customFormat="1" ht="15.75" x14ac:dyDescent="0.25">
      <c r="A24" s="113" t="s">
        <v>23</v>
      </c>
      <c r="B24" s="102">
        <v>44193</v>
      </c>
      <c r="C24" s="25" t="s">
        <v>811</v>
      </c>
      <c r="D24" s="30">
        <v>24</v>
      </c>
      <c r="E24" s="51"/>
      <c r="F24" s="50"/>
      <c r="G24" s="103"/>
      <c r="H24" s="103"/>
      <c r="I24" s="104"/>
      <c r="J24" s="103"/>
      <c r="K24" s="103">
        <f>1+3</f>
        <v>4</v>
      </c>
      <c r="L24" s="103">
        <f t="shared" si="0"/>
        <v>20</v>
      </c>
      <c r="M24" s="103"/>
      <c r="N24" s="103" t="s">
        <v>946</v>
      </c>
      <c r="O24" s="104">
        <f t="shared" si="1"/>
        <v>0</v>
      </c>
    </row>
    <row r="25" spans="1:15" s="8" customFormat="1" ht="15.75" x14ac:dyDescent="0.25">
      <c r="A25" s="113" t="s">
        <v>24</v>
      </c>
      <c r="B25" s="102">
        <v>44193</v>
      </c>
      <c r="C25" s="25" t="s">
        <v>809</v>
      </c>
      <c r="D25" s="30">
        <v>12</v>
      </c>
      <c r="E25" s="51"/>
      <c r="F25" s="50"/>
      <c r="G25" s="103"/>
      <c r="H25" s="103"/>
      <c r="I25" s="104"/>
      <c r="J25" s="103"/>
      <c r="K25" s="103"/>
      <c r="L25" s="103">
        <f t="shared" si="0"/>
        <v>12</v>
      </c>
      <c r="M25" s="103"/>
      <c r="N25" s="103" t="s">
        <v>946</v>
      </c>
      <c r="O25" s="104">
        <f t="shared" si="1"/>
        <v>0</v>
      </c>
    </row>
    <row r="26" spans="1:15" s="92" customFormat="1" x14ac:dyDescent="0.3">
      <c r="A26" s="113" t="s">
        <v>110</v>
      </c>
      <c r="B26" s="102">
        <v>44193</v>
      </c>
      <c r="C26" s="9" t="s">
        <v>545</v>
      </c>
      <c r="D26" s="31">
        <v>10</v>
      </c>
      <c r="E26" s="13">
        <v>225</v>
      </c>
      <c r="F26" s="50">
        <f>D26*E26</f>
        <v>2250</v>
      </c>
      <c r="G26" s="103"/>
      <c r="H26" s="103"/>
      <c r="I26" s="104"/>
      <c r="J26" s="103"/>
      <c r="K26" s="103"/>
      <c r="L26" s="103">
        <f t="shared" si="0"/>
        <v>10</v>
      </c>
      <c r="M26" s="103"/>
      <c r="N26" s="103" t="s">
        <v>945</v>
      </c>
      <c r="O26" s="104">
        <f t="shared" si="1"/>
        <v>2250</v>
      </c>
    </row>
    <row r="27" spans="1:15" s="8" customFormat="1" ht="15.75" x14ac:dyDescent="0.25">
      <c r="A27" s="113" t="s">
        <v>125</v>
      </c>
      <c r="B27" s="102">
        <v>44193</v>
      </c>
      <c r="C27" s="25" t="s">
        <v>546</v>
      </c>
      <c r="D27" s="30">
        <v>0</v>
      </c>
      <c r="E27" s="13">
        <v>68</v>
      </c>
      <c r="F27" s="50">
        <f>D27*E27</f>
        <v>0</v>
      </c>
      <c r="G27" s="103"/>
      <c r="H27" s="103"/>
      <c r="I27" s="104"/>
      <c r="J27" s="103"/>
      <c r="K27" s="103"/>
      <c r="L27" s="103">
        <f t="shared" si="0"/>
        <v>0</v>
      </c>
      <c r="M27" s="103"/>
      <c r="N27" s="103" t="s">
        <v>946</v>
      </c>
      <c r="O27" s="104">
        <f>+E27*L27</f>
        <v>0</v>
      </c>
    </row>
    <row r="28" spans="1:15" s="92" customFormat="1" x14ac:dyDescent="0.3">
      <c r="A28" s="113" t="s">
        <v>25</v>
      </c>
      <c r="B28" s="102">
        <v>44193</v>
      </c>
      <c r="C28" s="25" t="s">
        <v>547</v>
      </c>
      <c r="D28" s="30">
        <v>4</v>
      </c>
      <c r="E28" s="13">
        <v>470</v>
      </c>
      <c r="F28" s="50">
        <f>D28*E28</f>
        <v>1880</v>
      </c>
      <c r="G28" s="103"/>
      <c r="H28" s="103"/>
      <c r="I28" s="104"/>
      <c r="J28" s="103"/>
      <c r="K28" s="103"/>
      <c r="L28" s="103">
        <f t="shared" si="0"/>
        <v>4</v>
      </c>
      <c r="M28" s="103"/>
      <c r="N28" s="103" t="s">
        <v>945</v>
      </c>
      <c r="O28" s="104">
        <f t="shared" si="1"/>
        <v>1880</v>
      </c>
    </row>
    <row r="29" spans="1:15" s="8" customFormat="1" ht="15.75" x14ac:dyDescent="0.25">
      <c r="A29" s="113" t="s">
        <v>126</v>
      </c>
      <c r="B29" s="102" t="s">
        <v>107</v>
      </c>
      <c r="C29" s="26" t="s">
        <v>807</v>
      </c>
      <c r="D29" s="30">
        <v>70</v>
      </c>
      <c r="E29" s="13">
        <v>16.46</v>
      </c>
      <c r="F29" s="50">
        <f>+D29*E29</f>
        <v>1152.2</v>
      </c>
      <c r="G29" s="103"/>
      <c r="H29" s="103"/>
      <c r="I29" s="104"/>
      <c r="J29" s="103"/>
      <c r="K29" s="103"/>
      <c r="L29" s="103">
        <f t="shared" si="0"/>
        <v>70</v>
      </c>
      <c r="M29" s="103"/>
      <c r="N29" s="103" t="s">
        <v>946</v>
      </c>
      <c r="O29" s="104">
        <f t="shared" si="1"/>
        <v>1152.2</v>
      </c>
    </row>
    <row r="30" spans="1:15" s="8" customFormat="1" ht="15.75" x14ac:dyDescent="0.25">
      <c r="A30" s="113" t="s">
        <v>26</v>
      </c>
      <c r="B30" s="102" t="s">
        <v>107</v>
      </c>
      <c r="C30" s="26" t="s">
        <v>549</v>
      </c>
      <c r="D30" s="30">
        <v>0</v>
      </c>
      <c r="E30" s="51">
        <v>6.4</v>
      </c>
      <c r="F30" s="50">
        <f>D30*E30</f>
        <v>0</v>
      </c>
      <c r="G30" s="103"/>
      <c r="H30" s="103"/>
      <c r="I30" s="104"/>
      <c r="J30" s="103"/>
      <c r="K30" s="103"/>
      <c r="L30" s="103">
        <f t="shared" si="0"/>
        <v>0</v>
      </c>
      <c r="M30" s="103"/>
      <c r="N30" s="103" t="s">
        <v>946</v>
      </c>
      <c r="O30" s="104">
        <f t="shared" si="1"/>
        <v>0</v>
      </c>
    </row>
    <row r="31" spans="1:15" s="8" customFormat="1" ht="15.75" x14ac:dyDescent="0.25">
      <c r="A31" s="113" t="s">
        <v>27</v>
      </c>
      <c r="B31" s="102">
        <v>44193</v>
      </c>
      <c r="C31" s="26" t="s">
        <v>550</v>
      </c>
      <c r="D31" s="30">
        <v>0</v>
      </c>
      <c r="E31" s="13">
        <v>105.93</v>
      </c>
      <c r="F31" s="50">
        <f>D31*E31</f>
        <v>0</v>
      </c>
      <c r="G31" s="103"/>
      <c r="H31" s="103"/>
      <c r="I31" s="104"/>
      <c r="J31" s="103"/>
      <c r="K31" s="103"/>
      <c r="L31" s="103">
        <f t="shared" si="0"/>
        <v>0</v>
      </c>
      <c r="M31" s="103"/>
      <c r="N31" s="103" t="s">
        <v>946</v>
      </c>
      <c r="O31" s="104">
        <f t="shared" si="1"/>
        <v>0</v>
      </c>
    </row>
    <row r="32" spans="1:15" s="8" customFormat="1" ht="15.75" x14ac:dyDescent="0.25">
      <c r="A32" s="113" t="s">
        <v>28</v>
      </c>
      <c r="B32" s="102">
        <v>44193</v>
      </c>
      <c r="C32" s="25" t="s">
        <v>806</v>
      </c>
      <c r="D32" s="38">
        <v>2</v>
      </c>
      <c r="E32" s="13">
        <v>160</v>
      </c>
      <c r="F32" s="50">
        <f>D32*E32</f>
        <v>320</v>
      </c>
      <c r="G32" s="103"/>
      <c r="H32" s="103"/>
      <c r="I32" s="104"/>
      <c r="J32" s="103"/>
      <c r="K32" s="103">
        <v>1</v>
      </c>
      <c r="L32" s="103">
        <f t="shared" si="0"/>
        <v>1</v>
      </c>
      <c r="M32" s="103"/>
      <c r="N32" s="103" t="s">
        <v>946</v>
      </c>
      <c r="O32" s="104">
        <f t="shared" si="1"/>
        <v>160</v>
      </c>
    </row>
    <row r="33" spans="1:15" s="92" customFormat="1" x14ac:dyDescent="0.3">
      <c r="A33" s="113" t="s">
        <v>127</v>
      </c>
      <c r="B33" s="102">
        <v>44449</v>
      </c>
      <c r="C33" s="25" t="s">
        <v>551</v>
      </c>
      <c r="D33" s="30">
        <v>9</v>
      </c>
      <c r="E33" s="13">
        <v>600</v>
      </c>
      <c r="F33" s="50">
        <f t="shared" ref="F33:F61" si="3">D33*E33</f>
        <v>5400</v>
      </c>
      <c r="G33" s="103"/>
      <c r="H33" s="103"/>
      <c r="I33" s="104"/>
      <c r="J33" s="103"/>
      <c r="K33" s="103">
        <v>1</v>
      </c>
      <c r="L33" s="103">
        <f t="shared" si="0"/>
        <v>8</v>
      </c>
      <c r="M33" s="103"/>
      <c r="N33" s="103" t="s">
        <v>945</v>
      </c>
      <c r="O33" s="104">
        <f t="shared" si="1"/>
        <v>4800</v>
      </c>
    </row>
    <row r="34" spans="1:15" s="8" customFormat="1" ht="15.75" x14ac:dyDescent="0.25">
      <c r="A34" s="113" t="s">
        <v>29</v>
      </c>
      <c r="B34" s="102">
        <v>44193</v>
      </c>
      <c r="C34" s="9" t="s">
        <v>552</v>
      </c>
      <c r="D34" s="30">
        <f>20+23</f>
        <v>43</v>
      </c>
      <c r="E34" s="13">
        <v>200</v>
      </c>
      <c r="F34" s="50">
        <f t="shared" si="3"/>
        <v>8600</v>
      </c>
      <c r="G34" s="103"/>
      <c r="H34" s="103"/>
      <c r="I34" s="104"/>
      <c r="J34" s="103"/>
      <c r="K34" s="103"/>
      <c r="L34" s="103">
        <f t="shared" si="0"/>
        <v>43</v>
      </c>
      <c r="M34" s="103"/>
      <c r="N34" s="103" t="s">
        <v>947</v>
      </c>
      <c r="O34" s="104">
        <f>+L34*E34</f>
        <v>8600</v>
      </c>
    </row>
    <row r="35" spans="1:15" s="8" customFormat="1" ht="15.75" x14ac:dyDescent="0.25">
      <c r="A35" s="113" t="s">
        <v>30</v>
      </c>
      <c r="B35" s="102">
        <v>44193</v>
      </c>
      <c r="C35" s="9" t="s">
        <v>553</v>
      </c>
      <c r="D35" s="30">
        <v>9</v>
      </c>
      <c r="E35" s="13">
        <v>200</v>
      </c>
      <c r="F35" s="50">
        <f t="shared" si="3"/>
        <v>1800</v>
      </c>
      <c r="G35" s="103"/>
      <c r="H35" s="103"/>
      <c r="I35" s="104"/>
      <c r="J35" s="103"/>
      <c r="K35" s="103"/>
      <c r="L35" s="103">
        <f t="shared" si="0"/>
        <v>9</v>
      </c>
      <c r="M35" s="103"/>
      <c r="N35" s="103" t="s">
        <v>947</v>
      </c>
      <c r="O35" s="104">
        <f>+L35*E35</f>
        <v>1800</v>
      </c>
    </row>
    <row r="36" spans="1:15" s="92" customFormat="1" x14ac:dyDescent="0.3">
      <c r="A36" s="113" t="s">
        <v>99</v>
      </c>
      <c r="B36" s="102">
        <v>44193</v>
      </c>
      <c r="C36" s="25" t="s">
        <v>548</v>
      </c>
      <c r="D36" s="30">
        <v>36</v>
      </c>
      <c r="E36" s="13">
        <v>75</v>
      </c>
      <c r="F36" s="50">
        <f t="shared" si="3"/>
        <v>2700</v>
      </c>
      <c r="G36" s="103"/>
      <c r="H36" s="103"/>
      <c r="I36" s="104"/>
      <c r="J36" s="103"/>
      <c r="K36" s="103"/>
      <c r="L36" s="103">
        <f t="shared" si="0"/>
        <v>36</v>
      </c>
      <c r="M36" s="103"/>
      <c r="N36" s="103" t="s">
        <v>945</v>
      </c>
      <c r="O36" s="104">
        <f t="shared" ref="O36:O40" si="4">+L36*E36</f>
        <v>2700</v>
      </c>
    </row>
    <row r="37" spans="1:15" s="8" customFormat="1" ht="15.75" x14ac:dyDescent="0.25">
      <c r="A37" s="113" t="s">
        <v>31</v>
      </c>
      <c r="B37" s="102">
        <v>44193</v>
      </c>
      <c r="C37" s="25" t="s">
        <v>554</v>
      </c>
      <c r="D37" s="30">
        <v>0</v>
      </c>
      <c r="E37" s="13">
        <v>4.24</v>
      </c>
      <c r="F37" s="50">
        <f t="shared" si="3"/>
        <v>0</v>
      </c>
      <c r="G37" s="103"/>
      <c r="H37" s="103"/>
      <c r="I37" s="104"/>
      <c r="J37" s="103"/>
      <c r="K37" s="103"/>
      <c r="L37" s="103">
        <f t="shared" si="0"/>
        <v>0</v>
      </c>
      <c r="M37" s="103"/>
      <c r="N37" s="103" t="s">
        <v>946</v>
      </c>
      <c r="O37" s="104">
        <f t="shared" si="4"/>
        <v>0</v>
      </c>
    </row>
    <row r="38" spans="1:15" s="8" customFormat="1" ht="15.75" x14ac:dyDescent="0.25">
      <c r="A38" s="113" t="s">
        <v>32</v>
      </c>
      <c r="B38" s="102">
        <v>44193</v>
      </c>
      <c r="C38" s="25" t="s">
        <v>555</v>
      </c>
      <c r="D38" s="30">
        <v>0</v>
      </c>
      <c r="E38" s="13">
        <v>3.39</v>
      </c>
      <c r="F38" s="50">
        <f t="shared" si="3"/>
        <v>0</v>
      </c>
      <c r="G38" s="103"/>
      <c r="H38" s="103"/>
      <c r="I38" s="104"/>
      <c r="J38" s="103"/>
      <c r="K38" s="103"/>
      <c r="L38" s="103">
        <f t="shared" si="0"/>
        <v>0</v>
      </c>
      <c r="M38" s="103"/>
      <c r="N38" s="103" t="s">
        <v>946</v>
      </c>
      <c r="O38" s="104">
        <f t="shared" si="4"/>
        <v>0</v>
      </c>
    </row>
    <row r="39" spans="1:15" s="8" customFormat="1" ht="15.75" x14ac:dyDescent="0.25">
      <c r="A39" s="113" t="s">
        <v>33</v>
      </c>
      <c r="B39" s="102">
        <v>44193</v>
      </c>
      <c r="C39" s="9" t="s">
        <v>556</v>
      </c>
      <c r="D39" s="30">
        <v>23</v>
      </c>
      <c r="E39" s="13">
        <v>1625</v>
      </c>
      <c r="F39" s="50">
        <f t="shared" si="3"/>
        <v>37375</v>
      </c>
      <c r="G39" s="103"/>
      <c r="H39" s="103"/>
      <c r="I39" s="104"/>
      <c r="J39" s="103"/>
      <c r="K39" s="103"/>
      <c r="L39" s="103">
        <f t="shared" si="0"/>
        <v>23</v>
      </c>
      <c r="M39" s="103"/>
      <c r="N39" s="103" t="s">
        <v>946</v>
      </c>
      <c r="O39" s="104">
        <f t="shared" si="4"/>
        <v>37375</v>
      </c>
    </row>
    <row r="40" spans="1:15" s="8" customFormat="1" ht="15.75" x14ac:dyDescent="0.25">
      <c r="A40" s="113" t="s">
        <v>34</v>
      </c>
      <c r="B40" s="102">
        <v>44193</v>
      </c>
      <c r="C40" s="9" t="s">
        <v>557</v>
      </c>
      <c r="D40" s="30">
        <v>0</v>
      </c>
      <c r="E40" s="13">
        <v>1625</v>
      </c>
      <c r="F40" s="50">
        <f t="shared" si="3"/>
        <v>0</v>
      </c>
      <c r="G40" s="103"/>
      <c r="H40" s="103"/>
      <c r="I40" s="104"/>
      <c r="J40" s="103"/>
      <c r="K40" s="103"/>
      <c r="L40" s="103">
        <f t="shared" si="0"/>
        <v>0</v>
      </c>
      <c r="M40" s="103"/>
      <c r="N40" s="103" t="s">
        <v>946</v>
      </c>
      <c r="O40" s="104">
        <f t="shared" si="4"/>
        <v>0</v>
      </c>
    </row>
    <row r="41" spans="1:15" s="105" customFormat="1" ht="15.75" x14ac:dyDescent="0.25">
      <c r="A41" s="113" t="s">
        <v>111</v>
      </c>
      <c r="B41" s="102">
        <v>44193</v>
      </c>
      <c r="C41" s="9" t="s">
        <v>558</v>
      </c>
      <c r="D41" s="30">
        <v>10</v>
      </c>
      <c r="E41" s="13">
        <v>66.3</v>
      </c>
      <c r="F41" s="50">
        <f t="shared" si="3"/>
        <v>663</v>
      </c>
      <c r="G41" s="107">
        <v>44852</v>
      </c>
      <c r="H41" s="103">
        <v>10</v>
      </c>
      <c r="I41" s="104">
        <v>26</v>
      </c>
      <c r="J41" s="108">
        <f>+H41*I41</f>
        <v>260</v>
      </c>
      <c r="K41" s="103">
        <v>1</v>
      </c>
      <c r="L41" s="103">
        <f t="shared" si="0"/>
        <v>19</v>
      </c>
      <c r="M41" s="103"/>
      <c r="N41" s="103" t="s">
        <v>947</v>
      </c>
      <c r="O41" s="104">
        <f>+L41*I41</f>
        <v>494</v>
      </c>
    </row>
    <row r="42" spans="1:15" s="8" customFormat="1" ht="15.75" x14ac:dyDescent="0.25">
      <c r="A42" s="113" t="s">
        <v>128</v>
      </c>
      <c r="B42" s="102">
        <v>44488</v>
      </c>
      <c r="C42" s="26" t="s">
        <v>560</v>
      </c>
      <c r="D42" s="55">
        <v>13</v>
      </c>
      <c r="E42" s="13">
        <v>40</v>
      </c>
      <c r="F42" s="50">
        <f t="shared" si="3"/>
        <v>520</v>
      </c>
      <c r="G42" s="103"/>
      <c r="H42" s="103"/>
      <c r="I42" s="104"/>
      <c r="J42" s="103"/>
      <c r="K42" s="103"/>
      <c r="L42" s="103">
        <f t="shared" si="0"/>
        <v>13</v>
      </c>
      <c r="M42" s="103"/>
      <c r="N42" s="103" t="s">
        <v>946</v>
      </c>
      <c r="O42" s="104">
        <f t="shared" ref="O42:O49" si="5">+L42*E42</f>
        <v>520</v>
      </c>
    </row>
    <row r="43" spans="1:15" s="8" customFormat="1" ht="15.75" x14ac:dyDescent="0.25">
      <c r="A43" s="113" t="s">
        <v>129</v>
      </c>
      <c r="B43" s="102">
        <v>44193</v>
      </c>
      <c r="C43" s="9" t="s">
        <v>772</v>
      </c>
      <c r="D43" s="30">
        <v>23</v>
      </c>
      <c r="E43" s="13">
        <v>2.4</v>
      </c>
      <c r="F43" s="50">
        <f t="shared" si="3"/>
        <v>55.199999999999996</v>
      </c>
      <c r="G43" s="103"/>
      <c r="H43" s="103"/>
      <c r="I43" s="104"/>
      <c r="J43" s="103"/>
      <c r="K43" s="103">
        <f>12+2</f>
        <v>14</v>
      </c>
      <c r="L43" s="103">
        <f t="shared" si="0"/>
        <v>9</v>
      </c>
      <c r="M43" s="103"/>
      <c r="N43" s="103" t="s">
        <v>947</v>
      </c>
      <c r="O43" s="104">
        <f t="shared" si="5"/>
        <v>21.599999999999998</v>
      </c>
    </row>
    <row r="44" spans="1:15" s="8" customFormat="1" ht="15.75" x14ac:dyDescent="0.25">
      <c r="A44" s="113" t="s">
        <v>130</v>
      </c>
      <c r="B44" s="102">
        <v>44193</v>
      </c>
      <c r="C44" s="26" t="s">
        <v>562</v>
      </c>
      <c r="D44" s="32">
        <v>0</v>
      </c>
      <c r="E44" s="13">
        <v>700</v>
      </c>
      <c r="F44" s="50">
        <f t="shared" si="3"/>
        <v>0</v>
      </c>
      <c r="G44" s="103"/>
      <c r="H44" s="103"/>
      <c r="I44" s="104"/>
      <c r="J44" s="103"/>
      <c r="K44" s="103"/>
      <c r="L44" s="103">
        <f t="shared" si="0"/>
        <v>0</v>
      </c>
      <c r="M44" s="103"/>
      <c r="N44" s="103" t="s">
        <v>946</v>
      </c>
      <c r="O44" s="104">
        <f t="shared" si="5"/>
        <v>0</v>
      </c>
    </row>
    <row r="45" spans="1:15" s="8" customFormat="1" ht="15.75" x14ac:dyDescent="0.25">
      <c r="A45" s="113" t="s">
        <v>35</v>
      </c>
      <c r="B45" s="102">
        <v>44193</v>
      </c>
      <c r="C45" s="9" t="s">
        <v>563</v>
      </c>
      <c r="D45" s="30">
        <v>1</v>
      </c>
      <c r="E45" s="13">
        <v>35</v>
      </c>
      <c r="F45" s="50">
        <f t="shared" si="3"/>
        <v>35</v>
      </c>
      <c r="G45" s="103"/>
      <c r="H45" s="103"/>
      <c r="I45" s="104"/>
      <c r="J45" s="103"/>
      <c r="K45" s="103"/>
      <c r="L45" s="103">
        <f t="shared" si="0"/>
        <v>1</v>
      </c>
      <c r="M45" s="103"/>
      <c r="N45" s="103" t="s">
        <v>947</v>
      </c>
      <c r="O45" s="104">
        <f t="shared" si="5"/>
        <v>35</v>
      </c>
    </row>
    <row r="46" spans="1:15" s="92" customFormat="1" x14ac:dyDescent="0.3">
      <c r="A46" s="113" t="s">
        <v>36</v>
      </c>
      <c r="B46" s="102">
        <v>44193</v>
      </c>
      <c r="C46" s="9" t="s">
        <v>564</v>
      </c>
      <c r="D46" s="30">
        <v>0</v>
      </c>
      <c r="E46" s="13">
        <v>2719</v>
      </c>
      <c r="F46" s="50">
        <f t="shared" si="3"/>
        <v>0</v>
      </c>
      <c r="G46" s="103"/>
      <c r="H46" s="103"/>
      <c r="I46" s="104"/>
      <c r="J46" s="103"/>
      <c r="K46" s="103"/>
      <c r="L46" s="103">
        <f t="shared" si="0"/>
        <v>0</v>
      </c>
      <c r="M46" s="103"/>
      <c r="N46" s="103" t="s">
        <v>945</v>
      </c>
      <c r="O46" s="104">
        <f t="shared" si="5"/>
        <v>0</v>
      </c>
    </row>
    <row r="47" spans="1:15" s="8" customFormat="1" ht="15.75" x14ac:dyDescent="0.25">
      <c r="A47" s="113" t="s">
        <v>37</v>
      </c>
      <c r="B47" s="102">
        <v>44193</v>
      </c>
      <c r="C47" s="26" t="s">
        <v>797</v>
      </c>
      <c r="D47" s="30">
        <v>2</v>
      </c>
      <c r="E47" s="13">
        <v>600</v>
      </c>
      <c r="F47" s="50">
        <f t="shared" si="3"/>
        <v>1200</v>
      </c>
      <c r="G47" s="103"/>
      <c r="H47" s="103"/>
      <c r="I47" s="104"/>
      <c r="J47" s="103"/>
      <c r="K47" s="103"/>
      <c r="L47" s="103">
        <f t="shared" si="0"/>
        <v>2</v>
      </c>
      <c r="M47" s="103"/>
      <c r="N47" s="103" t="s">
        <v>946</v>
      </c>
      <c r="O47" s="104">
        <f t="shared" si="5"/>
        <v>1200</v>
      </c>
    </row>
    <row r="48" spans="1:15" s="8" customFormat="1" ht="15.75" x14ac:dyDescent="0.25">
      <c r="A48" s="113" t="s">
        <v>38</v>
      </c>
      <c r="B48" s="102">
        <v>44678</v>
      </c>
      <c r="C48" s="26" t="s">
        <v>565</v>
      </c>
      <c r="D48" s="32">
        <v>5</v>
      </c>
      <c r="E48" s="13">
        <v>1400</v>
      </c>
      <c r="F48" s="50">
        <f t="shared" si="3"/>
        <v>7000</v>
      </c>
      <c r="G48" s="103"/>
      <c r="H48" s="103"/>
      <c r="I48" s="104"/>
      <c r="J48" s="103"/>
      <c r="K48" s="103"/>
      <c r="L48" s="103">
        <f t="shared" si="0"/>
        <v>5</v>
      </c>
      <c r="M48" s="103"/>
      <c r="N48" s="103" t="s">
        <v>946</v>
      </c>
      <c r="O48" s="104">
        <f t="shared" si="5"/>
        <v>7000</v>
      </c>
    </row>
    <row r="49" spans="1:15" s="8" customFormat="1" ht="15.75" x14ac:dyDescent="0.25">
      <c r="A49" s="113" t="s">
        <v>131</v>
      </c>
      <c r="B49" s="102">
        <v>44678</v>
      </c>
      <c r="C49" s="26" t="s">
        <v>567</v>
      </c>
      <c r="D49" s="32">
        <v>10</v>
      </c>
      <c r="E49" s="13">
        <v>500</v>
      </c>
      <c r="F49" s="50">
        <f t="shared" si="3"/>
        <v>5000</v>
      </c>
      <c r="G49" s="103"/>
      <c r="H49" s="103"/>
      <c r="I49" s="104"/>
      <c r="J49" s="103"/>
      <c r="K49" s="103"/>
      <c r="L49" s="103">
        <f t="shared" si="0"/>
        <v>10</v>
      </c>
      <c r="M49" s="103"/>
      <c r="N49" s="103" t="s">
        <v>946</v>
      </c>
      <c r="O49" s="104">
        <f t="shared" si="5"/>
        <v>5000</v>
      </c>
    </row>
    <row r="50" spans="1:15" s="8" customFormat="1" ht="15.75" x14ac:dyDescent="0.25">
      <c r="A50" s="113" t="s">
        <v>39</v>
      </c>
      <c r="B50" s="102">
        <v>44678</v>
      </c>
      <c r="C50" s="26" t="s">
        <v>568</v>
      </c>
      <c r="D50" s="32">
        <v>6</v>
      </c>
      <c r="E50" s="13">
        <v>5000</v>
      </c>
      <c r="F50" s="50">
        <f t="shared" si="3"/>
        <v>30000</v>
      </c>
      <c r="G50" s="103"/>
      <c r="H50" s="103"/>
      <c r="I50" s="104"/>
      <c r="J50" s="103"/>
      <c r="K50" s="103"/>
      <c r="L50" s="103">
        <f t="shared" si="0"/>
        <v>6</v>
      </c>
      <c r="M50" s="103"/>
      <c r="N50" s="103" t="s">
        <v>946</v>
      </c>
      <c r="O50" s="104">
        <f>+L50*E50</f>
        <v>30000</v>
      </c>
    </row>
    <row r="51" spans="1:15" s="8" customFormat="1" ht="15.75" x14ac:dyDescent="0.25">
      <c r="A51" s="113" t="s">
        <v>40</v>
      </c>
      <c r="B51" s="102">
        <v>44193</v>
      </c>
      <c r="C51" s="26" t="s">
        <v>803</v>
      </c>
      <c r="D51" s="32">
        <v>6</v>
      </c>
      <c r="E51" s="13">
        <v>2600</v>
      </c>
      <c r="F51" s="50">
        <f t="shared" si="3"/>
        <v>15600</v>
      </c>
      <c r="G51" s="103"/>
      <c r="H51" s="103"/>
      <c r="I51" s="104"/>
      <c r="J51" s="103"/>
      <c r="K51" s="103"/>
      <c r="L51" s="103">
        <f t="shared" si="0"/>
        <v>6</v>
      </c>
      <c r="M51" s="103"/>
      <c r="N51" s="103" t="s">
        <v>946</v>
      </c>
      <c r="O51" s="104">
        <f t="shared" ref="O51:O54" si="6">+L51*E51</f>
        <v>15600</v>
      </c>
    </row>
    <row r="52" spans="1:15" s="92" customFormat="1" x14ac:dyDescent="0.3">
      <c r="A52" s="113" t="s">
        <v>132</v>
      </c>
      <c r="B52" s="102">
        <v>44193</v>
      </c>
      <c r="C52" s="25" t="s">
        <v>773</v>
      </c>
      <c r="D52" s="14">
        <v>2</v>
      </c>
      <c r="E52" s="13">
        <v>325</v>
      </c>
      <c r="F52" s="50">
        <f t="shared" si="3"/>
        <v>650</v>
      </c>
      <c r="G52" s="103"/>
      <c r="H52" s="103"/>
      <c r="I52" s="104"/>
      <c r="J52" s="103"/>
      <c r="K52" s="103"/>
      <c r="L52" s="103">
        <f t="shared" si="0"/>
        <v>2</v>
      </c>
      <c r="M52" s="103"/>
      <c r="N52" s="103" t="s">
        <v>945</v>
      </c>
      <c r="O52" s="104">
        <f t="shared" si="6"/>
        <v>650</v>
      </c>
    </row>
    <row r="53" spans="1:15" s="92" customFormat="1" x14ac:dyDescent="0.3">
      <c r="A53" s="113" t="s">
        <v>41</v>
      </c>
      <c r="B53" s="102">
        <v>44193</v>
      </c>
      <c r="C53" s="25" t="s">
        <v>570</v>
      </c>
      <c r="D53" s="14">
        <f>(43*3)+1</f>
        <v>130</v>
      </c>
      <c r="E53" s="13">
        <v>25</v>
      </c>
      <c r="F53" s="50">
        <f t="shared" si="3"/>
        <v>3250</v>
      </c>
      <c r="G53" s="103"/>
      <c r="H53" s="103"/>
      <c r="I53" s="104"/>
      <c r="J53" s="103"/>
      <c r="K53" s="103"/>
      <c r="L53" s="103">
        <f t="shared" si="0"/>
        <v>130</v>
      </c>
      <c r="M53" s="103"/>
      <c r="N53" s="103" t="s">
        <v>945</v>
      </c>
      <c r="O53" s="104">
        <f t="shared" si="6"/>
        <v>3250</v>
      </c>
    </row>
    <row r="54" spans="1:15" s="92" customFormat="1" x14ac:dyDescent="0.3">
      <c r="A54" s="113" t="s">
        <v>133</v>
      </c>
      <c r="B54" s="102">
        <v>44677</v>
      </c>
      <c r="C54" s="25" t="s">
        <v>571</v>
      </c>
      <c r="D54" s="14">
        <v>352</v>
      </c>
      <c r="E54" s="13">
        <v>14</v>
      </c>
      <c r="F54" s="50">
        <f t="shared" si="3"/>
        <v>4928</v>
      </c>
      <c r="G54" s="103"/>
      <c r="H54" s="103"/>
      <c r="I54" s="104"/>
      <c r="J54" s="103"/>
      <c r="K54" s="103">
        <f>2+2+1+1+2+2+2+2+10+2+2+6+3+4+1</f>
        <v>42</v>
      </c>
      <c r="L54" s="103">
        <f t="shared" si="0"/>
        <v>310</v>
      </c>
      <c r="M54" s="103"/>
      <c r="N54" s="103" t="s">
        <v>945</v>
      </c>
      <c r="O54" s="104">
        <f t="shared" si="6"/>
        <v>4340</v>
      </c>
    </row>
    <row r="55" spans="1:15" s="8" customFormat="1" ht="15.75" x14ac:dyDescent="0.25">
      <c r="A55" s="113" t="s">
        <v>134</v>
      </c>
      <c r="B55" s="106" t="s">
        <v>106</v>
      </c>
      <c r="C55" s="26" t="s">
        <v>572</v>
      </c>
      <c r="D55" s="32"/>
      <c r="E55" s="51">
        <v>84.75</v>
      </c>
      <c r="F55" s="50">
        <f t="shared" si="3"/>
        <v>0</v>
      </c>
      <c r="G55" s="107">
        <v>44851</v>
      </c>
      <c r="H55" s="103">
        <v>30</v>
      </c>
      <c r="I55" s="104">
        <v>107.97</v>
      </c>
      <c r="J55" s="104">
        <f>+H55*I55</f>
        <v>3239.1</v>
      </c>
      <c r="K55" s="103">
        <f>2+1+1</f>
        <v>4</v>
      </c>
      <c r="L55" s="103">
        <f t="shared" si="0"/>
        <v>26</v>
      </c>
      <c r="M55" s="103"/>
      <c r="N55" s="103" t="s">
        <v>946</v>
      </c>
      <c r="O55" s="104">
        <f>+L55*I55</f>
        <v>2807.22</v>
      </c>
    </row>
    <row r="56" spans="1:15" s="8" customFormat="1" ht="15.75" x14ac:dyDescent="0.25">
      <c r="A56" s="113" t="s">
        <v>42</v>
      </c>
      <c r="B56" s="102">
        <v>44193</v>
      </c>
      <c r="C56" s="26" t="s">
        <v>573</v>
      </c>
      <c r="D56" s="32"/>
      <c r="E56" s="13">
        <v>169.49</v>
      </c>
      <c r="F56" s="50">
        <f t="shared" si="3"/>
        <v>0</v>
      </c>
      <c r="G56" s="103"/>
      <c r="H56" s="103"/>
      <c r="I56" s="104"/>
      <c r="J56" s="103">
        <f t="shared" ref="J56:J65" si="7">+H56*I56</f>
        <v>0</v>
      </c>
      <c r="K56" s="103"/>
      <c r="L56" s="103">
        <f t="shared" si="0"/>
        <v>0</v>
      </c>
      <c r="M56" s="103"/>
      <c r="N56" s="103" t="s">
        <v>946</v>
      </c>
      <c r="O56" s="104">
        <f t="shared" ref="O56:O64" si="8">+L56*I56</f>
        <v>0</v>
      </c>
    </row>
    <row r="57" spans="1:15" s="8" customFormat="1" ht="15.75" x14ac:dyDescent="0.25">
      <c r="A57" s="113" t="s">
        <v>109</v>
      </c>
      <c r="B57" s="102">
        <v>44193</v>
      </c>
      <c r="C57" s="25" t="s">
        <v>574</v>
      </c>
      <c r="D57" s="14"/>
      <c r="E57" s="13">
        <v>76.27</v>
      </c>
      <c r="F57" s="50">
        <f t="shared" si="3"/>
        <v>0</v>
      </c>
      <c r="G57" s="103"/>
      <c r="H57" s="103"/>
      <c r="I57" s="104"/>
      <c r="J57" s="103">
        <f t="shared" si="7"/>
        <v>0</v>
      </c>
      <c r="K57" s="103"/>
      <c r="L57" s="103">
        <f t="shared" si="0"/>
        <v>0</v>
      </c>
      <c r="M57" s="103"/>
      <c r="N57" s="103" t="s">
        <v>946</v>
      </c>
      <c r="O57" s="104">
        <f t="shared" si="8"/>
        <v>0</v>
      </c>
    </row>
    <row r="58" spans="1:15" s="8" customFormat="1" ht="15.75" x14ac:dyDescent="0.25">
      <c r="A58" s="113" t="s">
        <v>135</v>
      </c>
      <c r="B58" s="102">
        <v>44193</v>
      </c>
      <c r="C58" s="25" t="s">
        <v>575</v>
      </c>
      <c r="D58" s="14"/>
      <c r="E58" s="13">
        <v>93.22</v>
      </c>
      <c r="F58" s="50">
        <f t="shared" si="3"/>
        <v>0</v>
      </c>
      <c r="G58" s="103"/>
      <c r="H58" s="103"/>
      <c r="I58" s="104"/>
      <c r="J58" s="103">
        <f t="shared" si="7"/>
        <v>0</v>
      </c>
      <c r="K58" s="103"/>
      <c r="L58" s="103">
        <f t="shared" si="0"/>
        <v>0</v>
      </c>
      <c r="M58" s="103"/>
      <c r="N58" s="103" t="s">
        <v>946</v>
      </c>
      <c r="O58" s="104">
        <f t="shared" si="8"/>
        <v>0</v>
      </c>
    </row>
    <row r="59" spans="1:15" s="8" customFormat="1" ht="15.75" x14ac:dyDescent="0.25">
      <c r="A59" s="113" t="s">
        <v>43</v>
      </c>
      <c r="B59" s="102">
        <v>44193</v>
      </c>
      <c r="C59" s="26" t="s">
        <v>576</v>
      </c>
      <c r="D59" s="32"/>
      <c r="E59" s="13">
        <v>122.8</v>
      </c>
      <c r="F59" s="50">
        <f t="shared" si="3"/>
        <v>0</v>
      </c>
      <c r="G59" s="107">
        <v>44851</v>
      </c>
      <c r="H59" s="103">
        <v>30</v>
      </c>
      <c r="I59" s="104">
        <v>171.69</v>
      </c>
      <c r="J59" s="104">
        <f t="shared" si="7"/>
        <v>5150.7</v>
      </c>
      <c r="K59" s="103"/>
      <c r="L59" s="103">
        <f t="shared" si="0"/>
        <v>30</v>
      </c>
      <c r="M59" s="103"/>
      <c r="N59" s="103" t="s">
        <v>946</v>
      </c>
      <c r="O59" s="104">
        <f t="shared" si="8"/>
        <v>5150.7</v>
      </c>
    </row>
    <row r="60" spans="1:15" s="8" customFormat="1" ht="15.75" x14ac:dyDescent="0.25">
      <c r="A60" s="113" t="s">
        <v>45</v>
      </c>
      <c r="B60" s="102">
        <v>44453</v>
      </c>
      <c r="C60" s="9" t="s">
        <v>577</v>
      </c>
      <c r="D60" s="48">
        <v>0</v>
      </c>
      <c r="E60" s="13">
        <v>3000</v>
      </c>
      <c r="F60" s="50">
        <f t="shared" si="3"/>
        <v>0</v>
      </c>
      <c r="G60" s="103"/>
      <c r="H60" s="103"/>
      <c r="I60" s="104"/>
      <c r="J60" s="103">
        <f t="shared" si="7"/>
        <v>0</v>
      </c>
      <c r="K60" s="103"/>
      <c r="L60" s="103">
        <f t="shared" si="0"/>
        <v>0</v>
      </c>
      <c r="M60" s="103"/>
      <c r="N60" s="103" t="s">
        <v>946</v>
      </c>
      <c r="O60" s="104">
        <f t="shared" si="8"/>
        <v>0</v>
      </c>
    </row>
    <row r="61" spans="1:15" s="8" customFormat="1" ht="15.75" x14ac:dyDescent="0.25">
      <c r="A61" s="113" t="s">
        <v>46</v>
      </c>
      <c r="B61" s="102">
        <v>44193</v>
      </c>
      <c r="C61" s="26" t="s">
        <v>578</v>
      </c>
      <c r="D61" s="32">
        <v>0</v>
      </c>
      <c r="E61" s="13">
        <v>63.56</v>
      </c>
      <c r="F61" s="50">
        <f t="shared" si="3"/>
        <v>0</v>
      </c>
      <c r="G61" s="103"/>
      <c r="H61" s="103"/>
      <c r="I61" s="104"/>
      <c r="J61" s="103">
        <f t="shared" si="7"/>
        <v>0</v>
      </c>
      <c r="K61" s="103"/>
      <c r="L61" s="103">
        <f t="shared" si="0"/>
        <v>0</v>
      </c>
      <c r="M61" s="103"/>
      <c r="N61" s="103" t="s">
        <v>946</v>
      </c>
      <c r="O61" s="104">
        <f t="shared" si="8"/>
        <v>0</v>
      </c>
    </row>
    <row r="62" spans="1:15" s="8" customFormat="1" ht="15.75" x14ac:dyDescent="0.25">
      <c r="A62" s="113" t="s">
        <v>47</v>
      </c>
      <c r="B62" s="102">
        <v>44193</v>
      </c>
      <c r="C62" s="26" t="s">
        <v>819</v>
      </c>
      <c r="D62" s="32">
        <v>2</v>
      </c>
      <c r="E62" s="13"/>
      <c r="F62" s="50"/>
      <c r="G62" s="103"/>
      <c r="H62" s="103"/>
      <c r="I62" s="104"/>
      <c r="J62" s="103">
        <f t="shared" si="7"/>
        <v>0</v>
      </c>
      <c r="K62" s="103"/>
      <c r="L62" s="103">
        <f t="shared" si="0"/>
        <v>2</v>
      </c>
      <c r="M62" s="103"/>
      <c r="N62" s="103" t="s">
        <v>946</v>
      </c>
      <c r="O62" s="104">
        <f>+E62*L62</f>
        <v>0</v>
      </c>
    </row>
    <row r="63" spans="1:15" s="8" customFormat="1" ht="15.75" x14ac:dyDescent="0.25">
      <c r="A63" s="113" t="s">
        <v>48</v>
      </c>
      <c r="B63" s="102">
        <v>44193</v>
      </c>
      <c r="C63" s="26" t="s">
        <v>817</v>
      </c>
      <c r="D63" s="32">
        <v>7</v>
      </c>
      <c r="E63" s="13"/>
      <c r="F63" s="50"/>
      <c r="G63" s="103"/>
      <c r="H63" s="103"/>
      <c r="I63" s="104"/>
      <c r="J63" s="103">
        <f t="shared" si="7"/>
        <v>0</v>
      </c>
      <c r="K63" s="103"/>
      <c r="L63" s="103">
        <f t="shared" si="0"/>
        <v>7</v>
      </c>
      <c r="M63" s="103"/>
      <c r="N63" s="103" t="s">
        <v>946</v>
      </c>
      <c r="O63" s="104">
        <f t="shared" si="8"/>
        <v>0</v>
      </c>
    </row>
    <row r="64" spans="1:15" s="8" customFormat="1" ht="15.75" x14ac:dyDescent="0.25">
      <c r="A64" s="113" t="s">
        <v>49</v>
      </c>
      <c r="B64" s="102">
        <v>44193</v>
      </c>
      <c r="C64" s="26" t="s">
        <v>818</v>
      </c>
      <c r="D64" s="32">
        <v>8</v>
      </c>
      <c r="E64" s="13"/>
      <c r="F64" s="50"/>
      <c r="G64" s="103"/>
      <c r="H64" s="103"/>
      <c r="I64" s="104"/>
      <c r="J64" s="103">
        <f t="shared" si="7"/>
        <v>0</v>
      </c>
      <c r="K64" s="103"/>
      <c r="L64" s="103">
        <f t="shared" si="0"/>
        <v>8</v>
      </c>
      <c r="M64" s="103"/>
      <c r="N64" s="103" t="s">
        <v>946</v>
      </c>
      <c r="O64" s="104">
        <f t="shared" si="8"/>
        <v>0</v>
      </c>
    </row>
    <row r="65" spans="1:15" s="8" customFormat="1" ht="15.75" x14ac:dyDescent="0.25">
      <c r="A65" s="113" t="s">
        <v>50</v>
      </c>
      <c r="B65" s="106" t="s">
        <v>116</v>
      </c>
      <c r="C65" s="25" t="s">
        <v>720</v>
      </c>
      <c r="D65" s="32">
        <v>1</v>
      </c>
      <c r="E65" s="51">
        <v>3000</v>
      </c>
      <c r="F65" s="50">
        <f>D65*E65</f>
        <v>3000</v>
      </c>
      <c r="G65" s="103"/>
      <c r="H65" s="103"/>
      <c r="I65" s="104"/>
      <c r="J65" s="103">
        <f t="shared" si="7"/>
        <v>0</v>
      </c>
      <c r="K65" s="103"/>
      <c r="L65" s="103">
        <f t="shared" si="0"/>
        <v>1</v>
      </c>
      <c r="M65" s="103"/>
      <c r="N65" s="103" t="s">
        <v>947</v>
      </c>
      <c r="O65" s="104">
        <f>+L65*E65</f>
        <v>3000</v>
      </c>
    </row>
    <row r="66" spans="1:15" s="8" customFormat="1" ht="15.75" x14ac:dyDescent="0.25">
      <c r="A66" s="113" t="s">
        <v>51</v>
      </c>
      <c r="B66" s="102">
        <v>44193</v>
      </c>
      <c r="C66" s="26" t="s">
        <v>579</v>
      </c>
      <c r="D66" s="32">
        <v>0</v>
      </c>
      <c r="E66" s="13">
        <v>35</v>
      </c>
      <c r="F66" s="50">
        <f t="shared" ref="F66:F87" si="9">D66*E66</f>
        <v>0</v>
      </c>
      <c r="G66" s="103"/>
      <c r="H66" s="103"/>
      <c r="I66" s="104"/>
      <c r="J66" s="103"/>
      <c r="K66" s="103"/>
      <c r="L66" s="103">
        <f t="shared" si="0"/>
        <v>0</v>
      </c>
      <c r="M66" s="103"/>
      <c r="N66" s="103" t="s">
        <v>946</v>
      </c>
      <c r="O66" s="104">
        <f>+E66*L66</f>
        <v>0</v>
      </c>
    </row>
    <row r="67" spans="1:15" s="8" customFormat="1" ht="15.75" x14ac:dyDescent="0.25">
      <c r="A67" s="113" t="s">
        <v>52</v>
      </c>
      <c r="B67" s="102">
        <v>44193</v>
      </c>
      <c r="C67" s="25" t="s">
        <v>794</v>
      </c>
      <c r="D67" s="38">
        <v>1</v>
      </c>
      <c r="E67" s="13">
        <v>97.96</v>
      </c>
      <c r="F67" s="50">
        <f t="shared" si="9"/>
        <v>97.96</v>
      </c>
      <c r="G67" s="103"/>
      <c r="H67" s="103"/>
      <c r="I67" s="104"/>
      <c r="J67" s="103"/>
      <c r="K67" s="103"/>
      <c r="L67" s="103">
        <f t="shared" si="0"/>
        <v>1</v>
      </c>
      <c r="M67" s="103"/>
      <c r="N67" s="103" t="s">
        <v>946</v>
      </c>
      <c r="O67" s="104">
        <f t="shared" ref="O67:O101" si="10">+E67*L67</f>
        <v>97.96</v>
      </c>
    </row>
    <row r="68" spans="1:15" s="8" customFormat="1" ht="15.75" x14ac:dyDescent="0.25">
      <c r="A68" s="113" t="s">
        <v>53</v>
      </c>
      <c r="B68" s="102">
        <v>44193</v>
      </c>
      <c r="C68" s="9" t="s">
        <v>580</v>
      </c>
      <c r="D68" s="58">
        <v>22</v>
      </c>
      <c r="E68" s="13">
        <v>18</v>
      </c>
      <c r="F68" s="50">
        <f t="shared" si="9"/>
        <v>396</v>
      </c>
      <c r="G68" s="103"/>
      <c r="H68" s="103"/>
      <c r="I68" s="104"/>
      <c r="J68" s="103"/>
      <c r="K68" s="103"/>
      <c r="L68" s="103">
        <f t="shared" si="0"/>
        <v>22</v>
      </c>
      <c r="M68" s="103"/>
      <c r="N68" s="103" t="s">
        <v>947</v>
      </c>
      <c r="O68" s="104">
        <f t="shared" si="10"/>
        <v>396</v>
      </c>
    </row>
    <row r="69" spans="1:15" s="8" customFormat="1" ht="15.75" x14ac:dyDescent="0.25">
      <c r="A69" s="113" t="s">
        <v>44</v>
      </c>
      <c r="B69" s="102">
        <v>44193</v>
      </c>
      <c r="C69" s="9" t="s">
        <v>581</v>
      </c>
      <c r="D69" s="48">
        <v>0</v>
      </c>
      <c r="E69" s="13">
        <v>114</v>
      </c>
      <c r="F69" s="50">
        <f t="shared" si="9"/>
        <v>0</v>
      </c>
      <c r="G69" s="103"/>
      <c r="H69" s="103"/>
      <c r="I69" s="104"/>
      <c r="J69" s="103"/>
      <c r="K69" s="103"/>
      <c r="L69" s="103">
        <f t="shared" si="0"/>
        <v>0</v>
      </c>
      <c r="M69" s="103"/>
      <c r="N69" s="103" t="s">
        <v>947</v>
      </c>
      <c r="O69" s="104">
        <f t="shared" si="10"/>
        <v>0</v>
      </c>
    </row>
    <row r="70" spans="1:15" s="8" customFormat="1" ht="15.75" x14ac:dyDescent="0.25">
      <c r="A70" s="113" t="s">
        <v>113</v>
      </c>
      <c r="B70" s="102">
        <v>44193</v>
      </c>
      <c r="C70" s="9" t="s">
        <v>582</v>
      </c>
      <c r="D70" s="48">
        <v>50</v>
      </c>
      <c r="E70" s="13">
        <v>150</v>
      </c>
      <c r="F70" s="50">
        <f t="shared" si="9"/>
        <v>7500</v>
      </c>
      <c r="G70" s="103"/>
      <c r="H70" s="103"/>
      <c r="I70" s="104"/>
      <c r="J70" s="103"/>
      <c r="K70" s="103"/>
      <c r="L70" s="103">
        <f t="shared" si="0"/>
        <v>50</v>
      </c>
      <c r="M70" s="103"/>
      <c r="N70" s="103" t="s">
        <v>947</v>
      </c>
      <c r="O70" s="104">
        <f t="shared" si="10"/>
        <v>7500</v>
      </c>
    </row>
    <row r="71" spans="1:15" s="8" customFormat="1" ht="15.75" x14ac:dyDescent="0.25">
      <c r="A71" s="113" t="s">
        <v>136</v>
      </c>
      <c r="B71" s="102">
        <v>44193</v>
      </c>
      <c r="C71" s="26" t="s">
        <v>583</v>
      </c>
      <c r="D71" s="14">
        <v>0</v>
      </c>
      <c r="E71" s="13">
        <v>105.93</v>
      </c>
      <c r="F71" s="50">
        <f t="shared" si="9"/>
        <v>0</v>
      </c>
      <c r="G71" s="103"/>
      <c r="H71" s="103"/>
      <c r="I71" s="104"/>
      <c r="J71" s="103"/>
      <c r="K71" s="103"/>
      <c r="L71" s="103">
        <f t="shared" si="0"/>
        <v>0</v>
      </c>
      <c r="M71" s="103"/>
      <c r="N71" s="103" t="s">
        <v>946</v>
      </c>
      <c r="O71" s="104">
        <f t="shared" si="10"/>
        <v>0</v>
      </c>
    </row>
    <row r="72" spans="1:15" s="8" customFormat="1" ht="15.75" x14ac:dyDescent="0.25">
      <c r="A72" s="113" t="s">
        <v>137</v>
      </c>
      <c r="B72" s="102">
        <v>44193</v>
      </c>
      <c r="C72" s="26" t="s">
        <v>584</v>
      </c>
      <c r="D72" s="14">
        <v>1</v>
      </c>
      <c r="E72" s="13">
        <v>762.71</v>
      </c>
      <c r="F72" s="50">
        <f t="shared" si="9"/>
        <v>762.71</v>
      </c>
      <c r="G72" s="103"/>
      <c r="H72" s="103"/>
      <c r="I72" s="104"/>
      <c r="J72" s="103"/>
      <c r="K72" s="103"/>
      <c r="L72" s="103">
        <f t="shared" si="0"/>
        <v>1</v>
      </c>
      <c r="M72" s="103"/>
      <c r="N72" s="103" t="s">
        <v>946</v>
      </c>
      <c r="O72" s="104">
        <f t="shared" si="10"/>
        <v>762.71</v>
      </c>
    </row>
    <row r="73" spans="1:15" s="8" customFormat="1" ht="15.75" x14ac:dyDescent="0.25">
      <c r="A73" s="113" t="s">
        <v>138</v>
      </c>
      <c r="B73" s="102">
        <v>44193</v>
      </c>
      <c r="C73" s="26" t="s">
        <v>585</v>
      </c>
      <c r="D73" s="14">
        <v>0</v>
      </c>
      <c r="E73" s="13">
        <v>338.98</v>
      </c>
      <c r="F73" s="50">
        <f t="shared" si="9"/>
        <v>0</v>
      </c>
      <c r="G73" s="103"/>
      <c r="H73" s="103"/>
      <c r="I73" s="104"/>
      <c r="J73" s="103"/>
      <c r="K73" s="103"/>
      <c r="L73" s="103">
        <f t="shared" ref="L73:L74" si="11">+D73+H73-K73</f>
        <v>0</v>
      </c>
      <c r="M73" s="103"/>
      <c r="N73" s="103" t="s">
        <v>946</v>
      </c>
      <c r="O73" s="104">
        <f t="shared" si="10"/>
        <v>0</v>
      </c>
    </row>
    <row r="74" spans="1:15" s="8" customFormat="1" ht="15.75" x14ac:dyDescent="0.25">
      <c r="A74" s="113" t="s">
        <v>54</v>
      </c>
      <c r="B74" s="102">
        <v>44193</v>
      </c>
      <c r="C74" s="9" t="s">
        <v>586</v>
      </c>
      <c r="D74" s="30">
        <v>8</v>
      </c>
      <c r="E74" s="13">
        <v>17.07</v>
      </c>
      <c r="F74" s="50">
        <f t="shared" si="9"/>
        <v>136.56</v>
      </c>
      <c r="G74" s="103"/>
      <c r="H74" s="103"/>
      <c r="I74" s="104"/>
      <c r="J74" s="103"/>
      <c r="K74" s="103"/>
      <c r="L74" s="103">
        <f t="shared" si="11"/>
        <v>8</v>
      </c>
      <c r="M74" s="103"/>
      <c r="N74" s="103" t="s">
        <v>947</v>
      </c>
      <c r="O74" s="104">
        <f t="shared" si="10"/>
        <v>136.56</v>
      </c>
    </row>
    <row r="75" spans="1:15" s="92" customFormat="1" x14ac:dyDescent="0.3">
      <c r="A75" s="113" t="s">
        <v>55</v>
      </c>
      <c r="B75" s="102">
        <v>44193</v>
      </c>
      <c r="C75" s="26" t="s">
        <v>587</v>
      </c>
      <c r="D75" s="30">
        <v>129</v>
      </c>
      <c r="E75" s="13">
        <v>134</v>
      </c>
      <c r="F75" s="50">
        <f t="shared" si="9"/>
        <v>17286</v>
      </c>
      <c r="G75" s="103"/>
      <c r="H75" s="103"/>
      <c r="I75" s="104"/>
      <c r="J75" s="103"/>
      <c r="K75" s="103">
        <f>1+2+2+1</f>
        <v>6</v>
      </c>
      <c r="L75" s="103">
        <f>+D75+H75-K75</f>
        <v>123</v>
      </c>
      <c r="M75" s="103"/>
      <c r="N75" s="103" t="s">
        <v>945</v>
      </c>
      <c r="O75" s="104">
        <f t="shared" si="10"/>
        <v>16482</v>
      </c>
    </row>
    <row r="76" spans="1:15" s="92" customFormat="1" x14ac:dyDescent="0.3">
      <c r="A76" s="113" t="s">
        <v>56</v>
      </c>
      <c r="B76" s="106" t="s">
        <v>106</v>
      </c>
      <c r="C76" s="26" t="s">
        <v>774</v>
      </c>
      <c r="D76" s="30">
        <v>67</v>
      </c>
      <c r="E76" s="51">
        <v>50</v>
      </c>
      <c r="F76" s="50">
        <f t="shared" si="9"/>
        <v>3350</v>
      </c>
      <c r="G76" s="103"/>
      <c r="H76" s="103"/>
      <c r="I76" s="104"/>
      <c r="J76" s="103"/>
      <c r="K76" s="103">
        <f>2+4+1+2+1</f>
        <v>10</v>
      </c>
      <c r="L76" s="103">
        <f t="shared" ref="L76:L82" si="12">+D76+H76-K76</f>
        <v>57</v>
      </c>
      <c r="M76" s="103"/>
      <c r="N76" s="103" t="s">
        <v>945</v>
      </c>
      <c r="O76" s="104">
        <f t="shared" si="10"/>
        <v>2850</v>
      </c>
    </row>
    <row r="77" spans="1:15" s="92" customFormat="1" x14ac:dyDescent="0.3">
      <c r="A77" s="113" t="s">
        <v>100</v>
      </c>
      <c r="B77" s="102">
        <v>44488</v>
      </c>
      <c r="C77" s="26" t="s">
        <v>589</v>
      </c>
      <c r="D77" s="30">
        <v>3</v>
      </c>
      <c r="E77" s="13">
        <v>2200</v>
      </c>
      <c r="F77" s="50">
        <f t="shared" si="9"/>
        <v>6600</v>
      </c>
      <c r="G77" s="103"/>
      <c r="H77" s="103"/>
      <c r="I77" s="104"/>
      <c r="J77" s="103"/>
      <c r="K77" s="103"/>
      <c r="L77" s="103">
        <f t="shared" si="12"/>
        <v>3</v>
      </c>
      <c r="M77" s="103"/>
      <c r="N77" s="103" t="s">
        <v>945</v>
      </c>
      <c r="O77" s="104">
        <f>+E77*L77</f>
        <v>6600</v>
      </c>
    </row>
    <row r="78" spans="1:15" s="8" customFormat="1" ht="15.75" x14ac:dyDescent="0.25">
      <c r="A78" s="113" t="s">
        <v>57</v>
      </c>
      <c r="B78" s="102">
        <v>44193</v>
      </c>
      <c r="C78" s="9" t="s">
        <v>590</v>
      </c>
      <c r="D78" s="30">
        <v>0</v>
      </c>
      <c r="E78" s="13">
        <v>402.54</v>
      </c>
      <c r="F78" s="50">
        <f t="shared" si="9"/>
        <v>0</v>
      </c>
      <c r="G78" s="103"/>
      <c r="H78" s="103"/>
      <c r="I78" s="104"/>
      <c r="J78" s="103"/>
      <c r="K78" s="103"/>
      <c r="L78" s="103">
        <f t="shared" si="12"/>
        <v>0</v>
      </c>
      <c r="M78" s="103"/>
      <c r="N78" s="103" t="s">
        <v>946</v>
      </c>
      <c r="O78" s="104">
        <f t="shared" si="10"/>
        <v>0</v>
      </c>
    </row>
    <row r="79" spans="1:15" s="8" customFormat="1" ht="15.75" x14ac:dyDescent="0.25">
      <c r="A79" s="113" t="s">
        <v>139</v>
      </c>
      <c r="B79" s="102">
        <v>44193</v>
      </c>
      <c r="C79" s="9" t="s">
        <v>591</v>
      </c>
      <c r="D79" s="30">
        <v>11</v>
      </c>
      <c r="E79" s="13">
        <v>37.74</v>
      </c>
      <c r="F79" s="50">
        <f t="shared" si="9"/>
        <v>415.14000000000004</v>
      </c>
      <c r="G79" s="103"/>
      <c r="H79" s="103"/>
      <c r="I79" s="104"/>
      <c r="J79" s="103"/>
      <c r="K79" s="103"/>
      <c r="L79" s="103">
        <f t="shared" si="12"/>
        <v>11</v>
      </c>
      <c r="M79" s="103"/>
      <c r="N79" s="103" t="s">
        <v>946</v>
      </c>
      <c r="O79" s="104">
        <f t="shared" si="10"/>
        <v>415.14000000000004</v>
      </c>
    </row>
    <row r="80" spans="1:15" s="105" customFormat="1" ht="15.75" x14ac:dyDescent="0.25">
      <c r="A80" s="113" t="s">
        <v>140</v>
      </c>
      <c r="B80" s="102">
        <v>44193</v>
      </c>
      <c r="C80" s="9" t="s">
        <v>592</v>
      </c>
      <c r="D80" s="30">
        <v>0</v>
      </c>
      <c r="E80" s="13">
        <v>55</v>
      </c>
      <c r="F80" s="50">
        <f t="shared" si="9"/>
        <v>0</v>
      </c>
      <c r="G80" s="107">
        <v>44883</v>
      </c>
      <c r="H80" s="103">
        <v>25</v>
      </c>
      <c r="I80" s="104">
        <v>68.06</v>
      </c>
      <c r="J80" s="103">
        <f>+I80*H80</f>
        <v>1701.5</v>
      </c>
      <c r="K80" s="103">
        <v>1</v>
      </c>
      <c r="L80" s="103">
        <f t="shared" si="12"/>
        <v>24</v>
      </c>
      <c r="M80" s="103" t="s">
        <v>1037</v>
      </c>
      <c r="N80" s="103" t="s">
        <v>947</v>
      </c>
      <c r="O80" s="104">
        <f t="shared" si="10"/>
        <v>1320</v>
      </c>
    </row>
    <row r="81" spans="1:15" s="8" customFormat="1" ht="15.75" x14ac:dyDescent="0.25">
      <c r="A81" s="113" t="s">
        <v>141</v>
      </c>
      <c r="B81" s="102">
        <v>44193</v>
      </c>
      <c r="C81" s="9" t="s">
        <v>593</v>
      </c>
      <c r="D81" s="30">
        <v>6</v>
      </c>
      <c r="E81" s="13">
        <v>4740</v>
      </c>
      <c r="F81" s="50">
        <f t="shared" si="9"/>
        <v>28440</v>
      </c>
      <c r="G81" s="103"/>
      <c r="H81" s="103"/>
      <c r="I81" s="104"/>
      <c r="J81" s="103"/>
      <c r="K81" s="103"/>
      <c r="L81" s="103">
        <f t="shared" si="12"/>
        <v>6</v>
      </c>
      <c r="M81" s="103"/>
      <c r="N81" s="103" t="s">
        <v>947</v>
      </c>
      <c r="O81" s="104">
        <f>+E81*L81</f>
        <v>28440</v>
      </c>
    </row>
    <row r="82" spans="1:15" s="8" customFormat="1" ht="15.75" x14ac:dyDescent="0.25">
      <c r="A82" s="113" t="s">
        <v>58</v>
      </c>
      <c r="B82" s="102">
        <v>44193</v>
      </c>
      <c r="C82" s="9" t="s">
        <v>594</v>
      </c>
      <c r="D82" s="30">
        <v>1</v>
      </c>
      <c r="E82" s="13">
        <v>2535</v>
      </c>
      <c r="F82" s="50">
        <f t="shared" si="9"/>
        <v>2535</v>
      </c>
      <c r="G82" s="103"/>
      <c r="H82" s="103"/>
      <c r="I82" s="104"/>
      <c r="J82" s="103"/>
      <c r="K82" s="103"/>
      <c r="L82" s="103">
        <f t="shared" si="12"/>
        <v>1</v>
      </c>
      <c r="M82" s="103"/>
      <c r="N82" s="103" t="s">
        <v>947</v>
      </c>
      <c r="O82" s="104">
        <f t="shared" si="10"/>
        <v>2535</v>
      </c>
    </row>
    <row r="83" spans="1:15" s="8" customFormat="1" ht="15.75" x14ac:dyDescent="0.25">
      <c r="A83" s="113" t="s">
        <v>59</v>
      </c>
      <c r="B83" s="102">
        <v>44193</v>
      </c>
      <c r="C83" s="9" t="s">
        <v>595</v>
      </c>
      <c r="D83" s="30">
        <v>0</v>
      </c>
      <c r="E83" s="13">
        <v>211.86</v>
      </c>
      <c r="F83" s="50">
        <f t="shared" si="9"/>
        <v>0</v>
      </c>
      <c r="G83" s="103"/>
      <c r="H83" s="103"/>
      <c r="I83" s="104"/>
      <c r="J83" s="103"/>
      <c r="K83" s="103"/>
      <c r="L83" s="103">
        <f>+D83+H83-K83</f>
        <v>0</v>
      </c>
      <c r="M83" s="103"/>
      <c r="N83" s="103" t="s">
        <v>947</v>
      </c>
      <c r="O83" s="104">
        <f t="shared" si="10"/>
        <v>0</v>
      </c>
    </row>
    <row r="84" spans="1:15" s="8" customFormat="1" ht="15.75" x14ac:dyDescent="0.25">
      <c r="A84" s="113" t="s">
        <v>60</v>
      </c>
      <c r="B84" s="102">
        <v>44193</v>
      </c>
      <c r="C84" s="9" t="s">
        <v>596</v>
      </c>
      <c r="D84" s="30">
        <v>0</v>
      </c>
      <c r="E84" s="13">
        <v>70</v>
      </c>
      <c r="F84" s="50">
        <f t="shared" si="9"/>
        <v>0</v>
      </c>
      <c r="G84" s="103"/>
      <c r="H84" s="103"/>
      <c r="I84" s="104"/>
      <c r="J84" s="103"/>
      <c r="K84" s="103"/>
      <c r="L84" s="103">
        <f t="shared" ref="L84:L96" si="13">+D84+H84-K84</f>
        <v>0</v>
      </c>
      <c r="M84" s="103"/>
      <c r="N84" s="103" t="s">
        <v>947</v>
      </c>
      <c r="O84" s="104">
        <f t="shared" si="10"/>
        <v>0</v>
      </c>
    </row>
    <row r="85" spans="1:15" s="8" customFormat="1" ht="15.75" x14ac:dyDescent="0.25">
      <c r="A85" s="113" t="s">
        <v>61</v>
      </c>
      <c r="B85" s="102">
        <v>44193</v>
      </c>
      <c r="C85" s="26" t="s">
        <v>597</v>
      </c>
      <c r="D85" s="30">
        <v>2</v>
      </c>
      <c r="E85" s="13">
        <v>148.31</v>
      </c>
      <c r="F85" s="50">
        <f t="shared" si="9"/>
        <v>296.62</v>
      </c>
      <c r="G85" s="103"/>
      <c r="H85" s="103"/>
      <c r="I85" s="104"/>
      <c r="J85" s="103"/>
      <c r="K85" s="103"/>
      <c r="L85" s="103">
        <f t="shared" si="13"/>
        <v>2</v>
      </c>
      <c r="M85" s="103"/>
      <c r="N85" s="103" t="s">
        <v>947</v>
      </c>
      <c r="O85" s="104">
        <f t="shared" si="10"/>
        <v>296.62</v>
      </c>
    </row>
    <row r="86" spans="1:15" s="8" customFormat="1" ht="15.75" x14ac:dyDescent="0.25">
      <c r="A86" s="113" t="s">
        <v>62</v>
      </c>
      <c r="B86" s="102">
        <v>44547</v>
      </c>
      <c r="C86" s="9" t="s">
        <v>598</v>
      </c>
      <c r="D86" s="30">
        <v>24</v>
      </c>
      <c r="E86" s="13">
        <v>200</v>
      </c>
      <c r="F86" s="50">
        <f t="shared" si="9"/>
        <v>4800</v>
      </c>
      <c r="G86" s="103"/>
      <c r="H86" s="103"/>
      <c r="I86" s="104"/>
      <c r="J86" s="103"/>
      <c r="K86" s="103"/>
      <c r="L86" s="103">
        <f t="shared" si="13"/>
        <v>24</v>
      </c>
      <c r="M86" s="103"/>
      <c r="N86" s="103" t="s">
        <v>947</v>
      </c>
      <c r="O86" s="104">
        <f t="shared" si="10"/>
        <v>4800</v>
      </c>
    </row>
    <row r="87" spans="1:15" s="105" customFormat="1" ht="15.75" x14ac:dyDescent="0.25">
      <c r="A87" s="113" t="s">
        <v>63</v>
      </c>
      <c r="B87" s="102">
        <v>44193</v>
      </c>
      <c r="C87" s="9" t="s">
        <v>599</v>
      </c>
      <c r="D87" s="30">
        <v>0</v>
      </c>
      <c r="E87" s="13">
        <v>65</v>
      </c>
      <c r="F87" s="50">
        <f t="shared" si="9"/>
        <v>0</v>
      </c>
      <c r="G87" s="107">
        <v>44852</v>
      </c>
      <c r="H87" s="103">
        <v>10</v>
      </c>
      <c r="I87" s="104">
        <v>46</v>
      </c>
      <c r="J87" s="108">
        <f>+I87*H87</f>
        <v>460</v>
      </c>
      <c r="K87" s="103"/>
      <c r="L87" s="103">
        <f t="shared" si="13"/>
        <v>10</v>
      </c>
      <c r="M87" s="103" t="s">
        <v>1037</v>
      </c>
      <c r="N87" s="103" t="s">
        <v>947</v>
      </c>
      <c r="O87" s="104">
        <f t="shared" si="10"/>
        <v>650</v>
      </c>
    </row>
    <row r="88" spans="1:15" s="92" customFormat="1" x14ac:dyDescent="0.3">
      <c r="A88" s="113" t="s">
        <v>64</v>
      </c>
      <c r="B88" s="102">
        <v>44193</v>
      </c>
      <c r="C88" s="25" t="s">
        <v>850</v>
      </c>
      <c r="D88" s="38">
        <v>1</v>
      </c>
      <c r="E88" s="13"/>
      <c r="F88" s="50"/>
      <c r="G88" s="103"/>
      <c r="H88" s="103"/>
      <c r="I88" s="104"/>
      <c r="J88" s="103"/>
      <c r="K88" s="103"/>
      <c r="L88" s="103">
        <f t="shared" si="13"/>
        <v>1</v>
      </c>
      <c r="M88" s="103"/>
      <c r="N88" s="103" t="s">
        <v>945</v>
      </c>
      <c r="O88" s="104">
        <f t="shared" si="10"/>
        <v>0</v>
      </c>
    </row>
    <row r="89" spans="1:15" s="105" customFormat="1" ht="15.75" x14ac:dyDescent="0.25">
      <c r="A89" s="113" t="s">
        <v>65</v>
      </c>
      <c r="B89" s="102">
        <v>44193</v>
      </c>
      <c r="C89" s="9" t="s">
        <v>851</v>
      </c>
      <c r="D89" s="30">
        <v>6</v>
      </c>
      <c r="E89" s="13">
        <v>9.5833333333333339</v>
      </c>
      <c r="F89" s="50">
        <f>D89*E89</f>
        <v>57.5</v>
      </c>
      <c r="G89" s="107">
        <v>44852</v>
      </c>
      <c r="H89" s="103">
        <f>10*12</f>
        <v>120</v>
      </c>
      <c r="I89" s="104">
        <v>7.09</v>
      </c>
      <c r="J89" s="103">
        <f>+I89*H89</f>
        <v>850.8</v>
      </c>
      <c r="K89" s="103"/>
      <c r="L89" s="103">
        <f t="shared" si="13"/>
        <v>126</v>
      </c>
      <c r="M89" s="103" t="s">
        <v>1037</v>
      </c>
      <c r="N89" s="108" t="s">
        <v>947</v>
      </c>
      <c r="O89" s="104">
        <f>+L89*I89</f>
        <v>893.34</v>
      </c>
    </row>
    <row r="90" spans="1:15" s="8" customFormat="1" ht="15.75" x14ac:dyDescent="0.25">
      <c r="A90" s="113" t="s">
        <v>66</v>
      </c>
      <c r="B90" s="102">
        <v>44547</v>
      </c>
      <c r="C90" s="9" t="s">
        <v>775</v>
      </c>
      <c r="D90" s="30">
        <v>10</v>
      </c>
      <c r="E90" s="13">
        <v>155</v>
      </c>
      <c r="F90" s="50">
        <f>D90*E90</f>
        <v>1550</v>
      </c>
      <c r="G90" s="103"/>
      <c r="H90" s="103"/>
      <c r="I90" s="104"/>
      <c r="J90" s="103"/>
      <c r="K90" s="103"/>
      <c r="L90" s="103">
        <f t="shared" si="13"/>
        <v>10</v>
      </c>
      <c r="M90" s="103"/>
      <c r="N90" s="103" t="s">
        <v>947</v>
      </c>
      <c r="O90" s="104">
        <f t="shared" si="10"/>
        <v>1550</v>
      </c>
    </row>
    <row r="91" spans="1:15" s="92" customFormat="1" x14ac:dyDescent="0.3">
      <c r="A91" s="113" t="s">
        <v>68</v>
      </c>
      <c r="B91" s="102">
        <v>44453</v>
      </c>
      <c r="C91" s="25" t="s">
        <v>603</v>
      </c>
      <c r="D91" s="14">
        <v>4</v>
      </c>
      <c r="E91" s="13">
        <v>7500</v>
      </c>
      <c r="F91" s="50">
        <f>D91*E91</f>
        <v>30000</v>
      </c>
      <c r="G91" s="103"/>
      <c r="H91" s="103"/>
      <c r="I91" s="104"/>
      <c r="J91" s="103"/>
      <c r="K91" s="103">
        <v>1</v>
      </c>
      <c r="L91" s="103">
        <f t="shared" si="13"/>
        <v>3</v>
      </c>
      <c r="M91" s="103"/>
      <c r="N91" s="103" t="s">
        <v>945</v>
      </c>
      <c r="O91" s="104">
        <f>+E91*L91</f>
        <v>22500</v>
      </c>
    </row>
    <row r="92" spans="1:15" s="92" customFormat="1" x14ac:dyDescent="0.3">
      <c r="A92" s="113" t="s">
        <v>67</v>
      </c>
      <c r="B92" s="102">
        <v>44659</v>
      </c>
      <c r="C92" s="25" t="s">
        <v>776</v>
      </c>
      <c r="D92" s="14">
        <v>108</v>
      </c>
      <c r="E92" s="13">
        <v>156.66667000000001</v>
      </c>
      <c r="F92" s="50">
        <f>D92*E92</f>
        <v>16920.000360000002</v>
      </c>
      <c r="G92" s="103"/>
      <c r="H92" s="103"/>
      <c r="I92" s="104"/>
      <c r="J92" s="103"/>
      <c r="K92" s="103">
        <f>1+1+1+2+1+1+1+1+1+1+1+1+1+1+1+1+1+1+1+1+1+1+1+1+1+1+1+1+1+1+1+1+1+1+1+1</f>
        <v>37</v>
      </c>
      <c r="L92" s="103">
        <f t="shared" si="13"/>
        <v>71</v>
      </c>
      <c r="M92" s="103"/>
      <c r="N92" s="103" t="s">
        <v>945</v>
      </c>
      <c r="O92" s="104">
        <f t="shared" si="10"/>
        <v>11123.333570000001</v>
      </c>
    </row>
    <row r="93" spans="1:15" s="8" customFormat="1" ht="15.75" x14ac:dyDescent="0.25">
      <c r="A93" s="113" t="s">
        <v>69</v>
      </c>
      <c r="B93" s="102">
        <v>44193</v>
      </c>
      <c r="C93" s="25" t="s">
        <v>844</v>
      </c>
      <c r="D93" s="14">
        <v>20</v>
      </c>
      <c r="E93" s="13">
        <v>30.5</v>
      </c>
      <c r="F93" s="50">
        <f>D93*E93</f>
        <v>610</v>
      </c>
      <c r="G93" s="103"/>
      <c r="H93" s="103"/>
      <c r="I93" s="104"/>
      <c r="J93" s="103"/>
      <c r="K93" s="103"/>
      <c r="L93" s="103">
        <f t="shared" si="13"/>
        <v>20</v>
      </c>
      <c r="M93" s="103"/>
      <c r="N93" s="103" t="s">
        <v>946</v>
      </c>
      <c r="O93" s="104">
        <f t="shared" si="10"/>
        <v>610</v>
      </c>
    </row>
    <row r="94" spans="1:15" s="8" customFormat="1" ht="15.75" x14ac:dyDescent="0.25">
      <c r="A94" s="113" t="s">
        <v>103</v>
      </c>
      <c r="B94" s="102">
        <v>44193</v>
      </c>
      <c r="C94" s="25" t="s">
        <v>789</v>
      </c>
      <c r="D94" s="14">
        <f>21+8+14</f>
        <v>43</v>
      </c>
      <c r="E94" s="13">
        <v>11.24</v>
      </c>
      <c r="F94" s="50">
        <f t="shared" ref="F94:F132" si="14">D94*E94</f>
        <v>483.32</v>
      </c>
      <c r="G94" s="103"/>
      <c r="H94" s="103"/>
      <c r="I94" s="104"/>
      <c r="J94" s="103"/>
      <c r="K94" s="103">
        <v>1</v>
      </c>
      <c r="L94" s="103">
        <f t="shared" si="13"/>
        <v>42</v>
      </c>
      <c r="M94" s="103"/>
      <c r="N94" s="103" t="s">
        <v>946</v>
      </c>
      <c r="O94" s="104">
        <f t="shared" si="10"/>
        <v>472.08</v>
      </c>
    </row>
    <row r="95" spans="1:15" s="8" customFormat="1" ht="15.75" x14ac:dyDescent="0.25">
      <c r="A95" s="113" t="s">
        <v>104</v>
      </c>
      <c r="B95" s="102">
        <v>44193</v>
      </c>
      <c r="C95" s="25" t="s">
        <v>788</v>
      </c>
      <c r="D95" s="14">
        <f>16+6+7+2</f>
        <v>31</v>
      </c>
      <c r="E95" s="13">
        <v>11.24</v>
      </c>
      <c r="F95" s="50">
        <f t="shared" si="14"/>
        <v>348.44</v>
      </c>
      <c r="G95" s="103"/>
      <c r="H95" s="103"/>
      <c r="I95" s="104"/>
      <c r="J95" s="103"/>
      <c r="K95" s="103"/>
      <c r="L95" s="103">
        <f t="shared" si="13"/>
        <v>31</v>
      </c>
      <c r="M95" s="103"/>
      <c r="N95" s="103" t="s">
        <v>946</v>
      </c>
      <c r="O95" s="104">
        <f t="shared" si="10"/>
        <v>348.44</v>
      </c>
    </row>
    <row r="96" spans="1:15" s="8" customFormat="1" ht="15.75" x14ac:dyDescent="0.25">
      <c r="A96" s="113" t="s">
        <v>142</v>
      </c>
      <c r="B96" s="102">
        <v>44193</v>
      </c>
      <c r="C96" s="25" t="s">
        <v>604</v>
      </c>
      <c r="D96" s="14">
        <v>28</v>
      </c>
      <c r="E96" s="13">
        <v>45</v>
      </c>
      <c r="F96" s="50">
        <f t="shared" si="14"/>
        <v>1260</v>
      </c>
      <c r="G96" s="103"/>
      <c r="H96" s="103"/>
      <c r="I96" s="104"/>
      <c r="J96" s="103"/>
      <c r="K96" s="103"/>
      <c r="L96" s="103">
        <f t="shared" si="13"/>
        <v>28</v>
      </c>
      <c r="M96" s="103"/>
      <c r="N96" s="103" t="s">
        <v>946</v>
      </c>
      <c r="O96" s="104">
        <f t="shared" si="10"/>
        <v>1260</v>
      </c>
    </row>
    <row r="97" spans="1:15" s="8" customFormat="1" ht="15.75" x14ac:dyDescent="0.25">
      <c r="A97" s="113" t="s">
        <v>70</v>
      </c>
      <c r="B97" s="102">
        <v>44193</v>
      </c>
      <c r="C97" s="25" t="s">
        <v>605</v>
      </c>
      <c r="D97" s="14">
        <v>4</v>
      </c>
      <c r="E97" s="13">
        <v>40</v>
      </c>
      <c r="F97" s="50">
        <f t="shared" si="14"/>
        <v>160</v>
      </c>
      <c r="G97" s="103"/>
      <c r="H97" s="103"/>
      <c r="I97" s="104"/>
      <c r="J97" s="103"/>
      <c r="K97" s="103"/>
      <c r="L97" s="103">
        <f>+D97+H97-K97</f>
        <v>4</v>
      </c>
      <c r="M97" s="103"/>
      <c r="N97" s="103" t="s">
        <v>946</v>
      </c>
      <c r="O97" s="104">
        <f t="shared" si="10"/>
        <v>160</v>
      </c>
    </row>
    <row r="98" spans="1:15" s="8" customFormat="1" ht="15.75" x14ac:dyDescent="0.25">
      <c r="A98" s="113" t="s">
        <v>71</v>
      </c>
      <c r="B98" s="102">
        <v>44193</v>
      </c>
      <c r="C98" s="25" t="s">
        <v>606</v>
      </c>
      <c r="D98" s="14">
        <v>39</v>
      </c>
      <c r="E98" s="13">
        <v>45</v>
      </c>
      <c r="F98" s="50">
        <f t="shared" si="14"/>
        <v>1755</v>
      </c>
      <c r="G98" s="103"/>
      <c r="H98" s="103"/>
      <c r="I98" s="104"/>
      <c r="J98" s="103"/>
      <c r="K98" s="103"/>
      <c r="L98" s="103">
        <f t="shared" ref="L98:L109" si="15">+D98+H98-K98</f>
        <v>39</v>
      </c>
      <c r="M98" s="103"/>
      <c r="N98" s="103" t="s">
        <v>946</v>
      </c>
      <c r="O98" s="104">
        <f t="shared" si="10"/>
        <v>1755</v>
      </c>
    </row>
    <row r="99" spans="1:15" s="8" customFormat="1" ht="15.75" x14ac:dyDescent="0.25">
      <c r="A99" s="113" t="s">
        <v>72</v>
      </c>
      <c r="B99" s="102">
        <v>44193</v>
      </c>
      <c r="C99" s="25" t="s">
        <v>846</v>
      </c>
      <c r="D99" s="14">
        <v>1</v>
      </c>
      <c r="E99" s="13">
        <v>47</v>
      </c>
      <c r="F99" s="50">
        <f t="shared" si="14"/>
        <v>47</v>
      </c>
      <c r="G99" s="103"/>
      <c r="H99" s="103"/>
      <c r="I99" s="104"/>
      <c r="J99" s="103"/>
      <c r="K99" s="103"/>
      <c r="L99" s="103">
        <f t="shared" si="15"/>
        <v>1</v>
      </c>
      <c r="M99" s="103"/>
      <c r="N99" s="103" t="s">
        <v>946</v>
      </c>
      <c r="O99" s="104">
        <f t="shared" si="10"/>
        <v>47</v>
      </c>
    </row>
    <row r="100" spans="1:15" s="8" customFormat="1" ht="15.75" x14ac:dyDescent="0.25">
      <c r="A100" s="113" t="s">
        <v>73</v>
      </c>
      <c r="B100" s="102">
        <v>44193</v>
      </c>
      <c r="C100" s="25" t="s">
        <v>607</v>
      </c>
      <c r="D100" s="14">
        <v>1</v>
      </c>
      <c r="E100" s="13">
        <v>40</v>
      </c>
      <c r="F100" s="50">
        <f t="shared" si="14"/>
        <v>40</v>
      </c>
      <c r="G100" s="103"/>
      <c r="H100" s="103"/>
      <c r="I100" s="104"/>
      <c r="J100" s="103"/>
      <c r="K100" s="103"/>
      <c r="L100" s="103">
        <f t="shared" si="15"/>
        <v>1</v>
      </c>
      <c r="M100" s="103"/>
      <c r="N100" s="103" t="s">
        <v>946</v>
      </c>
      <c r="O100" s="104">
        <f t="shared" si="10"/>
        <v>40</v>
      </c>
    </row>
    <row r="101" spans="1:15" s="8" customFormat="1" ht="15.75" x14ac:dyDescent="0.25">
      <c r="A101" s="113" t="s">
        <v>74</v>
      </c>
      <c r="B101" s="102">
        <v>44193</v>
      </c>
      <c r="C101" s="25" t="s">
        <v>608</v>
      </c>
      <c r="D101" s="32">
        <v>2</v>
      </c>
      <c r="E101" s="13">
        <v>12.21</v>
      </c>
      <c r="F101" s="50">
        <f t="shared" si="14"/>
        <v>24.42</v>
      </c>
      <c r="G101" s="103"/>
      <c r="H101" s="103"/>
      <c r="I101" s="104"/>
      <c r="J101" s="103"/>
      <c r="K101" s="103"/>
      <c r="L101" s="103">
        <f t="shared" si="15"/>
        <v>2</v>
      </c>
      <c r="M101" s="103"/>
      <c r="N101" s="103" t="s">
        <v>946</v>
      </c>
      <c r="O101" s="104">
        <f t="shared" si="10"/>
        <v>24.42</v>
      </c>
    </row>
    <row r="102" spans="1:15" s="8" customFormat="1" ht="15.75" x14ac:dyDescent="0.25">
      <c r="A102" s="113" t="s">
        <v>101</v>
      </c>
      <c r="B102" s="102">
        <v>44193</v>
      </c>
      <c r="C102" s="25" t="s">
        <v>609</v>
      </c>
      <c r="D102" s="32">
        <v>0</v>
      </c>
      <c r="E102" s="13">
        <v>4</v>
      </c>
      <c r="F102" s="50">
        <f t="shared" si="14"/>
        <v>0</v>
      </c>
      <c r="G102" s="103"/>
      <c r="H102" s="103"/>
      <c r="I102" s="104"/>
      <c r="J102" s="103"/>
      <c r="K102" s="103"/>
      <c r="L102" s="103">
        <f t="shared" si="15"/>
        <v>0</v>
      </c>
      <c r="M102" s="103"/>
      <c r="N102" s="103" t="s">
        <v>946</v>
      </c>
      <c r="O102" s="104">
        <f>+E102*L102</f>
        <v>0</v>
      </c>
    </row>
    <row r="103" spans="1:15" s="8" customFormat="1" ht="15.75" x14ac:dyDescent="0.25">
      <c r="A103" s="113" t="s">
        <v>75</v>
      </c>
      <c r="B103" s="102">
        <v>44193</v>
      </c>
      <c r="C103" s="25" t="s">
        <v>610</v>
      </c>
      <c r="D103" s="32">
        <f>13+7+29</f>
        <v>49</v>
      </c>
      <c r="E103" s="13">
        <v>5.05</v>
      </c>
      <c r="F103" s="50">
        <f t="shared" si="14"/>
        <v>247.45</v>
      </c>
      <c r="G103" s="103"/>
      <c r="H103" s="103"/>
      <c r="I103" s="104"/>
      <c r="J103" s="103"/>
      <c r="K103" s="103"/>
      <c r="L103" s="103">
        <f t="shared" si="15"/>
        <v>49</v>
      </c>
      <c r="M103" s="103"/>
      <c r="N103" s="103" t="s">
        <v>946</v>
      </c>
      <c r="O103" s="104">
        <f>+E103*L103</f>
        <v>247.45</v>
      </c>
    </row>
    <row r="104" spans="1:15" s="8" customFormat="1" ht="15.75" x14ac:dyDescent="0.25">
      <c r="A104" s="113" t="s">
        <v>102</v>
      </c>
      <c r="B104" s="102">
        <v>44193</v>
      </c>
      <c r="C104" s="25" t="s">
        <v>611</v>
      </c>
      <c r="D104" s="32">
        <v>0</v>
      </c>
      <c r="E104" s="13">
        <v>42.95</v>
      </c>
      <c r="F104" s="50">
        <f t="shared" si="14"/>
        <v>0</v>
      </c>
      <c r="G104" s="103"/>
      <c r="H104" s="103"/>
      <c r="I104" s="104"/>
      <c r="J104" s="103"/>
      <c r="K104" s="103"/>
      <c r="L104" s="103">
        <f t="shared" si="15"/>
        <v>0</v>
      </c>
      <c r="M104" s="103"/>
      <c r="N104" s="103" t="s">
        <v>946</v>
      </c>
      <c r="O104" s="104">
        <f t="shared" ref="O104:O110" si="16">+E104*L104</f>
        <v>0</v>
      </c>
    </row>
    <row r="105" spans="1:15" s="8" customFormat="1" ht="15.75" x14ac:dyDescent="0.25">
      <c r="A105" s="113" t="s">
        <v>143</v>
      </c>
      <c r="B105" s="102">
        <v>44193</v>
      </c>
      <c r="C105" s="25" t="s">
        <v>612</v>
      </c>
      <c r="D105" s="30">
        <v>11</v>
      </c>
      <c r="E105" s="13">
        <v>19.95</v>
      </c>
      <c r="F105" s="50">
        <f t="shared" si="14"/>
        <v>219.45</v>
      </c>
      <c r="G105" s="103"/>
      <c r="H105" s="103"/>
      <c r="I105" s="104"/>
      <c r="J105" s="103"/>
      <c r="K105" s="103"/>
      <c r="L105" s="103">
        <f t="shared" si="15"/>
        <v>11</v>
      </c>
      <c r="M105" s="103"/>
      <c r="N105" s="103" t="s">
        <v>946</v>
      </c>
      <c r="O105" s="104">
        <f t="shared" si="16"/>
        <v>219.45</v>
      </c>
    </row>
    <row r="106" spans="1:15" s="8" customFormat="1" ht="15.75" x14ac:dyDescent="0.25">
      <c r="A106" s="113" t="s">
        <v>334</v>
      </c>
      <c r="B106" s="102">
        <v>44193</v>
      </c>
      <c r="C106" s="25" t="s">
        <v>613</v>
      </c>
      <c r="D106" s="30">
        <f>6+7</f>
        <v>13</v>
      </c>
      <c r="E106" s="13">
        <v>5.78</v>
      </c>
      <c r="F106" s="50">
        <f t="shared" si="14"/>
        <v>75.14</v>
      </c>
      <c r="G106" s="103"/>
      <c r="H106" s="103"/>
      <c r="I106" s="104"/>
      <c r="J106" s="103"/>
      <c r="K106" s="103"/>
      <c r="L106" s="103">
        <f t="shared" si="15"/>
        <v>13</v>
      </c>
      <c r="M106" s="103"/>
      <c r="N106" s="103" t="s">
        <v>946</v>
      </c>
      <c r="O106" s="104">
        <f t="shared" si="16"/>
        <v>75.14</v>
      </c>
    </row>
    <row r="107" spans="1:15" s="8" customFormat="1" ht="15.75" x14ac:dyDescent="0.25">
      <c r="A107" s="113" t="s">
        <v>335</v>
      </c>
      <c r="B107" s="102">
        <v>44193</v>
      </c>
      <c r="C107" s="25" t="s">
        <v>849</v>
      </c>
      <c r="D107" s="30">
        <v>1</v>
      </c>
      <c r="E107" s="13"/>
      <c r="F107" s="50">
        <f t="shared" si="14"/>
        <v>0</v>
      </c>
      <c r="G107" s="103"/>
      <c r="H107" s="103"/>
      <c r="I107" s="104"/>
      <c r="J107" s="103"/>
      <c r="K107" s="103"/>
      <c r="L107" s="103">
        <f t="shared" si="15"/>
        <v>1</v>
      </c>
      <c r="M107" s="103"/>
      <c r="N107" s="103" t="s">
        <v>946</v>
      </c>
      <c r="O107" s="104">
        <f t="shared" si="16"/>
        <v>0</v>
      </c>
    </row>
    <row r="108" spans="1:15" s="8" customFormat="1" ht="15.75" x14ac:dyDescent="0.25">
      <c r="A108" s="113" t="s">
        <v>336</v>
      </c>
      <c r="B108" s="102">
        <v>44193</v>
      </c>
      <c r="C108" s="26" t="s">
        <v>821</v>
      </c>
      <c r="D108" s="30">
        <v>9</v>
      </c>
      <c r="E108" s="13">
        <v>77.540000000000006</v>
      </c>
      <c r="F108" s="50">
        <f t="shared" si="14"/>
        <v>697.86</v>
      </c>
      <c r="G108" s="103"/>
      <c r="H108" s="103"/>
      <c r="I108" s="104"/>
      <c r="J108" s="103"/>
      <c r="K108" s="103"/>
      <c r="L108" s="103">
        <f t="shared" si="15"/>
        <v>9</v>
      </c>
      <c r="M108" s="103"/>
      <c r="N108" s="103" t="s">
        <v>946</v>
      </c>
      <c r="O108" s="104">
        <f t="shared" si="16"/>
        <v>697.86</v>
      </c>
    </row>
    <row r="109" spans="1:15" s="8" customFormat="1" ht="15.75" x14ac:dyDescent="0.25">
      <c r="A109" s="113" t="s">
        <v>337</v>
      </c>
      <c r="B109" s="102">
        <v>44193</v>
      </c>
      <c r="C109" s="26" t="s">
        <v>820</v>
      </c>
      <c r="D109" s="30">
        <v>21</v>
      </c>
      <c r="E109" s="13">
        <v>719.2</v>
      </c>
      <c r="F109" s="50">
        <f t="shared" si="14"/>
        <v>15103.2</v>
      </c>
      <c r="G109" s="103"/>
      <c r="H109" s="103"/>
      <c r="I109" s="104"/>
      <c r="J109" s="103"/>
      <c r="K109" s="103"/>
      <c r="L109" s="103">
        <f t="shared" si="15"/>
        <v>21</v>
      </c>
      <c r="M109" s="103"/>
      <c r="N109" s="103" t="s">
        <v>946</v>
      </c>
      <c r="O109" s="104">
        <f t="shared" si="16"/>
        <v>15103.2</v>
      </c>
    </row>
    <row r="110" spans="1:15" s="8" customFormat="1" ht="15.75" x14ac:dyDescent="0.25">
      <c r="A110" s="113" t="s">
        <v>338</v>
      </c>
      <c r="B110" s="102">
        <v>44193</v>
      </c>
      <c r="C110" s="26" t="s">
        <v>823</v>
      </c>
      <c r="D110" s="30">
        <v>3</v>
      </c>
      <c r="E110" s="13">
        <v>51</v>
      </c>
      <c r="F110" s="50">
        <f t="shared" si="14"/>
        <v>153</v>
      </c>
      <c r="G110" s="103"/>
      <c r="H110" s="103"/>
      <c r="I110" s="104"/>
      <c r="J110" s="103"/>
      <c r="K110" s="103"/>
      <c r="L110" s="103">
        <f>+D110+H110-K110</f>
        <v>3</v>
      </c>
      <c r="M110" s="103"/>
      <c r="N110" s="103" t="s">
        <v>946</v>
      </c>
      <c r="O110" s="104">
        <f t="shared" si="16"/>
        <v>153</v>
      </c>
    </row>
    <row r="111" spans="1:15" s="8" customFormat="1" ht="15.75" x14ac:dyDescent="0.25">
      <c r="A111" s="113" t="s">
        <v>339</v>
      </c>
      <c r="B111" s="102">
        <v>44193</v>
      </c>
      <c r="C111" s="26" t="s">
        <v>822</v>
      </c>
      <c r="D111" s="30">
        <v>12</v>
      </c>
      <c r="E111" s="13">
        <v>66.11</v>
      </c>
      <c r="F111" s="50">
        <f t="shared" si="14"/>
        <v>793.31999999999994</v>
      </c>
      <c r="G111" s="103"/>
      <c r="H111" s="103"/>
      <c r="I111" s="104"/>
      <c r="J111" s="103"/>
      <c r="K111" s="103"/>
      <c r="L111" s="103">
        <f t="shared" ref="L111:L175" si="17">+D111+H111-K111</f>
        <v>12</v>
      </c>
      <c r="M111" s="103"/>
      <c r="N111" s="103" t="s">
        <v>946</v>
      </c>
      <c r="O111" s="104">
        <f>+E111*L111</f>
        <v>793.31999999999994</v>
      </c>
    </row>
    <row r="112" spans="1:15" s="8" customFormat="1" ht="15.75" x14ac:dyDescent="0.25">
      <c r="A112" s="113" t="s">
        <v>340</v>
      </c>
      <c r="B112" s="102">
        <v>44193</v>
      </c>
      <c r="C112" s="26" t="s">
        <v>802</v>
      </c>
      <c r="D112" s="30">
        <v>2</v>
      </c>
      <c r="E112" s="13">
        <v>70</v>
      </c>
      <c r="F112" s="50">
        <f t="shared" si="14"/>
        <v>140</v>
      </c>
      <c r="G112" s="103"/>
      <c r="H112" s="103"/>
      <c r="I112" s="104"/>
      <c r="J112" s="103"/>
      <c r="K112" s="103"/>
      <c r="L112" s="103">
        <f t="shared" si="17"/>
        <v>2</v>
      </c>
      <c r="M112" s="103"/>
      <c r="N112" s="103" t="s">
        <v>946</v>
      </c>
      <c r="O112" s="104">
        <f t="shared" ref="O112:O120" si="18">+E112*L112</f>
        <v>140</v>
      </c>
    </row>
    <row r="113" spans="1:15" s="8" customFormat="1" ht="15.75" x14ac:dyDescent="0.25">
      <c r="A113" s="113" t="s">
        <v>341</v>
      </c>
      <c r="B113" s="102">
        <v>44193</v>
      </c>
      <c r="C113" s="26" t="s">
        <v>804</v>
      </c>
      <c r="D113" s="30">
        <v>6</v>
      </c>
      <c r="E113" s="13">
        <v>450</v>
      </c>
      <c r="F113" s="50">
        <f t="shared" si="14"/>
        <v>2700</v>
      </c>
      <c r="G113" s="103"/>
      <c r="H113" s="103"/>
      <c r="I113" s="104"/>
      <c r="J113" s="103"/>
      <c r="K113" s="103">
        <v>1</v>
      </c>
      <c r="L113" s="103">
        <f t="shared" si="17"/>
        <v>5</v>
      </c>
      <c r="M113" s="103"/>
      <c r="N113" s="103" t="s">
        <v>946</v>
      </c>
      <c r="O113" s="104">
        <f>+E113*L113</f>
        <v>2250</v>
      </c>
    </row>
    <row r="114" spans="1:15" s="8" customFormat="1" ht="15.75" x14ac:dyDescent="0.25">
      <c r="A114" s="113" t="s">
        <v>342</v>
      </c>
      <c r="B114" s="102">
        <v>44193</v>
      </c>
      <c r="C114" s="26" t="s">
        <v>801</v>
      </c>
      <c r="D114" s="30">
        <v>2</v>
      </c>
      <c r="E114" s="13">
        <v>719.2</v>
      </c>
      <c r="F114" s="50">
        <f t="shared" si="14"/>
        <v>1438.4</v>
      </c>
      <c r="G114" s="103"/>
      <c r="H114" s="103"/>
      <c r="I114" s="104"/>
      <c r="J114" s="103"/>
      <c r="K114" s="103">
        <v>2</v>
      </c>
      <c r="L114" s="103">
        <f t="shared" si="17"/>
        <v>0</v>
      </c>
      <c r="M114" s="103"/>
      <c r="N114" s="103" t="s">
        <v>946</v>
      </c>
      <c r="O114" s="104">
        <f t="shared" si="18"/>
        <v>0</v>
      </c>
    </row>
    <row r="115" spans="1:15" s="8" customFormat="1" ht="15.75" x14ac:dyDescent="0.25">
      <c r="A115" s="113" t="s">
        <v>343</v>
      </c>
      <c r="B115" s="102">
        <v>44193</v>
      </c>
      <c r="C115" s="25" t="s">
        <v>616</v>
      </c>
      <c r="D115" s="32">
        <v>0</v>
      </c>
      <c r="E115" s="13">
        <v>2950</v>
      </c>
      <c r="F115" s="50">
        <f t="shared" si="14"/>
        <v>0</v>
      </c>
      <c r="G115" s="103"/>
      <c r="H115" s="103"/>
      <c r="I115" s="104"/>
      <c r="J115" s="103"/>
      <c r="K115" s="103"/>
      <c r="L115" s="103">
        <f t="shared" si="17"/>
        <v>0</v>
      </c>
      <c r="M115" s="103"/>
      <c r="N115" s="103" t="s">
        <v>946</v>
      </c>
      <c r="O115" s="104">
        <f t="shared" si="18"/>
        <v>0</v>
      </c>
    </row>
    <row r="116" spans="1:15" s="8" customFormat="1" ht="15.75" x14ac:dyDescent="0.25">
      <c r="A116" s="113" t="s">
        <v>344</v>
      </c>
      <c r="B116" s="102">
        <v>44193</v>
      </c>
      <c r="C116" s="25" t="s">
        <v>617</v>
      </c>
      <c r="D116" s="32">
        <v>5</v>
      </c>
      <c r="E116" s="13">
        <v>29</v>
      </c>
      <c r="F116" s="50">
        <f t="shared" si="14"/>
        <v>145</v>
      </c>
      <c r="G116" s="103"/>
      <c r="H116" s="103"/>
      <c r="I116" s="104"/>
      <c r="J116" s="103"/>
      <c r="K116" s="103">
        <v>4</v>
      </c>
      <c r="L116" s="103">
        <f t="shared" si="17"/>
        <v>1</v>
      </c>
      <c r="M116" s="103"/>
      <c r="N116" s="103" t="s">
        <v>946</v>
      </c>
      <c r="O116" s="104">
        <f t="shared" si="18"/>
        <v>29</v>
      </c>
    </row>
    <row r="117" spans="1:15" s="8" customFormat="1" ht="15.75" x14ac:dyDescent="0.25">
      <c r="A117" s="113" t="s">
        <v>345</v>
      </c>
      <c r="B117" s="106" t="s">
        <v>106</v>
      </c>
      <c r="C117" s="9" t="s">
        <v>618</v>
      </c>
      <c r="D117" s="30">
        <v>12</v>
      </c>
      <c r="E117" s="51">
        <v>35</v>
      </c>
      <c r="F117" s="50">
        <f t="shared" si="14"/>
        <v>420</v>
      </c>
      <c r="G117" s="103"/>
      <c r="H117" s="103"/>
      <c r="I117" s="104"/>
      <c r="J117" s="103"/>
      <c r="K117" s="103"/>
      <c r="L117" s="103">
        <f t="shared" si="17"/>
        <v>12</v>
      </c>
      <c r="M117" s="103"/>
      <c r="N117" s="103" t="s">
        <v>947</v>
      </c>
      <c r="O117" s="104">
        <f t="shared" si="18"/>
        <v>420</v>
      </c>
    </row>
    <row r="118" spans="1:15" s="92" customFormat="1" x14ac:dyDescent="0.3">
      <c r="A118" s="113" t="s">
        <v>346</v>
      </c>
      <c r="B118" s="102">
        <v>44193</v>
      </c>
      <c r="C118" s="26" t="s">
        <v>619</v>
      </c>
      <c r="D118" s="32">
        <v>0</v>
      </c>
      <c r="E118" s="13">
        <v>155</v>
      </c>
      <c r="F118" s="50">
        <f t="shared" si="14"/>
        <v>0</v>
      </c>
      <c r="G118" s="103"/>
      <c r="H118" s="103"/>
      <c r="I118" s="104"/>
      <c r="J118" s="103"/>
      <c r="K118" s="103">
        <f>2+1+1+1+1+1+1+1</f>
        <v>9</v>
      </c>
      <c r="L118" s="103">
        <f t="shared" si="17"/>
        <v>-9</v>
      </c>
      <c r="M118" s="103"/>
      <c r="N118" s="103" t="s">
        <v>945</v>
      </c>
      <c r="O118" s="104">
        <f t="shared" si="18"/>
        <v>-1395</v>
      </c>
    </row>
    <row r="119" spans="1:15" s="92" customFormat="1" x14ac:dyDescent="0.3">
      <c r="A119" s="113" t="s">
        <v>347</v>
      </c>
      <c r="B119" s="102">
        <v>44777</v>
      </c>
      <c r="C119" s="26" t="s">
        <v>620</v>
      </c>
      <c r="D119" s="32">
        <v>90</v>
      </c>
      <c r="E119" s="13">
        <v>71.95</v>
      </c>
      <c r="F119" s="50">
        <f t="shared" si="14"/>
        <v>6475.5</v>
      </c>
      <c r="G119" s="103"/>
      <c r="H119" s="103"/>
      <c r="I119" s="104"/>
      <c r="J119" s="103"/>
      <c r="K119" s="103">
        <f>1+1+1+1+1+1+1+1+1+1+1+1+1+1+1+1+2+1+1+1+1+1+1+1+1+1+1+1+1+1+1+1+1+1</f>
        <v>35</v>
      </c>
      <c r="L119" s="103">
        <f t="shared" si="17"/>
        <v>55</v>
      </c>
      <c r="M119" s="103"/>
      <c r="N119" s="103" t="s">
        <v>945</v>
      </c>
      <c r="O119" s="104">
        <f t="shared" si="18"/>
        <v>3957.25</v>
      </c>
    </row>
    <row r="120" spans="1:15" s="8" customFormat="1" ht="15.75" x14ac:dyDescent="0.25">
      <c r="A120" s="113" t="s">
        <v>348</v>
      </c>
      <c r="B120" s="102">
        <v>44193</v>
      </c>
      <c r="C120" s="26" t="s">
        <v>626</v>
      </c>
      <c r="D120" s="32">
        <v>0</v>
      </c>
      <c r="E120" s="13">
        <v>190.68</v>
      </c>
      <c r="F120" s="50">
        <f t="shared" si="14"/>
        <v>0</v>
      </c>
      <c r="G120" s="103"/>
      <c r="H120" s="103"/>
      <c r="I120" s="104"/>
      <c r="J120" s="103"/>
      <c r="K120" s="103"/>
      <c r="L120" s="103">
        <f t="shared" si="17"/>
        <v>0</v>
      </c>
      <c r="M120" s="103"/>
      <c r="N120" s="103" t="s">
        <v>946</v>
      </c>
      <c r="O120" s="104">
        <f t="shared" si="18"/>
        <v>0</v>
      </c>
    </row>
    <row r="121" spans="1:15" s="92" customFormat="1" x14ac:dyDescent="0.3">
      <c r="A121" s="113" t="s">
        <v>349</v>
      </c>
      <c r="B121" s="102">
        <v>44678</v>
      </c>
      <c r="C121" s="26" t="s">
        <v>621</v>
      </c>
      <c r="D121" s="32">
        <v>1</v>
      </c>
      <c r="E121" s="13">
        <v>3800</v>
      </c>
      <c r="F121" s="50">
        <f t="shared" si="14"/>
        <v>3800</v>
      </c>
      <c r="G121" s="124">
        <v>44851</v>
      </c>
      <c r="H121" s="125">
        <v>20</v>
      </c>
      <c r="I121" s="126">
        <v>1187.08</v>
      </c>
      <c r="J121" s="127">
        <f>+H121*I121</f>
        <v>23741.599999999999</v>
      </c>
      <c r="K121" s="103"/>
      <c r="L121" s="103">
        <f t="shared" si="17"/>
        <v>21</v>
      </c>
      <c r="M121" s="103"/>
      <c r="N121" s="103" t="s">
        <v>945</v>
      </c>
      <c r="O121" s="104">
        <f>+I121*L121</f>
        <v>24928.68</v>
      </c>
    </row>
    <row r="122" spans="1:15" s="92" customFormat="1" x14ac:dyDescent="0.3">
      <c r="A122" s="113" t="s">
        <v>350</v>
      </c>
      <c r="B122" s="102">
        <v>44193</v>
      </c>
      <c r="C122" s="26" t="s">
        <v>622</v>
      </c>
      <c r="D122" s="32">
        <v>0</v>
      </c>
      <c r="E122" s="13">
        <v>1400</v>
      </c>
      <c r="F122" s="50">
        <f t="shared" si="14"/>
        <v>0</v>
      </c>
      <c r="G122" s="103"/>
      <c r="H122" s="103"/>
      <c r="I122" s="104"/>
      <c r="J122" s="103"/>
      <c r="K122" s="103"/>
      <c r="L122" s="103">
        <f t="shared" si="17"/>
        <v>0</v>
      </c>
      <c r="M122" s="103"/>
      <c r="N122" s="103" t="s">
        <v>945</v>
      </c>
      <c r="O122" s="104">
        <f>+E122*L122</f>
        <v>0</v>
      </c>
    </row>
    <row r="123" spans="1:15" s="92" customFormat="1" x14ac:dyDescent="0.3">
      <c r="A123" s="113" t="s">
        <v>351</v>
      </c>
      <c r="B123" s="102">
        <v>44456</v>
      </c>
      <c r="C123" s="26" t="s">
        <v>623</v>
      </c>
      <c r="D123" s="32">
        <v>13</v>
      </c>
      <c r="E123" s="13">
        <v>1099</v>
      </c>
      <c r="F123" s="50">
        <f t="shared" si="14"/>
        <v>14287</v>
      </c>
      <c r="G123" s="103"/>
      <c r="H123" s="103"/>
      <c r="I123" s="104"/>
      <c r="J123" s="103"/>
      <c r="K123" s="103">
        <v>1</v>
      </c>
      <c r="L123" s="103">
        <f t="shared" si="17"/>
        <v>12</v>
      </c>
      <c r="M123" s="103"/>
      <c r="N123" s="103" t="s">
        <v>945</v>
      </c>
      <c r="O123" s="104">
        <f t="shared" ref="O123:O138" si="19">+E123*L123</f>
        <v>13188</v>
      </c>
    </row>
    <row r="124" spans="1:15" s="92" customFormat="1" x14ac:dyDescent="0.3">
      <c r="A124" s="113" t="s">
        <v>352</v>
      </c>
      <c r="B124" s="102">
        <v>44456</v>
      </c>
      <c r="C124" s="26" t="s">
        <v>767</v>
      </c>
      <c r="D124" s="32">
        <v>18</v>
      </c>
      <c r="E124" s="13">
        <v>4000</v>
      </c>
      <c r="F124" s="50">
        <f t="shared" si="14"/>
        <v>72000</v>
      </c>
      <c r="G124" s="103"/>
      <c r="H124" s="103"/>
      <c r="I124" s="104"/>
      <c r="J124" s="103"/>
      <c r="K124" s="103">
        <f>4+4+3</f>
        <v>11</v>
      </c>
      <c r="L124" s="103">
        <f t="shared" si="17"/>
        <v>7</v>
      </c>
      <c r="M124" s="103"/>
      <c r="N124" s="103" t="s">
        <v>945</v>
      </c>
      <c r="O124" s="104">
        <f t="shared" si="19"/>
        <v>28000</v>
      </c>
    </row>
    <row r="125" spans="1:15" s="92" customFormat="1" x14ac:dyDescent="0.3">
      <c r="A125" s="113" t="s">
        <v>353</v>
      </c>
      <c r="B125" s="102">
        <v>44193</v>
      </c>
      <c r="C125" s="26" t="s">
        <v>625</v>
      </c>
      <c r="D125" s="32">
        <v>5</v>
      </c>
      <c r="E125" s="13">
        <v>1400</v>
      </c>
      <c r="F125" s="50">
        <f t="shared" si="14"/>
        <v>7000</v>
      </c>
      <c r="G125" s="103"/>
      <c r="H125" s="103"/>
      <c r="I125" s="104"/>
      <c r="J125" s="103"/>
      <c r="K125" s="103"/>
      <c r="L125" s="103">
        <f t="shared" si="17"/>
        <v>5</v>
      </c>
      <c r="M125" s="103"/>
      <c r="N125" s="103" t="s">
        <v>945</v>
      </c>
      <c r="O125" s="104">
        <f t="shared" si="19"/>
        <v>7000</v>
      </c>
    </row>
    <row r="126" spans="1:15" s="8" customFormat="1" ht="15.75" x14ac:dyDescent="0.25">
      <c r="A126" s="113" t="s">
        <v>354</v>
      </c>
      <c r="B126" s="106" t="s">
        <v>106</v>
      </c>
      <c r="C126" s="28" t="s">
        <v>627</v>
      </c>
      <c r="D126" s="49">
        <v>100</v>
      </c>
      <c r="E126" s="52">
        <v>28</v>
      </c>
      <c r="F126" s="50">
        <f t="shared" si="14"/>
        <v>2800</v>
      </c>
      <c r="G126" s="103"/>
      <c r="H126" s="103"/>
      <c r="I126" s="104"/>
      <c r="J126" s="103"/>
      <c r="K126" s="103"/>
      <c r="L126" s="103">
        <f t="shared" si="17"/>
        <v>100</v>
      </c>
      <c r="M126" s="103"/>
      <c r="N126" s="103" t="s">
        <v>947</v>
      </c>
      <c r="O126" s="104">
        <f t="shared" si="19"/>
        <v>2800</v>
      </c>
    </row>
    <row r="127" spans="1:15" s="8" customFormat="1" ht="15.75" x14ac:dyDescent="0.25">
      <c r="A127" s="113" t="s">
        <v>355</v>
      </c>
      <c r="B127" s="106" t="s">
        <v>114</v>
      </c>
      <c r="C127" s="26" t="s">
        <v>80</v>
      </c>
      <c r="D127" s="32">
        <v>0</v>
      </c>
      <c r="E127" s="51">
        <v>85</v>
      </c>
      <c r="F127" s="50">
        <f t="shared" si="14"/>
        <v>0</v>
      </c>
      <c r="G127" s="103"/>
      <c r="H127" s="103"/>
      <c r="I127" s="104"/>
      <c r="J127" s="103"/>
      <c r="K127" s="103"/>
      <c r="L127" s="103">
        <f t="shared" si="17"/>
        <v>0</v>
      </c>
      <c r="M127" s="103"/>
      <c r="N127" s="103" t="s">
        <v>946</v>
      </c>
      <c r="O127" s="104">
        <f t="shared" si="19"/>
        <v>0</v>
      </c>
    </row>
    <row r="128" spans="1:15" s="8" customFormat="1" ht="15.75" x14ac:dyDescent="0.25">
      <c r="A128" s="113" t="s">
        <v>356</v>
      </c>
      <c r="B128" s="102">
        <v>44193</v>
      </c>
      <c r="C128" s="9" t="s">
        <v>628</v>
      </c>
      <c r="D128" s="58">
        <v>1</v>
      </c>
      <c r="E128" s="13">
        <v>550</v>
      </c>
      <c r="F128" s="50">
        <f t="shared" si="14"/>
        <v>550</v>
      </c>
      <c r="G128" s="103"/>
      <c r="H128" s="103"/>
      <c r="I128" s="104"/>
      <c r="J128" s="103"/>
      <c r="K128" s="103"/>
      <c r="L128" s="103">
        <f t="shared" si="17"/>
        <v>1</v>
      </c>
      <c r="M128" s="103"/>
      <c r="N128" s="103" t="s">
        <v>946</v>
      </c>
      <c r="O128" s="104">
        <f t="shared" si="19"/>
        <v>550</v>
      </c>
    </row>
    <row r="129" spans="1:15" s="92" customFormat="1" x14ac:dyDescent="0.3">
      <c r="A129" s="113" t="s">
        <v>357</v>
      </c>
      <c r="B129" s="102">
        <v>44193</v>
      </c>
      <c r="C129" s="9" t="s">
        <v>629</v>
      </c>
      <c r="D129" s="48">
        <v>0</v>
      </c>
      <c r="E129" s="13">
        <v>60</v>
      </c>
      <c r="F129" s="50">
        <f t="shared" si="14"/>
        <v>0</v>
      </c>
      <c r="G129" s="103"/>
      <c r="H129" s="103"/>
      <c r="I129" s="104"/>
      <c r="J129" s="103"/>
      <c r="K129" s="103"/>
      <c r="L129" s="103">
        <f t="shared" si="17"/>
        <v>0</v>
      </c>
      <c r="M129" s="103"/>
      <c r="N129" s="103" t="s">
        <v>945</v>
      </c>
      <c r="O129" s="104">
        <f t="shared" si="19"/>
        <v>0</v>
      </c>
    </row>
    <row r="130" spans="1:15" s="92" customFormat="1" x14ac:dyDescent="0.3">
      <c r="A130" s="113" t="s">
        <v>358</v>
      </c>
      <c r="B130" s="102">
        <v>44656</v>
      </c>
      <c r="C130" s="25" t="s">
        <v>631</v>
      </c>
      <c r="D130" s="32">
        <v>40</v>
      </c>
      <c r="E130" s="13">
        <v>115.53</v>
      </c>
      <c r="F130" s="50">
        <f t="shared" si="14"/>
        <v>4621.2</v>
      </c>
      <c r="G130" s="103"/>
      <c r="H130" s="103"/>
      <c r="I130" s="104"/>
      <c r="J130" s="103"/>
      <c r="K130" s="103">
        <f>2+1+2+1+1+1+1</f>
        <v>9</v>
      </c>
      <c r="L130" s="103">
        <f t="shared" si="17"/>
        <v>31</v>
      </c>
      <c r="M130" s="103"/>
      <c r="N130" s="103" t="s">
        <v>945</v>
      </c>
      <c r="O130" s="104">
        <f t="shared" si="19"/>
        <v>3581.43</v>
      </c>
    </row>
    <row r="131" spans="1:15" s="92" customFormat="1" x14ac:dyDescent="0.3">
      <c r="A131" s="113" t="s">
        <v>359</v>
      </c>
      <c r="B131" s="102">
        <v>44656</v>
      </c>
      <c r="C131" s="26" t="s">
        <v>632</v>
      </c>
      <c r="D131" s="32">
        <v>12</v>
      </c>
      <c r="E131" s="13">
        <v>128.62</v>
      </c>
      <c r="F131" s="50">
        <f t="shared" si="14"/>
        <v>1543.44</v>
      </c>
      <c r="G131" s="103"/>
      <c r="H131" s="103"/>
      <c r="I131" s="104"/>
      <c r="J131" s="103"/>
      <c r="K131" s="103"/>
      <c r="L131" s="103">
        <f t="shared" si="17"/>
        <v>12</v>
      </c>
      <c r="M131" s="103"/>
      <c r="N131" s="103" t="s">
        <v>945</v>
      </c>
      <c r="O131" s="104">
        <f t="shared" si="19"/>
        <v>1543.44</v>
      </c>
    </row>
    <row r="132" spans="1:15" s="92" customFormat="1" x14ac:dyDescent="0.3">
      <c r="A132" s="113" t="s">
        <v>360</v>
      </c>
      <c r="B132" s="102">
        <v>44659</v>
      </c>
      <c r="C132" s="26" t="s">
        <v>633</v>
      </c>
      <c r="D132" s="14">
        <v>41</v>
      </c>
      <c r="E132" s="13">
        <v>325</v>
      </c>
      <c r="F132" s="50">
        <f t="shared" si="14"/>
        <v>13325</v>
      </c>
      <c r="G132" s="103"/>
      <c r="H132" s="103"/>
      <c r="I132" s="104"/>
      <c r="J132" s="103"/>
      <c r="K132" s="103"/>
      <c r="L132" s="103">
        <f t="shared" si="17"/>
        <v>41</v>
      </c>
      <c r="M132" s="103"/>
      <c r="N132" s="103" t="s">
        <v>945</v>
      </c>
      <c r="O132" s="104">
        <f>+E132*L132</f>
        <v>13325</v>
      </c>
    </row>
    <row r="133" spans="1:15" s="8" customFormat="1" ht="15.75" x14ac:dyDescent="0.25">
      <c r="A133" s="113" t="s">
        <v>361</v>
      </c>
      <c r="B133" s="102"/>
      <c r="C133" s="25" t="s">
        <v>861</v>
      </c>
      <c r="D133" s="38">
        <f>8+48</f>
        <v>56</v>
      </c>
      <c r="E133" s="13"/>
      <c r="F133" s="50">
        <f t="shared" ref="F133:F138" si="20">+D133*E133</f>
        <v>0</v>
      </c>
      <c r="G133" s="103"/>
      <c r="H133" s="103"/>
      <c r="I133" s="104"/>
      <c r="J133" s="103"/>
      <c r="K133" s="103"/>
      <c r="L133" s="103">
        <f t="shared" si="17"/>
        <v>56</v>
      </c>
      <c r="M133" s="103"/>
      <c r="N133" s="103" t="s">
        <v>947</v>
      </c>
      <c r="O133" s="104">
        <f t="shared" si="19"/>
        <v>0</v>
      </c>
    </row>
    <row r="134" spans="1:15" s="8" customFormat="1" ht="15.75" x14ac:dyDescent="0.25">
      <c r="A134" s="113" t="s">
        <v>362</v>
      </c>
      <c r="B134" s="102"/>
      <c r="C134" s="25" t="s">
        <v>862</v>
      </c>
      <c r="D134" s="38">
        <v>74</v>
      </c>
      <c r="E134" s="13"/>
      <c r="F134" s="50">
        <f t="shared" si="20"/>
        <v>0</v>
      </c>
      <c r="G134" s="103"/>
      <c r="H134" s="103"/>
      <c r="I134" s="104"/>
      <c r="J134" s="103"/>
      <c r="K134" s="103"/>
      <c r="L134" s="103">
        <f t="shared" si="17"/>
        <v>74</v>
      </c>
      <c r="M134" s="103"/>
      <c r="N134" s="103" t="s">
        <v>947</v>
      </c>
      <c r="O134" s="104">
        <f t="shared" si="19"/>
        <v>0</v>
      </c>
    </row>
    <row r="135" spans="1:15" s="8" customFormat="1" ht="15.75" x14ac:dyDescent="0.25">
      <c r="A135" s="113" t="s">
        <v>363</v>
      </c>
      <c r="B135" s="102"/>
      <c r="C135" s="25" t="s">
        <v>863</v>
      </c>
      <c r="D135" s="38">
        <f>79+33+106</f>
        <v>218</v>
      </c>
      <c r="E135" s="13"/>
      <c r="F135" s="50">
        <f t="shared" si="20"/>
        <v>0</v>
      </c>
      <c r="G135" s="103"/>
      <c r="H135" s="103"/>
      <c r="I135" s="104"/>
      <c r="J135" s="103"/>
      <c r="K135" s="103"/>
      <c r="L135" s="103">
        <f t="shared" si="17"/>
        <v>218</v>
      </c>
      <c r="M135" s="103"/>
      <c r="N135" s="103" t="s">
        <v>947</v>
      </c>
      <c r="O135" s="104">
        <f t="shared" si="19"/>
        <v>0</v>
      </c>
    </row>
    <row r="136" spans="1:15" s="8" customFormat="1" ht="15.75" x14ac:dyDescent="0.25">
      <c r="A136" s="113" t="s">
        <v>364</v>
      </c>
      <c r="B136" s="102"/>
      <c r="C136" s="25" t="s">
        <v>864</v>
      </c>
      <c r="D136" s="38">
        <v>46</v>
      </c>
      <c r="E136" s="13"/>
      <c r="F136" s="50">
        <f t="shared" si="20"/>
        <v>0</v>
      </c>
      <c r="G136" s="103"/>
      <c r="H136" s="103"/>
      <c r="I136" s="104"/>
      <c r="J136" s="103"/>
      <c r="K136" s="103"/>
      <c r="L136" s="103">
        <f t="shared" si="17"/>
        <v>46</v>
      </c>
      <c r="M136" s="103"/>
      <c r="N136" s="103" t="s">
        <v>947</v>
      </c>
      <c r="O136" s="104">
        <f t="shared" si="19"/>
        <v>0</v>
      </c>
    </row>
    <row r="137" spans="1:15" s="8" customFormat="1" ht="15.75" x14ac:dyDescent="0.25">
      <c r="A137" s="113" t="s">
        <v>365</v>
      </c>
      <c r="B137" s="102"/>
      <c r="C137" s="25" t="s">
        <v>865</v>
      </c>
      <c r="D137" s="38">
        <v>41</v>
      </c>
      <c r="E137" s="13"/>
      <c r="F137" s="50">
        <f t="shared" si="20"/>
        <v>0</v>
      </c>
      <c r="G137" s="103"/>
      <c r="H137" s="103"/>
      <c r="I137" s="104"/>
      <c r="J137" s="103"/>
      <c r="K137" s="103"/>
      <c r="L137" s="103">
        <f t="shared" si="17"/>
        <v>41</v>
      </c>
      <c r="M137" s="103"/>
      <c r="N137" s="103" t="s">
        <v>947</v>
      </c>
      <c r="O137" s="104">
        <f t="shared" si="19"/>
        <v>0</v>
      </c>
    </row>
    <row r="138" spans="1:15" s="8" customFormat="1" ht="15.75" x14ac:dyDescent="0.25">
      <c r="A138" s="113" t="s">
        <v>366</v>
      </c>
      <c r="B138" s="102"/>
      <c r="C138" s="25" t="s">
        <v>866</v>
      </c>
      <c r="D138" s="38">
        <f>34+1</f>
        <v>35</v>
      </c>
      <c r="E138" s="13"/>
      <c r="F138" s="50">
        <f t="shared" si="20"/>
        <v>0</v>
      </c>
      <c r="G138" s="103"/>
      <c r="H138" s="103"/>
      <c r="I138" s="104"/>
      <c r="J138" s="103"/>
      <c r="K138" s="103"/>
      <c r="L138" s="103">
        <f t="shared" si="17"/>
        <v>35</v>
      </c>
      <c r="M138" s="103"/>
      <c r="N138" s="103" t="s">
        <v>947</v>
      </c>
      <c r="O138" s="104">
        <f t="shared" si="19"/>
        <v>0</v>
      </c>
    </row>
    <row r="139" spans="1:15" s="92" customFormat="1" x14ac:dyDescent="0.3">
      <c r="A139" s="113" t="s">
        <v>367</v>
      </c>
      <c r="B139" s="106" t="s">
        <v>116</v>
      </c>
      <c r="C139" s="25" t="s">
        <v>719</v>
      </c>
      <c r="D139" s="32"/>
      <c r="E139" s="51">
        <v>529</v>
      </c>
      <c r="F139" s="50">
        <f>D139*E139</f>
        <v>0</v>
      </c>
      <c r="G139" s="107">
        <v>44748</v>
      </c>
      <c r="H139" s="104">
        <f>3*6</f>
        <v>18</v>
      </c>
      <c r="I139" s="104">
        <v>161.66666666666666</v>
      </c>
      <c r="J139" s="108">
        <f>+H139*I139</f>
        <v>2910</v>
      </c>
      <c r="K139" s="103">
        <f>12+3+2+1</f>
        <v>18</v>
      </c>
      <c r="L139" s="103">
        <f t="shared" si="17"/>
        <v>0</v>
      </c>
      <c r="M139" s="103"/>
      <c r="N139" s="103" t="s">
        <v>945</v>
      </c>
      <c r="O139" s="104">
        <f>+K139*I139</f>
        <v>2910</v>
      </c>
    </row>
    <row r="140" spans="1:15" s="8" customFormat="1" ht="15.75" x14ac:dyDescent="0.25">
      <c r="A140" s="113" t="s">
        <v>368</v>
      </c>
      <c r="B140" s="102">
        <v>44193</v>
      </c>
      <c r="C140" s="25" t="s">
        <v>813</v>
      </c>
      <c r="D140" s="32">
        <v>8</v>
      </c>
      <c r="E140" s="13">
        <v>1375</v>
      </c>
      <c r="F140" s="50">
        <f>D140*E140</f>
        <v>11000</v>
      </c>
      <c r="G140" s="103"/>
      <c r="H140" s="103"/>
      <c r="I140" s="104"/>
      <c r="J140" s="103"/>
      <c r="K140" s="103"/>
      <c r="L140" s="103">
        <f t="shared" si="17"/>
        <v>8</v>
      </c>
      <c r="M140" s="103"/>
      <c r="N140" s="103" t="s">
        <v>946</v>
      </c>
      <c r="O140" s="104">
        <f>+L140*E140</f>
        <v>11000</v>
      </c>
    </row>
    <row r="141" spans="1:15" s="8" customFormat="1" ht="15.75" x14ac:dyDescent="0.25">
      <c r="A141" s="113" t="s">
        <v>369</v>
      </c>
      <c r="B141" s="106" t="s">
        <v>114</v>
      </c>
      <c r="C141" s="25" t="s">
        <v>642</v>
      </c>
      <c r="D141" s="32">
        <v>8</v>
      </c>
      <c r="E141" s="13">
        <v>1375</v>
      </c>
      <c r="F141" s="50">
        <f>D141*E141</f>
        <v>11000</v>
      </c>
      <c r="G141" s="103"/>
      <c r="H141" s="103"/>
      <c r="I141" s="104"/>
      <c r="J141" s="103"/>
      <c r="K141" s="103"/>
      <c r="L141" s="103">
        <f t="shared" si="17"/>
        <v>8</v>
      </c>
      <c r="M141" s="103"/>
      <c r="N141" s="103" t="s">
        <v>946</v>
      </c>
      <c r="O141" s="104">
        <f t="shared" ref="O141:O160" si="21">+L141*E141</f>
        <v>11000</v>
      </c>
    </row>
    <row r="142" spans="1:15" s="8" customFormat="1" ht="15.75" x14ac:dyDescent="0.25">
      <c r="A142" s="113" t="s">
        <v>370</v>
      </c>
      <c r="B142" s="102"/>
      <c r="C142" s="25" t="s">
        <v>833</v>
      </c>
      <c r="D142" s="32">
        <v>7</v>
      </c>
      <c r="E142" s="13"/>
      <c r="F142" s="50"/>
      <c r="G142" s="103"/>
      <c r="H142" s="103"/>
      <c r="I142" s="104"/>
      <c r="J142" s="103"/>
      <c r="K142" s="103"/>
      <c r="L142" s="103">
        <f t="shared" si="17"/>
        <v>7</v>
      </c>
      <c r="M142" s="103"/>
      <c r="N142" s="103" t="s">
        <v>946</v>
      </c>
      <c r="O142" s="104">
        <f t="shared" si="21"/>
        <v>0</v>
      </c>
    </row>
    <row r="143" spans="1:15" s="8" customFormat="1" ht="15.75" x14ac:dyDescent="0.25">
      <c r="A143" s="113" t="s">
        <v>371</v>
      </c>
      <c r="B143" s="102">
        <v>44193</v>
      </c>
      <c r="C143" s="25" t="s">
        <v>643</v>
      </c>
      <c r="D143" s="32">
        <v>4</v>
      </c>
      <c r="E143" s="13">
        <v>1375</v>
      </c>
      <c r="F143" s="50">
        <f>D143*E143</f>
        <v>5500</v>
      </c>
      <c r="G143" s="103"/>
      <c r="H143" s="103"/>
      <c r="I143" s="104"/>
      <c r="J143" s="103"/>
      <c r="K143" s="103"/>
      <c r="L143" s="103">
        <f t="shared" si="17"/>
        <v>4</v>
      </c>
      <c r="M143" s="103"/>
      <c r="N143" s="103" t="s">
        <v>946</v>
      </c>
      <c r="O143" s="104">
        <f t="shared" si="21"/>
        <v>5500</v>
      </c>
    </row>
    <row r="144" spans="1:15" s="8" customFormat="1" ht="15.75" x14ac:dyDescent="0.25">
      <c r="A144" s="113" t="s">
        <v>372</v>
      </c>
      <c r="B144" s="106"/>
      <c r="C144" s="25" t="s">
        <v>816</v>
      </c>
      <c r="D144" s="32">
        <v>2</v>
      </c>
      <c r="E144" s="13"/>
      <c r="F144" s="50"/>
      <c r="G144" s="103"/>
      <c r="H144" s="103"/>
      <c r="I144" s="104"/>
      <c r="J144" s="103"/>
      <c r="K144" s="103"/>
      <c r="L144" s="103">
        <f t="shared" si="17"/>
        <v>2</v>
      </c>
      <c r="M144" s="103"/>
      <c r="N144" s="103" t="s">
        <v>946</v>
      </c>
      <c r="O144" s="104">
        <f t="shared" si="21"/>
        <v>0</v>
      </c>
    </row>
    <row r="145" spans="1:15" s="8" customFormat="1" ht="15.75" x14ac:dyDescent="0.25">
      <c r="A145" s="113" t="s">
        <v>373</v>
      </c>
      <c r="B145" s="102"/>
      <c r="C145" s="25" t="s">
        <v>829</v>
      </c>
      <c r="D145" s="32">
        <v>2</v>
      </c>
      <c r="E145" s="13"/>
      <c r="F145" s="50"/>
      <c r="G145" s="103"/>
      <c r="H145" s="103"/>
      <c r="I145" s="104"/>
      <c r="J145" s="103"/>
      <c r="K145" s="103"/>
      <c r="L145" s="103">
        <f t="shared" si="17"/>
        <v>2</v>
      </c>
      <c r="M145" s="103"/>
      <c r="N145" s="103" t="s">
        <v>946</v>
      </c>
      <c r="O145" s="104">
        <f t="shared" si="21"/>
        <v>0</v>
      </c>
    </row>
    <row r="146" spans="1:15" s="8" customFormat="1" ht="15.75" x14ac:dyDescent="0.25">
      <c r="A146" s="113" t="s">
        <v>374</v>
      </c>
      <c r="B146" s="106" t="s">
        <v>106</v>
      </c>
      <c r="C146" s="25" t="s">
        <v>635</v>
      </c>
      <c r="D146" s="32">
        <v>8</v>
      </c>
      <c r="E146" s="13">
        <v>1375</v>
      </c>
      <c r="F146" s="50">
        <f>D146*E146</f>
        <v>11000</v>
      </c>
      <c r="G146" s="103"/>
      <c r="H146" s="103"/>
      <c r="I146" s="104"/>
      <c r="J146" s="103"/>
      <c r="K146" s="103">
        <v>1</v>
      </c>
      <c r="L146" s="103">
        <f t="shared" si="17"/>
        <v>7</v>
      </c>
      <c r="M146" s="103"/>
      <c r="N146" s="103" t="s">
        <v>946</v>
      </c>
      <c r="O146" s="104">
        <f t="shared" si="21"/>
        <v>9625</v>
      </c>
    </row>
    <row r="147" spans="1:15" s="8" customFormat="1" ht="15.75" x14ac:dyDescent="0.25">
      <c r="A147" s="113" t="s">
        <v>375</v>
      </c>
      <c r="B147" s="106" t="s">
        <v>106</v>
      </c>
      <c r="C147" s="25" t="s">
        <v>636</v>
      </c>
      <c r="D147" s="55">
        <v>60</v>
      </c>
      <c r="E147" s="13">
        <v>1375</v>
      </c>
      <c r="F147" s="50">
        <f>D147*E147</f>
        <v>82500</v>
      </c>
      <c r="G147" s="103"/>
      <c r="H147" s="103"/>
      <c r="I147" s="104"/>
      <c r="J147" s="103"/>
      <c r="K147" s="103"/>
      <c r="L147" s="103">
        <f t="shared" si="17"/>
        <v>60</v>
      </c>
      <c r="M147" s="103"/>
      <c r="N147" s="103" t="s">
        <v>946</v>
      </c>
      <c r="O147" s="104">
        <f t="shared" si="21"/>
        <v>82500</v>
      </c>
    </row>
    <row r="148" spans="1:15" s="8" customFormat="1" ht="15.75" x14ac:dyDescent="0.25">
      <c r="A148" s="113" t="s">
        <v>376</v>
      </c>
      <c r="B148" s="102"/>
      <c r="C148" s="25" t="s">
        <v>831</v>
      </c>
      <c r="D148" s="32">
        <f>25+28</f>
        <v>53</v>
      </c>
      <c r="E148" s="13"/>
      <c r="F148" s="50"/>
      <c r="G148" s="103"/>
      <c r="H148" s="103"/>
      <c r="I148" s="104"/>
      <c r="J148" s="103"/>
      <c r="K148" s="103"/>
      <c r="L148" s="103">
        <f t="shared" si="17"/>
        <v>53</v>
      </c>
      <c r="M148" s="103"/>
      <c r="N148" s="103" t="s">
        <v>946</v>
      </c>
      <c r="O148" s="104">
        <f t="shared" si="21"/>
        <v>0</v>
      </c>
    </row>
    <row r="149" spans="1:15" s="8" customFormat="1" ht="15.75" x14ac:dyDescent="0.25">
      <c r="A149" s="113" t="s">
        <v>377</v>
      </c>
      <c r="B149" s="102"/>
      <c r="C149" s="25" t="s">
        <v>832</v>
      </c>
      <c r="D149" s="32">
        <v>5</v>
      </c>
      <c r="E149" s="13"/>
      <c r="F149" s="50"/>
      <c r="G149" s="103"/>
      <c r="H149" s="103"/>
      <c r="I149" s="104"/>
      <c r="J149" s="103"/>
      <c r="K149" s="103"/>
      <c r="L149" s="103">
        <f t="shared" si="17"/>
        <v>5</v>
      </c>
      <c r="M149" s="103"/>
      <c r="N149" s="103" t="s">
        <v>946</v>
      </c>
      <c r="O149" s="104">
        <f t="shared" si="21"/>
        <v>0</v>
      </c>
    </row>
    <row r="150" spans="1:15" s="8" customFormat="1" ht="15.75" x14ac:dyDescent="0.25">
      <c r="A150" s="113" t="s">
        <v>378</v>
      </c>
      <c r="B150" s="106" t="s">
        <v>106</v>
      </c>
      <c r="C150" s="25" t="s">
        <v>812</v>
      </c>
      <c r="D150" s="32">
        <v>3</v>
      </c>
      <c r="E150" s="13">
        <v>1180</v>
      </c>
      <c r="F150" s="50">
        <f>D150*E150</f>
        <v>3540</v>
      </c>
      <c r="G150" s="103"/>
      <c r="H150" s="103"/>
      <c r="I150" s="104"/>
      <c r="J150" s="103"/>
      <c r="K150" s="103"/>
      <c r="L150" s="103">
        <f t="shared" si="17"/>
        <v>3</v>
      </c>
      <c r="M150" s="103"/>
      <c r="N150" s="103" t="s">
        <v>946</v>
      </c>
      <c r="O150" s="104">
        <f t="shared" si="21"/>
        <v>3540</v>
      </c>
    </row>
    <row r="151" spans="1:15" s="8" customFormat="1" ht="15.75" x14ac:dyDescent="0.25">
      <c r="A151" s="113" t="s">
        <v>379</v>
      </c>
      <c r="B151" s="102">
        <v>44193</v>
      </c>
      <c r="C151" s="25" t="s">
        <v>637</v>
      </c>
      <c r="D151" s="55">
        <v>9</v>
      </c>
      <c r="E151" s="13">
        <v>1180</v>
      </c>
      <c r="F151" s="50">
        <f>D151*E151</f>
        <v>10620</v>
      </c>
      <c r="G151" s="103"/>
      <c r="H151" s="103"/>
      <c r="I151" s="104"/>
      <c r="J151" s="103"/>
      <c r="K151" s="103"/>
      <c r="L151" s="103">
        <f t="shared" si="17"/>
        <v>9</v>
      </c>
      <c r="M151" s="103"/>
      <c r="N151" s="103" t="s">
        <v>946</v>
      </c>
      <c r="O151" s="104">
        <f t="shared" si="21"/>
        <v>10620</v>
      </c>
    </row>
    <row r="152" spans="1:15" s="8" customFormat="1" ht="15.75" x14ac:dyDescent="0.25">
      <c r="A152" s="113" t="s">
        <v>380</v>
      </c>
      <c r="B152" s="102"/>
      <c r="C152" s="25" t="s">
        <v>834</v>
      </c>
      <c r="D152" s="32">
        <v>1</v>
      </c>
      <c r="E152" s="13"/>
      <c r="F152" s="50"/>
      <c r="G152" s="103"/>
      <c r="H152" s="103"/>
      <c r="I152" s="104"/>
      <c r="J152" s="103"/>
      <c r="K152" s="103"/>
      <c r="L152" s="103">
        <f t="shared" si="17"/>
        <v>1</v>
      </c>
      <c r="M152" s="103"/>
      <c r="N152" s="103" t="s">
        <v>946</v>
      </c>
      <c r="O152" s="104">
        <f t="shared" si="21"/>
        <v>0</v>
      </c>
    </row>
    <row r="153" spans="1:15" s="8" customFormat="1" ht="15.75" x14ac:dyDescent="0.25">
      <c r="A153" s="113" t="s">
        <v>381</v>
      </c>
      <c r="B153" s="106" t="s">
        <v>106</v>
      </c>
      <c r="C153" s="25" t="s">
        <v>639</v>
      </c>
      <c r="D153" s="32">
        <v>8</v>
      </c>
      <c r="E153" s="51">
        <v>1375</v>
      </c>
      <c r="F153" s="50">
        <f t="shared" ref="F153:F165" si="22">D153*E153</f>
        <v>11000</v>
      </c>
      <c r="G153" s="103"/>
      <c r="H153" s="103"/>
      <c r="I153" s="104"/>
      <c r="J153" s="103"/>
      <c r="K153" s="103"/>
      <c r="L153" s="103">
        <f t="shared" si="17"/>
        <v>8</v>
      </c>
      <c r="M153" s="103"/>
      <c r="N153" s="103" t="s">
        <v>946</v>
      </c>
      <c r="O153" s="104">
        <f t="shared" si="21"/>
        <v>11000</v>
      </c>
    </row>
    <row r="154" spans="1:15" s="8" customFormat="1" ht="15.75" x14ac:dyDescent="0.25">
      <c r="A154" s="113" t="s">
        <v>382</v>
      </c>
      <c r="B154" s="102">
        <v>44193</v>
      </c>
      <c r="C154" s="25" t="s">
        <v>638</v>
      </c>
      <c r="D154" s="32">
        <v>4</v>
      </c>
      <c r="E154" s="13">
        <v>1294.3699999999999</v>
      </c>
      <c r="F154" s="50">
        <f t="shared" si="22"/>
        <v>5177.4799999999996</v>
      </c>
      <c r="G154" s="103"/>
      <c r="H154" s="103"/>
      <c r="I154" s="104"/>
      <c r="J154" s="103"/>
      <c r="K154" s="103"/>
      <c r="L154" s="103">
        <f t="shared" si="17"/>
        <v>4</v>
      </c>
      <c r="M154" s="103"/>
      <c r="N154" s="103" t="s">
        <v>946</v>
      </c>
      <c r="O154" s="104">
        <f t="shared" si="21"/>
        <v>5177.4799999999996</v>
      </c>
    </row>
    <row r="155" spans="1:15" s="8" customFormat="1" ht="15.75" x14ac:dyDescent="0.25">
      <c r="A155" s="113" t="s">
        <v>383</v>
      </c>
      <c r="B155" s="106" t="s">
        <v>114</v>
      </c>
      <c r="C155" s="25" t="s">
        <v>640</v>
      </c>
      <c r="D155" s="32">
        <v>4</v>
      </c>
      <c r="E155" s="52">
        <v>2600</v>
      </c>
      <c r="F155" s="50">
        <f t="shared" si="22"/>
        <v>10400</v>
      </c>
      <c r="G155" s="103"/>
      <c r="H155" s="103"/>
      <c r="I155" s="104"/>
      <c r="J155" s="103"/>
      <c r="K155" s="103"/>
      <c r="L155" s="103">
        <f t="shared" si="17"/>
        <v>4</v>
      </c>
      <c r="M155" s="103"/>
      <c r="N155" s="103" t="s">
        <v>946</v>
      </c>
      <c r="O155" s="104">
        <f>+L155*E155</f>
        <v>10400</v>
      </c>
    </row>
    <row r="156" spans="1:15" s="8" customFormat="1" ht="15.75" x14ac:dyDescent="0.25">
      <c r="A156" s="113" t="s">
        <v>384</v>
      </c>
      <c r="B156" s="102">
        <v>44193</v>
      </c>
      <c r="C156" s="25" t="s">
        <v>830</v>
      </c>
      <c r="D156" s="32">
        <v>2</v>
      </c>
      <c r="E156" s="13">
        <v>2600</v>
      </c>
      <c r="F156" s="50">
        <f t="shared" si="22"/>
        <v>5200</v>
      </c>
      <c r="G156" s="103"/>
      <c r="H156" s="103"/>
      <c r="I156" s="104"/>
      <c r="J156" s="103"/>
      <c r="K156" s="103">
        <v>1</v>
      </c>
      <c r="L156" s="103">
        <f t="shared" si="17"/>
        <v>1</v>
      </c>
      <c r="M156" s="103"/>
      <c r="N156" s="103" t="s">
        <v>946</v>
      </c>
      <c r="O156" s="104">
        <f t="shared" si="21"/>
        <v>2600</v>
      </c>
    </row>
    <row r="157" spans="1:15" s="105" customFormat="1" ht="15.75" x14ac:dyDescent="0.25">
      <c r="A157" s="113" t="s">
        <v>385</v>
      </c>
      <c r="B157" s="102">
        <v>44193</v>
      </c>
      <c r="C157" s="9" t="s">
        <v>951</v>
      </c>
      <c r="D157" s="58">
        <v>46</v>
      </c>
      <c r="E157" s="13">
        <v>4.55</v>
      </c>
      <c r="F157" s="50">
        <f t="shared" si="22"/>
        <v>209.29999999999998</v>
      </c>
      <c r="G157" s="107">
        <v>44852</v>
      </c>
      <c r="H157" s="103">
        <f>10*100</f>
        <v>1000</v>
      </c>
      <c r="I157" s="104">
        <v>5.07</v>
      </c>
      <c r="J157" s="108">
        <f>+H157*I157</f>
        <v>5070</v>
      </c>
      <c r="K157" s="103">
        <f>12+100+15</f>
        <v>127</v>
      </c>
      <c r="L157" s="103">
        <f t="shared" si="17"/>
        <v>919</v>
      </c>
      <c r="M157" s="103" t="s">
        <v>1037</v>
      </c>
      <c r="N157" s="103" t="s">
        <v>947</v>
      </c>
      <c r="O157" s="104">
        <f>+L157*I157</f>
        <v>4659.33</v>
      </c>
    </row>
    <row r="158" spans="1:15" s="8" customFormat="1" ht="15.75" x14ac:dyDescent="0.25">
      <c r="A158" s="113" t="s">
        <v>386</v>
      </c>
      <c r="B158" s="102">
        <v>44193</v>
      </c>
      <c r="C158" s="9" t="s">
        <v>647</v>
      </c>
      <c r="D158" s="58">
        <v>15</v>
      </c>
      <c r="E158" s="13">
        <v>4.55</v>
      </c>
      <c r="F158" s="50">
        <f t="shared" si="22"/>
        <v>68.25</v>
      </c>
      <c r="G158" s="103"/>
      <c r="H158" s="103"/>
      <c r="I158" s="104"/>
      <c r="J158" s="103"/>
      <c r="K158" s="103"/>
      <c r="L158" s="103">
        <f t="shared" si="17"/>
        <v>15</v>
      </c>
      <c r="M158" s="103"/>
      <c r="N158" s="103" t="s">
        <v>947</v>
      </c>
      <c r="O158" s="104">
        <f t="shared" si="21"/>
        <v>68.25</v>
      </c>
    </row>
    <row r="159" spans="1:15" s="8" customFormat="1" ht="15.75" x14ac:dyDescent="0.25">
      <c r="A159" s="113" t="s">
        <v>387</v>
      </c>
      <c r="B159" s="102">
        <v>44193</v>
      </c>
      <c r="C159" s="26" t="s">
        <v>645</v>
      </c>
      <c r="D159" s="58">
        <v>820</v>
      </c>
      <c r="E159" s="13">
        <v>7.5</v>
      </c>
      <c r="F159" s="50">
        <f t="shared" si="22"/>
        <v>6150</v>
      </c>
      <c r="G159" s="103"/>
      <c r="H159" s="103"/>
      <c r="I159" s="104"/>
      <c r="J159" s="103"/>
      <c r="K159" s="103"/>
      <c r="L159" s="103">
        <f t="shared" si="17"/>
        <v>820</v>
      </c>
      <c r="M159" s="103"/>
      <c r="N159" s="103" t="s">
        <v>947</v>
      </c>
      <c r="O159" s="104">
        <f t="shared" si="21"/>
        <v>6150</v>
      </c>
    </row>
    <row r="160" spans="1:15" s="92" customFormat="1" x14ac:dyDescent="0.3">
      <c r="A160" s="113" t="s">
        <v>388</v>
      </c>
      <c r="B160" s="102">
        <v>44659</v>
      </c>
      <c r="C160" s="26" t="s">
        <v>854</v>
      </c>
      <c r="D160" s="30">
        <f>30*100</f>
        <v>3000</v>
      </c>
      <c r="E160" s="13">
        <v>3.4</v>
      </c>
      <c r="F160" s="50">
        <f t="shared" si="22"/>
        <v>10200</v>
      </c>
      <c r="G160" s="103"/>
      <c r="H160" s="103"/>
      <c r="I160" s="104"/>
      <c r="J160" s="103"/>
      <c r="K160" s="103"/>
      <c r="L160" s="103">
        <f t="shared" si="17"/>
        <v>3000</v>
      </c>
      <c r="M160" s="103"/>
      <c r="N160" s="103" t="s">
        <v>945</v>
      </c>
      <c r="O160" s="104">
        <f t="shared" si="21"/>
        <v>10200</v>
      </c>
    </row>
    <row r="161" spans="1:15" s="92" customFormat="1" x14ac:dyDescent="0.3">
      <c r="A161" s="113" t="s">
        <v>389</v>
      </c>
      <c r="B161" s="102">
        <v>44453</v>
      </c>
      <c r="C161" s="9" t="s">
        <v>648</v>
      </c>
      <c r="D161" s="30">
        <v>1100</v>
      </c>
      <c r="E161" s="13">
        <v>2.59</v>
      </c>
      <c r="F161" s="50">
        <f t="shared" si="22"/>
        <v>2849</v>
      </c>
      <c r="G161" s="107">
        <v>44778</v>
      </c>
      <c r="H161" s="109">
        <f>20*100</f>
        <v>2000</v>
      </c>
      <c r="I161" s="104">
        <f>3.4+0.612</f>
        <v>4.0119999999999996</v>
      </c>
      <c r="J161" s="108">
        <f>+H161*I161</f>
        <v>8023.9999999999991</v>
      </c>
      <c r="K161" s="103">
        <f>100+25+100</f>
        <v>225</v>
      </c>
      <c r="L161" s="103">
        <f t="shared" si="17"/>
        <v>2875</v>
      </c>
      <c r="M161" s="103" t="s">
        <v>943</v>
      </c>
      <c r="N161" s="103" t="s">
        <v>945</v>
      </c>
      <c r="O161" s="104">
        <f>+L161*I161</f>
        <v>11534.499999999998</v>
      </c>
    </row>
    <row r="162" spans="1:15" s="92" customFormat="1" x14ac:dyDescent="0.3">
      <c r="A162" s="113" t="s">
        <v>390</v>
      </c>
      <c r="B162" s="102">
        <v>44659</v>
      </c>
      <c r="C162" s="25" t="s">
        <v>855</v>
      </c>
      <c r="D162" s="38">
        <f>25*100</f>
        <v>2500</v>
      </c>
      <c r="E162" s="13">
        <v>4.3499999999999996</v>
      </c>
      <c r="F162" s="50">
        <f t="shared" si="22"/>
        <v>10875</v>
      </c>
      <c r="G162" s="107">
        <v>44778</v>
      </c>
      <c r="H162" s="109">
        <f>10*100</f>
        <v>1000</v>
      </c>
      <c r="I162" s="104">
        <v>4.8899999999999997</v>
      </c>
      <c r="J162" s="108">
        <f>+H162*I162</f>
        <v>4890</v>
      </c>
      <c r="K162" s="103"/>
      <c r="L162" s="103">
        <f t="shared" si="17"/>
        <v>3500</v>
      </c>
      <c r="M162" s="103" t="s">
        <v>943</v>
      </c>
      <c r="N162" s="103" t="s">
        <v>945</v>
      </c>
      <c r="O162" s="104">
        <f>+L162*I162</f>
        <v>17115</v>
      </c>
    </row>
    <row r="163" spans="1:15" s="92" customFormat="1" x14ac:dyDescent="0.3">
      <c r="A163" s="113" t="s">
        <v>391</v>
      </c>
      <c r="B163" s="102">
        <v>44659</v>
      </c>
      <c r="C163" s="25" t="s">
        <v>651</v>
      </c>
      <c r="D163" s="38">
        <f>60*100</f>
        <v>6000</v>
      </c>
      <c r="E163" s="13">
        <v>6.95</v>
      </c>
      <c r="F163" s="50">
        <f t="shared" si="22"/>
        <v>41700</v>
      </c>
      <c r="G163" s="103"/>
      <c r="H163" s="103"/>
      <c r="I163" s="104"/>
      <c r="J163" s="103"/>
      <c r="K163" s="103">
        <f>100+100</f>
        <v>200</v>
      </c>
      <c r="L163" s="103">
        <f t="shared" si="17"/>
        <v>5800</v>
      </c>
      <c r="M163" s="103"/>
      <c r="N163" s="103" t="s">
        <v>945</v>
      </c>
      <c r="O163" s="104">
        <f>+E163*L163</f>
        <v>40310</v>
      </c>
    </row>
    <row r="164" spans="1:15" s="92" customFormat="1" x14ac:dyDescent="0.3">
      <c r="A164" s="113" t="s">
        <v>392</v>
      </c>
      <c r="B164" s="102">
        <v>44659</v>
      </c>
      <c r="C164" s="25" t="s">
        <v>652</v>
      </c>
      <c r="D164" s="38">
        <f>30*100</f>
        <v>3000</v>
      </c>
      <c r="E164" s="13">
        <v>6.5</v>
      </c>
      <c r="F164" s="50">
        <f t="shared" si="22"/>
        <v>19500</v>
      </c>
      <c r="G164" s="103"/>
      <c r="H164" s="103"/>
      <c r="I164" s="104"/>
      <c r="J164" s="103"/>
      <c r="K164" s="103">
        <f>100+100+200</f>
        <v>400</v>
      </c>
      <c r="L164" s="103">
        <f t="shared" si="17"/>
        <v>2600</v>
      </c>
      <c r="M164" s="103"/>
      <c r="N164" s="103" t="s">
        <v>945</v>
      </c>
      <c r="O164" s="104">
        <f t="shared" ref="O164:O227" si="23">+E164*L164</f>
        <v>16900</v>
      </c>
    </row>
    <row r="165" spans="1:15" s="92" customFormat="1" x14ac:dyDescent="0.3">
      <c r="A165" s="113" t="s">
        <v>393</v>
      </c>
      <c r="B165" s="102">
        <v>44193</v>
      </c>
      <c r="C165" s="26" t="s">
        <v>786</v>
      </c>
      <c r="D165" s="32">
        <f>4+8</f>
        <v>12</v>
      </c>
      <c r="E165" s="13">
        <v>150</v>
      </c>
      <c r="F165" s="50">
        <f t="shared" si="22"/>
        <v>1800</v>
      </c>
      <c r="G165" s="103"/>
      <c r="H165" s="103"/>
      <c r="I165" s="104"/>
      <c r="J165" s="103"/>
      <c r="K165" s="103"/>
      <c r="L165" s="103">
        <f t="shared" si="17"/>
        <v>12</v>
      </c>
      <c r="M165" s="103"/>
      <c r="N165" s="103" t="s">
        <v>945</v>
      </c>
      <c r="O165" s="104">
        <f t="shared" si="23"/>
        <v>1800</v>
      </c>
    </row>
    <row r="166" spans="1:15" s="8" customFormat="1" ht="15.75" x14ac:dyDescent="0.25">
      <c r="A166" s="113" t="s">
        <v>394</v>
      </c>
      <c r="B166" s="102"/>
      <c r="C166" s="25" t="s">
        <v>827</v>
      </c>
      <c r="D166" s="38">
        <v>2</v>
      </c>
      <c r="E166" s="13"/>
      <c r="F166" s="50"/>
      <c r="G166" s="103"/>
      <c r="H166" s="103"/>
      <c r="I166" s="104"/>
      <c r="J166" s="103"/>
      <c r="K166" s="103"/>
      <c r="L166" s="103">
        <f t="shared" si="17"/>
        <v>2</v>
      </c>
      <c r="M166" s="103"/>
      <c r="N166" s="103" t="s">
        <v>946</v>
      </c>
      <c r="O166" s="104">
        <f t="shared" si="23"/>
        <v>0</v>
      </c>
    </row>
    <row r="167" spans="1:15" s="8" customFormat="1" ht="15.75" x14ac:dyDescent="0.25">
      <c r="A167" s="113" t="s">
        <v>395</v>
      </c>
      <c r="B167" s="102"/>
      <c r="C167" s="25" t="s">
        <v>828</v>
      </c>
      <c r="D167" s="38">
        <v>1</v>
      </c>
      <c r="E167" s="13"/>
      <c r="F167" s="50"/>
      <c r="G167" s="103"/>
      <c r="H167" s="103"/>
      <c r="I167" s="104"/>
      <c r="J167" s="103"/>
      <c r="K167" s="103"/>
      <c r="L167" s="103">
        <f t="shared" si="17"/>
        <v>1</v>
      </c>
      <c r="M167" s="103"/>
      <c r="N167" s="103" t="s">
        <v>946</v>
      </c>
      <c r="O167" s="104">
        <f t="shared" si="23"/>
        <v>0</v>
      </c>
    </row>
    <row r="168" spans="1:15" s="92" customFormat="1" x14ac:dyDescent="0.3">
      <c r="A168" s="113" t="s">
        <v>396</v>
      </c>
      <c r="B168" s="102">
        <v>44193</v>
      </c>
      <c r="C168" s="25" t="s">
        <v>653</v>
      </c>
      <c r="D168" s="38">
        <v>50</v>
      </c>
      <c r="E168" s="13">
        <v>575</v>
      </c>
      <c r="F168" s="50">
        <f t="shared" ref="F168:F198" si="24">D168*E168</f>
        <v>28750</v>
      </c>
      <c r="G168" s="103"/>
      <c r="H168" s="103"/>
      <c r="I168" s="104"/>
      <c r="J168" s="103"/>
      <c r="K168" s="103">
        <f>1+1</f>
        <v>2</v>
      </c>
      <c r="L168" s="103">
        <f t="shared" si="17"/>
        <v>48</v>
      </c>
      <c r="M168" s="103"/>
      <c r="N168" s="103" t="s">
        <v>945</v>
      </c>
      <c r="O168" s="104">
        <f t="shared" si="23"/>
        <v>27600</v>
      </c>
    </row>
    <row r="169" spans="1:15" s="105" customFormat="1" ht="15.75" x14ac:dyDescent="0.25">
      <c r="A169" s="113" t="s">
        <v>397</v>
      </c>
      <c r="B169" s="102">
        <v>44193</v>
      </c>
      <c r="C169" s="26" t="s">
        <v>655</v>
      </c>
      <c r="D169" s="32">
        <v>20</v>
      </c>
      <c r="E169" s="13">
        <v>25</v>
      </c>
      <c r="F169" s="50">
        <f t="shared" si="24"/>
        <v>500</v>
      </c>
      <c r="G169" s="107">
        <v>44851</v>
      </c>
      <c r="H169" s="103">
        <v>20</v>
      </c>
      <c r="I169" s="104">
        <v>8.08</v>
      </c>
      <c r="J169" s="103">
        <f>+I169*H169</f>
        <v>161.6</v>
      </c>
      <c r="K169" s="103">
        <v>3</v>
      </c>
      <c r="L169" s="103">
        <f t="shared" si="17"/>
        <v>37</v>
      </c>
      <c r="M169" s="103" t="s">
        <v>1037</v>
      </c>
      <c r="N169" s="103" t="s">
        <v>947</v>
      </c>
      <c r="O169" s="104">
        <f>+L169*I169</f>
        <v>298.95999999999998</v>
      </c>
    </row>
    <row r="170" spans="1:15" s="8" customFormat="1" ht="15.75" x14ac:dyDescent="0.25">
      <c r="A170" s="113" t="s">
        <v>398</v>
      </c>
      <c r="B170" s="102">
        <v>44193</v>
      </c>
      <c r="C170" s="9" t="s">
        <v>656</v>
      </c>
      <c r="D170" s="32">
        <v>15</v>
      </c>
      <c r="E170" s="13">
        <v>275</v>
      </c>
      <c r="F170" s="50">
        <f t="shared" si="24"/>
        <v>4125</v>
      </c>
      <c r="G170" s="103"/>
      <c r="H170" s="103"/>
      <c r="I170" s="104"/>
      <c r="J170" s="103"/>
      <c r="K170" s="103">
        <f>1+3</f>
        <v>4</v>
      </c>
      <c r="L170" s="103">
        <f t="shared" si="17"/>
        <v>11</v>
      </c>
      <c r="M170" s="103"/>
      <c r="N170" s="103" t="s">
        <v>947</v>
      </c>
      <c r="O170" s="104">
        <f t="shared" si="23"/>
        <v>3025</v>
      </c>
    </row>
    <row r="171" spans="1:15" s="8" customFormat="1" ht="15.75" x14ac:dyDescent="0.25">
      <c r="A171" s="113" t="s">
        <v>399</v>
      </c>
      <c r="B171" s="102">
        <v>44193</v>
      </c>
      <c r="C171" s="9" t="s">
        <v>658</v>
      </c>
      <c r="D171" s="30">
        <v>2</v>
      </c>
      <c r="E171" s="13">
        <v>50</v>
      </c>
      <c r="F171" s="50">
        <f t="shared" si="24"/>
        <v>100</v>
      </c>
      <c r="G171" s="103"/>
      <c r="H171" s="103"/>
      <c r="I171" s="104"/>
      <c r="J171" s="103"/>
      <c r="K171" s="103"/>
      <c r="L171" s="103">
        <f t="shared" si="17"/>
        <v>2</v>
      </c>
      <c r="M171" s="103"/>
      <c r="N171" s="103" t="s">
        <v>947</v>
      </c>
      <c r="O171" s="104">
        <f t="shared" si="23"/>
        <v>100</v>
      </c>
    </row>
    <row r="172" spans="1:15" s="8" customFormat="1" ht="15.75" x14ac:dyDescent="0.25">
      <c r="A172" s="113" t="s">
        <v>400</v>
      </c>
      <c r="B172" s="102">
        <v>44193</v>
      </c>
      <c r="C172" s="9" t="s">
        <v>657</v>
      </c>
      <c r="D172" s="30">
        <f>20+9</f>
        <v>29</v>
      </c>
      <c r="E172" s="13">
        <v>50</v>
      </c>
      <c r="F172" s="50">
        <f t="shared" si="24"/>
        <v>1450</v>
      </c>
      <c r="G172" s="103"/>
      <c r="H172" s="103"/>
      <c r="I172" s="104"/>
      <c r="J172" s="103"/>
      <c r="K172" s="103">
        <v>1</v>
      </c>
      <c r="L172" s="103">
        <f t="shared" si="17"/>
        <v>28</v>
      </c>
      <c r="M172" s="103"/>
      <c r="N172" s="103" t="s">
        <v>947</v>
      </c>
      <c r="O172" s="104">
        <f t="shared" si="23"/>
        <v>1400</v>
      </c>
    </row>
    <row r="173" spans="1:15" s="92" customFormat="1" x14ac:dyDescent="0.3">
      <c r="A173" s="113" t="s">
        <v>401</v>
      </c>
      <c r="B173" s="102">
        <v>44193</v>
      </c>
      <c r="C173" s="26" t="s">
        <v>660</v>
      </c>
      <c r="D173" s="30">
        <v>35</v>
      </c>
      <c r="E173" s="13">
        <v>7</v>
      </c>
      <c r="F173" s="50">
        <f t="shared" si="24"/>
        <v>245</v>
      </c>
      <c r="G173" s="103"/>
      <c r="H173" s="103"/>
      <c r="I173" s="104"/>
      <c r="J173" s="103"/>
      <c r="K173" s="103"/>
      <c r="L173" s="103">
        <f t="shared" si="17"/>
        <v>35</v>
      </c>
      <c r="M173" s="103"/>
      <c r="N173" s="103" t="s">
        <v>945</v>
      </c>
      <c r="O173" s="104">
        <f t="shared" si="23"/>
        <v>245</v>
      </c>
    </row>
    <row r="174" spans="1:15" s="92" customFormat="1" x14ac:dyDescent="0.3">
      <c r="A174" s="113" t="s">
        <v>402</v>
      </c>
      <c r="B174" s="102">
        <v>44193</v>
      </c>
      <c r="C174" s="26" t="s">
        <v>659</v>
      </c>
      <c r="D174" s="30">
        <v>34</v>
      </c>
      <c r="E174" s="13">
        <v>125</v>
      </c>
      <c r="F174" s="50">
        <f t="shared" si="24"/>
        <v>4250</v>
      </c>
      <c r="G174" s="103"/>
      <c r="H174" s="103"/>
      <c r="I174" s="104"/>
      <c r="J174" s="103"/>
      <c r="K174" s="103">
        <v>1</v>
      </c>
      <c r="L174" s="103">
        <f t="shared" si="17"/>
        <v>33</v>
      </c>
      <c r="M174" s="103"/>
      <c r="N174" s="103" t="s">
        <v>945</v>
      </c>
      <c r="O174" s="104">
        <f t="shared" si="23"/>
        <v>4125</v>
      </c>
    </row>
    <row r="175" spans="1:15" s="92" customFormat="1" x14ac:dyDescent="0.3">
      <c r="A175" s="113" t="s">
        <v>403</v>
      </c>
      <c r="B175" s="102">
        <v>44193</v>
      </c>
      <c r="C175" s="26" t="s">
        <v>661</v>
      </c>
      <c r="D175" s="30">
        <v>106</v>
      </c>
      <c r="E175" s="13">
        <v>7</v>
      </c>
      <c r="F175" s="50">
        <f t="shared" si="24"/>
        <v>742</v>
      </c>
      <c r="G175" s="103"/>
      <c r="H175" s="103"/>
      <c r="I175" s="104"/>
      <c r="J175" s="103"/>
      <c r="K175" s="103">
        <v>3</v>
      </c>
      <c r="L175" s="103">
        <f t="shared" si="17"/>
        <v>103</v>
      </c>
      <c r="M175" s="103"/>
      <c r="N175" s="103" t="s">
        <v>945</v>
      </c>
      <c r="O175" s="104">
        <f t="shared" si="23"/>
        <v>721</v>
      </c>
    </row>
    <row r="176" spans="1:15" s="92" customFormat="1" x14ac:dyDescent="0.3">
      <c r="A176" s="113" t="s">
        <v>404</v>
      </c>
      <c r="B176" s="102">
        <v>44456</v>
      </c>
      <c r="C176" s="26" t="s">
        <v>662</v>
      </c>
      <c r="D176" s="30">
        <v>27</v>
      </c>
      <c r="E176" s="13">
        <v>7</v>
      </c>
      <c r="F176" s="50">
        <f t="shared" si="24"/>
        <v>189</v>
      </c>
      <c r="G176" s="103"/>
      <c r="H176" s="103"/>
      <c r="I176" s="104"/>
      <c r="J176" s="103"/>
      <c r="K176" s="103"/>
      <c r="L176" s="103">
        <f t="shared" ref="L176:L239" si="25">+D176+H176-K176</f>
        <v>27</v>
      </c>
      <c r="M176" s="103"/>
      <c r="N176" s="103" t="s">
        <v>945</v>
      </c>
      <c r="O176" s="104">
        <f t="shared" si="23"/>
        <v>189</v>
      </c>
    </row>
    <row r="177" spans="1:15" s="8" customFormat="1" ht="15.75" x14ac:dyDescent="0.25">
      <c r="A177" s="113" t="s">
        <v>405</v>
      </c>
      <c r="B177" s="102">
        <v>44193</v>
      </c>
      <c r="C177" s="26" t="s">
        <v>800</v>
      </c>
      <c r="D177" s="32">
        <f>6+6</f>
        <v>12</v>
      </c>
      <c r="E177" s="13">
        <v>135</v>
      </c>
      <c r="F177" s="50">
        <f t="shared" si="24"/>
        <v>1620</v>
      </c>
      <c r="G177" s="103"/>
      <c r="H177" s="103"/>
      <c r="I177" s="104"/>
      <c r="J177" s="103"/>
      <c r="K177" s="103"/>
      <c r="L177" s="103">
        <f t="shared" si="25"/>
        <v>12</v>
      </c>
      <c r="M177" s="103"/>
      <c r="N177" s="103" t="s">
        <v>946</v>
      </c>
      <c r="O177" s="104">
        <f t="shared" si="23"/>
        <v>1620</v>
      </c>
    </row>
    <row r="178" spans="1:15" s="8" customFormat="1" ht="15.75" x14ac:dyDescent="0.25">
      <c r="A178" s="113" t="s">
        <v>406</v>
      </c>
      <c r="B178" s="102">
        <v>44193</v>
      </c>
      <c r="C178" s="26" t="s">
        <v>663</v>
      </c>
      <c r="D178" s="55">
        <v>42</v>
      </c>
      <c r="E178" s="13">
        <v>115</v>
      </c>
      <c r="F178" s="50">
        <f t="shared" si="24"/>
        <v>4830</v>
      </c>
      <c r="G178" s="103"/>
      <c r="H178" s="103"/>
      <c r="I178" s="104"/>
      <c r="J178" s="103"/>
      <c r="K178" s="103"/>
      <c r="L178" s="103">
        <f t="shared" si="25"/>
        <v>42</v>
      </c>
      <c r="M178" s="103"/>
      <c r="N178" s="103" t="s">
        <v>946</v>
      </c>
      <c r="O178" s="104">
        <f t="shared" si="23"/>
        <v>4830</v>
      </c>
    </row>
    <row r="179" spans="1:15" s="92" customFormat="1" x14ac:dyDescent="0.3">
      <c r="A179" s="113" t="s">
        <v>407</v>
      </c>
      <c r="B179" s="102">
        <v>44656</v>
      </c>
      <c r="C179" s="26" t="s">
        <v>768</v>
      </c>
      <c r="D179" s="32">
        <v>104</v>
      </c>
      <c r="E179" s="13">
        <v>636.6</v>
      </c>
      <c r="F179" s="50">
        <f t="shared" si="24"/>
        <v>66206.400000000009</v>
      </c>
      <c r="G179" s="103"/>
      <c r="H179" s="103"/>
      <c r="I179" s="104"/>
      <c r="J179" s="103"/>
      <c r="K179" s="103">
        <f>1+1+1+1+1+1+1+1+1</f>
        <v>9</v>
      </c>
      <c r="L179" s="103">
        <f t="shared" si="25"/>
        <v>95</v>
      </c>
      <c r="M179" s="103"/>
      <c r="N179" s="103" t="s">
        <v>945</v>
      </c>
      <c r="O179" s="104">
        <f t="shared" si="23"/>
        <v>60477</v>
      </c>
    </row>
    <row r="180" spans="1:15" s="92" customFormat="1" x14ac:dyDescent="0.3">
      <c r="A180" s="113" t="s">
        <v>408</v>
      </c>
      <c r="B180" s="102">
        <v>44656</v>
      </c>
      <c r="C180" s="25" t="s">
        <v>769</v>
      </c>
      <c r="D180" s="32">
        <v>74</v>
      </c>
      <c r="E180" s="13">
        <v>115.48</v>
      </c>
      <c r="F180" s="50">
        <f t="shared" si="24"/>
        <v>8545.52</v>
      </c>
      <c r="G180" s="103"/>
      <c r="H180" s="103"/>
      <c r="I180" s="104"/>
      <c r="J180" s="103"/>
      <c r="K180" s="103">
        <f>1+2+1+1+1+1+1+1+1+1+1+1+1+1</f>
        <v>15</v>
      </c>
      <c r="L180" s="103">
        <f t="shared" si="25"/>
        <v>59</v>
      </c>
      <c r="M180" s="103"/>
      <c r="N180" s="103" t="s">
        <v>945</v>
      </c>
      <c r="O180" s="104">
        <f t="shared" si="23"/>
        <v>6813.3200000000006</v>
      </c>
    </row>
    <row r="181" spans="1:15" s="8" customFormat="1" ht="15.75" x14ac:dyDescent="0.25">
      <c r="A181" s="113" t="s">
        <v>409</v>
      </c>
      <c r="B181" s="102">
        <v>44193</v>
      </c>
      <c r="C181" s="25" t="s">
        <v>796</v>
      </c>
      <c r="D181" s="38">
        <v>3</v>
      </c>
      <c r="E181" s="13">
        <v>352</v>
      </c>
      <c r="F181" s="50">
        <f t="shared" si="24"/>
        <v>1056</v>
      </c>
      <c r="G181" s="103"/>
      <c r="H181" s="103"/>
      <c r="I181" s="104"/>
      <c r="J181" s="103"/>
      <c r="K181" s="103"/>
      <c r="L181" s="103">
        <f t="shared" si="25"/>
        <v>3</v>
      </c>
      <c r="M181" s="103"/>
      <c r="N181" s="103" t="s">
        <v>946</v>
      </c>
      <c r="O181" s="104">
        <f>+E181*L181</f>
        <v>1056</v>
      </c>
    </row>
    <row r="182" spans="1:15" s="8" customFormat="1" ht="15.75" x14ac:dyDescent="0.25">
      <c r="A182" s="113" t="s">
        <v>410</v>
      </c>
      <c r="B182" s="102">
        <v>44193</v>
      </c>
      <c r="C182" s="25" t="s">
        <v>670</v>
      </c>
      <c r="D182" s="55">
        <f>38+19</f>
        <v>57</v>
      </c>
      <c r="E182" s="13">
        <v>67.8</v>
      </c>
      <c r="F182" s="50">
        <f t="shared" si="24"/>
        <v>3864.6</v>
      </c>
      <c r="G182" s="103"/>
      <c r="H182" s="103"/>
      <c r="I182" s="104"/>
      <c r="J182" s="103"/>
      <c r="K182" s="103"/>
      <c r="L182" s="103">
        <f t="shared" si="25"/>
        <v>57</v>
      </c>
      <c r="M182" s="103"/>
      <c r="N182" s="103" t="s">
        <v>946</v>
      </c>
      <c r="O182" s="104">
        <f t="shared" si="23"/>
        <v>3864.6</v>
      </c>
    </row>
    <row r="183" spans="1:15" s="8" customFormat="1" ht="15.75" x14ac:dyDescent="0.25">
      <c r="A183" s="113" t="s">
        <v>411</v>
      </c>
      <c r="B183" s="102">
        <v>44193</v>
      </c>
      <c r="C183" s="25" t="s">
        <v>671</v>
      </c>
      <c r="D183" s="55">
        <f>19+19</f>
        <v>38</v>
      </c>
      <c r="E183" s="13">
        <v>67.8</v>
      </c>
      <c r="F183" s="50">
        <f t="shared" si="24"/>
        <v>2576.4</v>
      </c>
      <c r="G183" s="103"/>
      <c r="H183" s="103"/>
      <c r="I183" s="104"/>
      <c r="J183" s="103"/>
      <c r="K183" s="103"/>
      <c r="L183" s="103">
        <f t="shared" si="25"/>
        <v>38</v>
      </c>
      <c r="M183" s="103"/>
      <c r="N183" s="103" t="s">
        <v>946</v>
      </c>
      <c r="O183" s="104">
        <f t="shared" si="23"/>
        <v>2576.4</v>
      </c>
    </row>
    <row r="184" spans="1:15" s="8" customFormat="1" ht="15.75" x14ac:dyDescent="0.25">
      <c r="A184" s="113" t="s">
        <v>412</v>
      </c>
      <c r="B184" s="102">
        <v>44193</v>
      </c>
      <c r="C184" s="25" t="s">
        <v>669</v>
      </c>
      <c r="D184" s="32">
        <v>0</v>
      </c>
      <c r="E184" s="13">
        <v>67.8</v>
      </c>
      <c r="F184" s="50">
        <f t="shared" si="24"/>
        <v>0</v>
      </c>
      <c r="G184" s="103"/>
      <c r="H184" s="103"/>
      <c r="I184" s="104"/>
      <c r="J184" s="103"/>
      <c r="K184" s="103"/>
      <c r="L184" s="103">
        <f t="shared" si="25"/>
        <v>0</v>
      </c>
      <c r="M184" s="103"/>
      <c r="N184" s="103" t="s">
        <v>946</v>
      </c>
      <c r="O184" s="104">
        <f t="shared" si="23"/>
        <v>0</v>
      </c>
    </row>
    <row r="185" spans="1:15" s="8" customFormat="1" ht="15.75" x14ac:dyDescent="0.25">
      <c r="A185" s="113" t="s">
        <v>413</v>
      </c>
      <c r="B185" s="102">
        <v>44193</v>
      </c>
      <c r="C185" s="9" t="s">
        <v>672</v>
      </c>
      <c r="D185" s="55">
        <v>50</v>
      </c>
      <c r="E185" s="13">
        <v>170.69</v>
      </c>
      <c r="F185" s="50">
        <f t="shared" si="24"/>
        <v>8534.5</v>
      </c>
      <c r="G185" s="103"/>
      <c r="H185" s="103"/>
      <c r="I185" s="104"/>
      <c r="J185" s="103"/>
      <c r="K185" s="103"/>
      <c r="L185" s="103">
        <f t="shared" si="25"/>
        <v>50</v>
      </c>
      <c r="M185" s="103"/>
      <c r="N185" s="103" t="s">
        <v>947</v>
      </c>
      <c r="O185" s="104">
        <f t="shared" si="23"/>
        <v>8534.5</v>
      </c>
    </row>
    <row r="186" spans="1:15" s="8" customFormat="1" ht="15.75" x14ac:dyDescent="0.25">
      <c r="A186" s="113" t="s">
        <v>414</v>
      </c>
      <c r="B186" s="102">
        <v>44193</v>
      </c>
      <c r="C186" s="9" t="s">
        <v>673</v>
      </c>
      <c r="D186" s="55">
        <v>1040</v>
      </c>
      <c r="E186" s="13">
        <v>170.69</v>
      </c>
      <c r="F186" s="50">
        <f t="shared" si="24"/>
        <v>177517.6</v>
      </c>
      <c r="G186" s="103"/>
      <c r="H186" s="103"/>
      <c r="I186" s="104"/>
      <c r="J186" s="103"/>
      <c r="K186" s="103"/>
      <c r="L186" s="103">
        <f t="shared" si="25"/>
        <v>1040</v>
      </c>
      <c r="M186" s="103"/>
      <c r="N186" s="103" t="s">
        <v>947</v>
      </c>
      <c r="O186" s="104">
        <f t="shared" si="23"/>
        <v>177517.6</v>
      </c>
    </row>
    <row r="187" spans="1:15" s="8" customFormat="1" ht="15.75" x14ac:dyDescent="0.25">
      <c r="A187" s="113" t="s">
        <v>415</v>
      </c>
      <c r="B187" s="102">
        <v>44193</v>
      </c>
      <c r="C187" s="9" t="s">
        <v>674</v>
      </c>
      <c r="D187" s="56">
        <v>1</v>
      </c>
      <c r="E187" s="13">
        <v>170.69</v>
      </c>
      <c r="F187" s="50">
        <f t="shared" si="24"/>
        <v>170.69</v>
      </c>
      <c r="G187" s="103"/>
      <c r="H187" s="103"/>
      <c r="I187" s="104"/>
      <c r="J187" s="103"/>
      <c r="K187" s="103"/>
      <c r="L187" s="103">
        <f t="shared" si="25"/>
        <v>1</v>
      </c>
      <c r="M187" s="103"/>
      <c r="N187" s="103" t="s">
        <v>947</v>
      </c>
      <c r="O187" s="104">
        <f t="shared" si="23"/>
        <v>170.69</v>
      </c>
    </row>
    <row r="188" spans="1:15" s="8" customFormat="1" ht="15.75" x14ac:dyDescent="0.25">
      <c r="A188" s="113" t="s">
        <v>416</v>
      </c>
      <c r="B188" s="102">
        <v>44193</v>
      </c>
      <c r="C188" s="9" t="s">
        <v>675</v>
      </c>
      <c r="D188" s="30">
        <v>300</v>
      </c>
      <c r="E188" s="13">
        <v>6.5</v>
      </c>
      <c r="F188" s="50">
        <f t="shared" si="24"/>
        <v>1950</v>
      </c>
      <c r="G188" s="103"/>
      <c r="H188" s="103"/>
      <c r="I188" s="104"/>
      <c r="J188" s="103"/>
      <c r="K188" s="103"/>
      <c r="L188" s="103">
        <f t="shared" si="25"/>
        <v>300</v>
      </c>
      <c r="M188" s="103"/>
      <c r="N188" s="103" t="s">
        <v>947</v>
      </c>
      <c r="O188" s="104">
        <f t="shared" si="23"/>
        <v>1950</v>
      </c>
    </row>
    <row r="189" spans="1:15" s="8" customFormat="1" ht="15.75" x14ac:dyDescent="0.25">
      <c r="A189" s="113" t="s">
        <v>417</v>
      </c>
      <c r="B189" s="102">
        <v>44193</v>
      </c>
      <c r="C189" s="9" t="s">
        <v>676</v>
      </c>
      <c r="D189" s="30">
        <v>2</v>
      </c>
      <c r="E189" s="13">
        <v>3.5</v>
      </c>
      <c r="F189" s="50">
        <f t="shared" si="24"/>
        <v>7</v>
      </c>
      <c r="G189" s="103"/>
      <c r="H189" s="103"/>
      <c r="I189" s="104"/>
      <c r="J189" s="103"/>
      <c r="K189" s="103"/>
      <c r="L189" s="103">
        <f t="shared" si="25"/>
        <v>2</v>
      </c>
      <c r="M189" s="103"/>
      <c r="N189" s="103" t="s">
        <v>947</v>
      </c>
      <c r="O189" s="104">
        <f t="shared" si="23"/>
        <v>7</v>
      </c>
    </row>
    <row r="190" spans="1:15" s="8" customFormat="1" ht="15.75" x14ac:dyDescent="0.25">
      <c r="A190" s="113" t="s">
        <v>418</v>
      </c>
      <c r="B190" s="102">
        <v>44193</v>
      </c>
      <c r="C190" s="26" t="s">
        <v>678</v>
      </c>
      <c r="D190" s="30">
        <v>5</v>
      </c>
      <c r="E190" s="13">
        <v>5000</v>
      </c>
      <c r="F190" s="50">
        <f t="shared" si="24"/>
        <v>25000</v>
      </c>
      <c r="G190" s="103"/>
      <c r="H190" s="103"/>
      <c r="I190" s="104"/>
      <c r="J190" s="103"/>
      <c r="K190" s="103"/>
      <c r="L190" s="103">
        <f t="shared" si="25"/>
        <v>5</v>
      </c>
      <c r="M190" s="103"/>
      <c r="N190" s="103" t="s">
        <v>946</v>
      </c>
      <c r="O190" s="104">
        <f t="shared" si="23"/>
        <v>25000</v>
      </c>
    </row>
    <row r="191" spans="1:15" s="8" customFormat="1" ht="15.75" x14ac:dyDescent="0.25">
      <c r="A191" s="113" t="s">
        <v>419</v>
      </c>
      <c r="B191" s="102">
        <v>44193</v>
      </c>
      <c r="C191" s="26" t="s">
        <v>677</v>
      </c>
      <c r="D191" s="30">
        <v>2</v>
      </c>
      <c r="E191" s="13">
        <v>10800</v>
      </c>
      <c r="F191" s="50">
        <f t="shared" si="24"/>
        <v>21600</v>
      </c>
      <c r="G191" s="103"/>
      <c r="H191" s="103"/>
      <c r="I191" s="104"/>
      <c r="J191" s="103"/>
      <c r="K191" s="103"/>
      <c r="L191" s="103">
        <f t="shared" si="25"/>
        <v>2</v>
      </c>
      <c r="M191" s="103"/>
      <c r="N191" s="103" t="s">
        <v>946</v>
      </c>
      <c r="O191" s="104">
        <f>+E191*L191</f>
        <v>21600</v>
      </c>
    </row>
    <row r="192" spans="1:15" s="8" customFormat="1" ht="15.75" x14ac:dyDescent="0.25">
      <c r="A192" s="113" t="s">
        <v>420</v>
      </c>
      <c r="B192" s="102">
        <v>44193</v>
      </c>
      <c r="C192" s="9" t="s">
        <v>679</v>
      </c>
      <c r="D192" s="38">
        <v>29</v>
      </c>
      <c r="E192" s="13">
        <v>33</v>
      </c>
      <c r="F192" s="50">
        <f t="shared" si="24"/>
        <v>957</v>
      </c>
      <c r="G192" s="103"/>
      <c r="H192" s="103"/>
      <c r="I192" s="104"/>
      <c r="J192" s="103"/>
      <c r="K192" s="103"/>
      <c r="L192" s="103">
        <f t="shared" si="25"/>
        <v>29</v>
      </c>
      <c r="M192" s="103"/>
      <c r="N192" s="103" t="s">
        <v>947</v>
      </c>
      <c r="O192" s="104">
        <f t="shared" si="23"/>
        <v>957</v>
      </c>
    </row>
    <row r="193" spans="1:15" s="8" customFormat="1" ht="15.75" x14ac:dyDescent="0.25">
      <c r="A193" s="113" t="s">
        <v>421</v>
      </c>
      <c r="B193" s="102">
        <v>44193</v>
      </c>
      <c r="C193" s="9" t="s">
        <v>1035</v>
      </c>
      <c r="D193" s="30">
        <f>8*12</f>
        <v>96</v>
      </c>
      <c r="E193" s="13">
        <v>15</v>
      </c>
      <c r="F193" s="50">
        <f t="shared" si="24"/>
        <v>1440</v>
      </c>
      <c r="G193" s="103"/>
      <c r="H193" s="103"/>
      <c r="I193" s="104"/>
      <c r="J193" s="103"/>
      <c r="K193" s="103">
        <v>12</v>
      </c>
      <c r="L193" s="103">
        <f t="shared" si="25"/>
        <v>84</v>
      </c>
      <c r="M193" s="103"/>
      <c r="N193" s="103" t="s">
        <v>947</v>
      </c>
      <c r="O193" s="104">
        <f>+L193*E193</f>
        <v>1260</v>
      </c>
    </row>
    <row r="194" spans="1:15" s="8" customFormat="1" ht="15.75" x14ac:dyDescent="0.25">
      <c r="A194" s="113" t="s">
        <v>422</v>
      </c>
      <c r="B194" s="102">
        <v>44547</v>
      </c>
      <c r="C194" s="9" t="s">
        <v>777</v>
      </c>
      <c r="D194" s="30">
        <v>27</v>
      </c>
      <c r="E194" s="13">
        <v>8.34</v>
      </c>
      <c r="F194" s="50">
        <f t="shared" si="24"/>
        <v>225.18</v>
      </c>
      <c r="G194" s="103"/>
      <c r="H194" s="103"/>
      <c r="I194" s="104"/>
      <c r="J194" s="103"/>
      <c r="K194" s="103"/>
      <c r="L194" s="103">
        <f t="shared" si="25"/>
        <v>27</v>
      </c>
      <c r="M194" s="103"/>
      <c r="N194" s="103" t="s">
        <v>947</v>
      </c>
      <c r="O194" s="104">
        <f t="shared" si="23"/>
        <v>225.18</v>
      </c>
    </row>
    <row r="195" spans="1:15" s="8" customFormat="1" ht="15.75" x14ac:dyDescent="0.25">
      <c r="A195" s="113" t="s">
        <v>423</v>
      </c>
      <c r="B195" s="102">
        <v>44193</v>
      </c>
      <c r="C195" s="9" t="s">
        <v>778</v>
      </c>
      <c r="D195" s="30">
        <v>12</v>
      </c>
      <c r="E195" s="13">
        <v>8.34</v>
      </c>
      <c r="F195" s="50">
        <f t="shared" si="24"/>
        <v>100.08</v>
      </c>
      <c r="G195" s="103"/>
      <c r="H195" s="103"/>
      <c r="I195" s="104"/>
      <c r="J195" s="103"/>
      <c r="K195" s="103"/>
      <c r="L195" s="103">
        <f t="shared" si="25"/>
        <v>12</v>
      </c>
      <c r="M195" s="103"/>
      <c r="N195" s="103" t="s">
        <v>947</v>
      </c>
      <c r="O195" s="104">
        <f t="shared" si="23"/>
        <v>100.08</v>
      </c>
    </row>
    <row r="196" spans="1:15" s="8" customFormat="1" ht="15.75" x14ac:dyDescent="0.25">
      <c r="A196" s="113" t="s">
        <v>424</v>
      </c>
      <c r="B196" s="102">
        <v>44193</v>
      </c>
      <c r="C196" s="9" t="s">
        <v>681</v>
      </c>
      <c r="D196" s="30">
        <v>139</v>
      </c>
      <c r="E196" s="13">
        <v>5.6</v>
      </c>
      <c r="F196" s="50">
        <f t="shared" si="24"/>
        <v>778.4</v>
      </c>
      <c r="G196" s="103"/>
      <c r="H196" s="103"/>
      <c r="I196" s="104"/>
      <c r="J196" s="103"/>
      <c r="K196" s="103"/>
      <c r="L196" s="103">
        <f t="shared" si="25"/>
        <v>139</v>
      </c>
      <c r="M196" s="103"/>
      <c r="N196" s="103" t="s">
        <v>947</v>
      </c>
      <c r="O196" s="104">
        <f>+E196*L196</f>
        <v>778.4</v>
      </c>
    </row>
    <row r="197" spans="1:15" s="92" customFormat="1" x14ac:dyDescent="0.3">
      <c r="A197" s="113" t="s">
        <v>425</v>
      </c>
      <c r="B197" s="102">
        <v>44193</v>
      </c>
      <c r="C197" s="9" t="s">
        <v>684</v>
      </c>
      <c r="D197" s="30">
        <v>79</v>
      </c>
      <c r="E197" s="13">
        <v>160</v>
      </c>
      <c r="F197" s="50">
        <f t="shared" si="24"/>
        <v>12640</v>
      </c>
      <c r="G197" s="103"/>
      <c r="H197" s="103"/>
      <c r="I197" s="104"/>
      <c r="J197" s="103"/>
      <c r="K197" s="103"/>
      <c r="L197" s="103">
        <f t="shared" si="25"/>
        <v>79</v>
      </c>
      <c r="M197" s="103"/>
      <c r="N197" s="103" t="s">
        <v>945</v>
      </c>
      <c r="O197" s="104">
        <f t="shared" si="23"/>
        <v>12640</v>
      </c>
    </row>
    <row r="198" spans="1:15" s="105" customFormat="1" ht="15.75" x14ac:dyDescent="0.25">
      <c r="A198" s="113" t="s">
        <v>426</v>
      </c>
      <c r="B198" s="102">
        <v>44193</v>
      </c>
      <c r="C198" s="9" t="s">
        <v>787</v>
      </c>
      <c r="D198" s="30">
        <v>11</v>
      </c>
      <c r="E198" s="13">
        <v>35</v>
      </c>
      <c r="F198" s="50">
        <f t="shared" si="24"/>
        <v>385</v>
      </c>
      <c r="G198" s="107">
        <v>44852</v>
      </c>
      <c r="H198" s="103">
        <v>30</v>
      </c>
      <c r="I198" s="104">
        <v>38.65</v>
      </c>
      <c r="J198" s="103">
        <f>+I198*H198</f>
        <v>1159.5</v>
      </c>
      <c r="K198" s="103"/>
      <c r="L198" s="103">
        <f t="shared" si="25"/>
        <v>41</v>
      </c>
      <c r="M198" s="103" t="s">
        <v>1037</v>
      </c>
      <c r="N198" s="103" t="s">
        <v>947</v>
      </c>
      <c r="O198" s="104">
        <f>+L198*I198</f>
        <v>1584.6499999999999</v>
      </c>
    </row>
    <row r="199" spans="1:15" s="8" customFormat="1" ht="15.75" x14ac:dyDescent="0.25">
      <c r="A199" s="113" t="s">
        <v>427</v>
      </c>
      <c r="B199" s="102"/>
      <c r="C199" s="25" t="s">
        <v>782</v>
      </c>
      <c r="D199" s="38">
        <v>38</v>
      </c>
      <c r="E199" s="13"/>
      <c r="F199" s="50"/>
      <c r="G199" s="103"/>
      <c r="H199" s="103"/>
      <c r="I199" s="104"/>
      <c r="J199" s="103"/>
      <c r="K199" s="103"/>
      <c r="L199" s="103">
        <f t="shared" si="25"/>
        <v>38</v>
      </c>
      <c r="M199" s="103"/>
      <c r="N199" s="103" t="s">
        <v>947</v>
      </c>
      <c r="O199" s="104">
        <f t="shared" si="23"/>
        <v>0</v>
      </c>
    </row>
    <row r="200" spans="1:15" s="105" customFormat="1" ht="15.75" x14ac:dyDescent="0.25">
      <c r="A200" s="113" t="s">
        <v>428</v>
      </c>
      <c r="B200" s="106" t="s">
        <v>106</v>
      </c>
      <c r="C200" s="9" t="s">
        <v>780</v>
      </c>
      <c r="D200" s="30">
        <v>2</v>
      </c>
      <c r="E200" s="51">
        <v>325</v>
      </c>
      <c r="F200" s="50">
        <f>D200*E200</f>
        <v>650</v>
      </c>
      <c r="G200" s="107">
        <v>44852</v>
      </c>
      <c r="H200" s="103">
        <v>10</v>
      </c>
      <c r="I200" s="104">
        <v>310.33999999999997</v>
      </c>
      <c r="J200" s="104">
        <f>+I200*H200</f>
        <v>3103.3999999999996</v>
      </c>
      <c r="K200" s="103"/>
      <c r="L200" s="103">
        <f t="shared" si="25"/>
        <v>12</v>
      </c>
      <c r="M200" s="103" t="s">
        <v>1037</v>
      </c>
      <c r="N200" s="103" t="s">
        <v>947</v>
      </c>
      <c r="O200" s="104">
        <f>+L200*I200</f>
        <v>3724.08</v>
      </c>
    </row>
    <row r="201" spans="1:15" s="8" customFormat="1" ht="15.75" x14ac:dyDescent="0.25">
      <c r="A201" s="113" t="s">
        <v>429</v>
      </c>
      <c r="B201" s="102"/>
      <c r="C201" s="25" t="s">
        <v>783</v>
      </c>
      <c r="D201" s="38">
        <v>15</v>
      </c>
      <c r="E201" s="13"/>
      <c r="F201" s="50"/>
      <c r="G201" s="103"/>
      <c r="H201" s="103"/>
      <c r="I201" s="104"/>
      <c r="J201" s="103"/>
      <c r="K201" s="103"/>
      <c r="L201" s="103">
        <f t="shared" si="25"/>
        <v>15</v>
      </c>
      <c r="M201" s="103"/>
      <c r="N201" s="103" t="s">
        <v>947</v>
      </c>
      <c r="O201" s="104">
        <f t="shared" si="23"/>
        <v>0</v>
      </c>
    </row>
    <row r="202" spans="1:15" s="8" customFormat="1" ht="15.75" x14ac:dyDescent="0.25">
      <c r="A202" s="113" t="s">
        <v>430</v>
      </c>
      <c r="B202" s="102">
        <v>44193</v>
      </c>
      <c r="C202" s="9" t="s">
        <v>687</v>
      </c>
      <c r="D202" s="32">
        <v>2</v>
      </c>
      <c r="E202" s="13">
        <v>175</v>
      </c>
      <c r="F202" s="50">
        <f t="shared" ref="F202:F260" si="26">D202*E202</f>
        <v>350</v>
      </c>
      <c r="G202" s="103"/>
      <c r="H202" s="103"/>
      <c r="I202" s="104"/>
      <c r="J202" s="103"/>
      <c r="K202" s="103"/>
      <c r="L202" s="103">
        <f t="shared" si="25"/>
        <v>2</v>
      </c>
      <c r="M202" s="103"/>
      <c r="N202" s="103" t="s">
        <v>947</v>
      </c>
      <c r="O202" s="104">
        <f t="shared" si="23"/>
        <v>350</v>
      </c>
    </row>
    <row r="203" spans="1:15" s="8" customFormat="1" ht="15.75" x14ac:dyDescent="0.25">
      <c r="A203" s="113" t="s">
        <v>431</v>
      </c>
      <c r="B203" s="102">
        <v>44193</v>
      </c>
      <c r="C203" s="26" t="s">
        <v>695</v>
      </c>
      <c r="D203" s="38">
        <v>1</v>
      </c>
      <c r="E203" s="13">
        <v>270.55</v>
      </c>
      <c r="F203" s="50">
        <f t="shared" si="26"/>
        <v>270.55</v>
      </c>
      <c r="G203" s="103"/>
      <c r="H203" s="103"/>
      <c r="I203" s="104"/>
      <c r="J203" s="103"/>
      <c r="K203" s="103"/>
      <c r="L203" s="103">
        <f t="shared" si="25"/>
        <v>1</v>
      </c>
      <c r="M203" s="103"/>
      <c r="N203" s="103" t="s">
        <v>946</v>
      </c>
      <c r="O203" s="104">
        <f t="shared" si="23"/>
        <v>270.55</v>
      </c>
    </row>
    <row r="204" spans="1:15" s="8" customFormat="1" ht="15.75" x14ac:dyDescent="0.25">
      <c r="A204" s="113" t="s">
        <v>432</v>
      </c>
      <c r="B204" s="102">
        <v>44193</v>
      </c>
      <c r="C204" s="25" t="s">
        <v>688</v>
      </c>
      <c r="D204" s="58">
        <v>3</v>
      </c>
      <c r="E204" s="13">
        <v>79.8</v>
      </c>
      <c r="F204" s="50">
        <f t="shared" si="26"/>
        <v>239.39999999999998</v>
      </c>
      <c r="G204" s="103"/>
      <c r="H204" s="103"/>
      <c r="I204" s="104"/>
      <c r="J204" s="103"/>
      <c r="K204" s="103"/>
      <c r="L204" s="103">
        <f t="shared" si="25"/>
        <v>3</v>
      </c>
      <c r="M204" s="103"/>
      <c r="N204" s="103" t="s">
        <v>946</v>
      </c>
      <c r="O204" s="104">
        <f t="shared" si="23"/>
        <v>239.39999999999998</v>
      </c>
    </row>
    <row r="205" spans="1:15" s="8" customFormat="1" ht="15.75" x14ac:dyDescent="0.25">
      <c r="A205" s="113" t="s">
        <v>433</v>
      </c>
      <c r="B205" s="102">
        <v>44193</v>
      </c>
      <c r="C205" s="25" t="s">
        <v>689</v>
      </c>
      <c r="D205" s="55">
        <v>7</v>
      </c>
      <c r="E205" s="13">
        <v>79.8</v>
      </c>
      <c r="F205" s="50">
        <f t="shared" si="26"/>
        <v>558.6</v>
      </c>
      <c r="G205" s="103"/>
      <c r="H205" s="103"/>
      <c r="I205" s="104"/>
      <c r="J205" s="103"/>
      <c r="K205" s="103"/>
      <c r="L205" s="103">
        <f t="shared" si="25"/>
        <v>7</v>
      </c>
      <c r="M205" s="103"/>
      <c r="N205" s="103" t="s">
        <v>946</v>
      </c>
      <c r="O205" s="104">
        <f t="shared" si="23"/>
        <v>558.6</v>
      </c>
    </row>
    <row r="206" spans="1:15" s="8" customFormat="1" ht="15.75" x14ac:dyDescent="0.25">
      <c r="A206" s="113" t="s">
        <v>434</v>
      </c>
      <c r="B206" s="102">
        <v>44193</v>
      </c>
      <c r="C206" s="25" t="s">
        <v>690</v>
      </c>
      <c r="D206" s="57">
        <v>7</v>
      </c>
      <c r="E206" s="13">
        <v>62.93</v>
      </c>
      <c r="F206" s="50">
        <f t="shared" si="26"/>
        <v>440.51</v>
      </c>
      <c r="G206" s="103"/>
      <c r="H206" s="103"/>
      <c r="I206" s="104"/>
      <c r="J206" s="103"/>
      <c r="K206" s="103"/>
      <c r="L206" s="103">
        <f t="shared" si="25"/>
        <v>7</v>
      </c>
      <c r="M206" s="103"/>
      <c r="N206" s="103" t="s">
        <v>946</v>
      </c>
      <c r="O206" s="104">
        <f t="shared" si="23"/>
        <v>440.51</v>
      </c>
    </row>
    <row r="207" spans="1:15" s="8" customFormat="1" ht="15.75" x14ac:dyDescent="0.25">
      <c r="A207" s="113" t="s">
        <v>435</v>
      </c>
      <c r="B207" s="102">
        <v>44193</v>
      </c>
      <c r="C207" s="26" t="s">
        <v>691</v>
      </c>
      <c r="D207" s="57">
        <v>21</v>
      </c>
      <c r="E207" s="13">
        <v>165</v>
      </c>
      <c r="F207" s="50">
        <f t="shared" si="26"/>
        <v>3465</v>
      </c>
      <c r="G207" s="103"/>
      <c r="H207" s="103"/>
      <c r="I207" s="104"/>
      <c r="J207" s="103"/>
      <c r="K207" s="103"/>
      <c r="L207" s="103">
        <f t="shared" si="25"/>
        <v>21</v>
      </c>
      <c r="M207" s="103"/>
      <c r="N207" s="103" t="s">
        <v>946</v>
      </c>
      <c r="O207" s="104">
        <f t="shared" si="23"/>
        <v>3465</v>
      </c>
    </row>
    <row r="208" spans="1:15" s="8" customFormat="1" ht="15.75" x14ac:dyDescent="0.25">
      <c r="A208" s="113" t="s">
        <v>436</v>
      </c>
      <c r="B208" s="102">
        <v>44193</v>
      </c>
      <c r="C208" s="26" t="s">
        <v>791</v>
      </c>
      <c r="D208" s="38">
        <v>18</v>
      </c>
      <c r="E208" s="13">
        <v>52</v>
      </c>
      <c r="F208" s="50">
        <f t="shared" si="26"/>
        <v>936</v>
      </c>
      <c r="G208" s="103"/>
      <c r="H208" s="103"/>
      <c r="I208" s="104"/>
      <c r="J208" s="103"/>
      <c r="K208" s="103"/>
      <c r="L208" s="103">
        <f t="shared" si="25"/>
        <v>18</v>
      </c>
      <c r="M208" s="103"/>
      <c r="N208" s="103" t="s">
        <v>946</v>
      </c>
      <c r="O208" s="104">
        <f t="shared" si="23"/>
        <v>936</v>
      </c>
    </row>
    <row r="209" spans="1:15" s="8" customFormat="1" ht="15.75" x14ac:dyDescent="0.25">
      <c r="A209" s="113" t="s">
        <v>437</v>
      </c>
      <c r="B209" s="102">
        <v>44193</v>
      </c>
      <c r="C209" s="26" t="s">
        <v>790</v>
      </c>
      <c r="D209" s="38">
        <v>11</v>
      </c>
      <c r="E209" s="13">
        <v>79.8</v>
      </c>
      <c r="F209" s="50">
        <f t="shared" si="26"/>
        <v>877.8</v>
      </c>
      <c r="G209" s="103"/>
      <c r="H209" s="103"/>
      <c r="I209" s="104"/>
      <c r="J209" s="103"/>
      <c r="K209" s="103"/>
      <c r="L209" s="103">
        <f t="shared" si="25"/>
        <v>11</v>
      </c>
      <c r="M209" s="103"/>
      <c r="N209" s="103" t="s">
        <v>946</v>
      </c>
      <c r="O209" s="104">
        <f>+E209*L209</f>
        <v>877.8</v>
      </c>
    </row>
    <row r="210" spans="1:15" s="8" customFormat="1" ht="15.75" x14ac:dyDescent="0.25">
      <c r="A210" s="113" t="s">
        <v>438</v>
      </c>
      <c r="B210" s="102">
        <v>44193</v>
      </c>
      <c r="C210" s="26" t="s">
        <v>693</v>
      </c>
      <c r="D210" s="38">
        <v>1</v>
      </c>
      <c r="E210" s="13">
        <v>2075</v>
      </c>
      <c r="F210" s="50">
        <f t="shared" si="26"/>
        <v>2075</v>
      </c>
      <c r="G210" s="103"/>
      <c r="H210" s="103"/>
      <c r="I210" s="104"/>
      <c r="J210" s="103"/>
      <c r="K210" s="103"/>
      <c r="L210" s="103">
        <f t="shared" si="25"/>
        <v>1</v>
      </c>
      <c r="M210" s="103"/>
      <c r="N210" s="103" t="s">
        <v>946</v>
      </c>
      <c r="O210" s="104">
        <f t="shared" si="23"/>
        <v>2075</v>
      </c>
    </row>
    <row r="211" spans="1:15" s="8" customFormat="1" ht="15.75" x14ac:dyDescent="0.25">
      <c r="A211" s="113" t="s">
        <v>439</v>
      </c>
      <c r="B211" s="102">
        <v>44193</v>
      </c>
      <c r="C211" s="26" t="s">
        <v>692</v>
      </c>
      <c r="D211" s="57">
        <v>18</v>
      </c>
      <c r="E211" s="13">
        <v>165</v>
      </c>
      <c r="F211" s="50">
        <f t="shared" si="26"/>
        <v>2970</v>
      </c>
      <c r="G211" s="103"/>
      <c r="H211" s="103"/>
      <c r="I211" s="104"/>
      <c r="J211" s="103"/>
      <c r="K211" s="103"/>
      <c r="L211" s="103">
        <f t="shared" si="25"/>
        <v>18</v>
      </c>
      <c r="M211" s="103"/>
      <c r="N211" s="103" t="s">
        <v>946</v>
      </c>
      <c r="O211" s="104">
        <f t="shared" si="23"/>
        <v>2970</v>
      </c>
    </row>
    <row r="212" spans="1:15" s="8" customFormat="1" ht="15.75" x14ac:dyDescent="0.25">
      <c r="A212" s="113" t="s">
        <v>440</v>
      </c>
      <c r="B212" s="102">
        <v>44193</v>
      </c>
      <c r="C212" s="26" t="s">
        <v>697</v>
      </c>
      <c r="D212" s="38">
        <v>20</v>
      </c>
      <c r="E212" s="13">
        <v>79.8</v>
      </c>
      <c r="F212" s="50">
        <f t="shared" si="26"/>
        <v>1596</v>
      </c>
      <c r="G212" s="103"/>
      <c r="H212" s="103"/>
      <c r="I212" s="104"/>
      <c r="J212" s="103"/>
      <c r="K212" s="103"/>
      <c r="L212" s="103">
        <f t="shared" si="25"/>
        <v>20</v>
      </c>
      <c r="M212" s="103"/>
      <c r="N212" s="103" t="s">
        <v>946</v>
      </c>
      <c r="O212" s="104">
        <f t="shared" si="23"/>
        <v>1596</v>
      </c>
    </row>
    <row r="213" spans="1:15" s="8" customFormat="1" ht="15.75" x14ac:dyDescent="0.25">
      <c r="A213" s="113" t="s">
        <v>441</v>
      </c>
      <c r="B213" s="102">
        <v>44193</v>
      </c>
      <c r="C213" s="26" t="s">
        <v>696</v>
      </c>
      <c r="D213" s="38">
        <v>9</v>
      </c>
      <c r="E213" s="13">
        <v>79.8</v>
      </c>
      <c r="F213" s="50">
        <f t="shared" si="26"/>
        <v>718.19999999999993</v>
      </c>
      <c r="G213" s="103"/>
      <c r="H213" s="103"/>
      <c r="I213" s="104"/>
      <c r="J213" s="103"/>
      <c r="K213" s="103"/>
      <c r="L213" s="103">
        <f t="shared" si="25"/>
        <v>9</v>
      </c>
      <c r="M213" s="103"/>
      <c r="N213" s="103" t="s">
        <v>946</v>
      </c>
      <c r="O213" s="104">
        <f t="shared" si="23"/>
        <v>718.19999999999993</v>
      </c>
    </row>
    <row r="214" spans="1:15" s="8" customFormat="1" ht="15.75" x14ac:dyDescent="0.25">
      <c r="A214" s="113" t="s">
        <v>442</v>
      </c>
      <c r="B214" s="102"/>
      <c r="C214" s="26" t="s">
        <v>808</v>
      </c>
      <c r="D214" s="38">
        <v>9</v>
      </c>
      <c r="E214" s="13">
        <v>352</v>
      </c>
      <c r="F214" s="50">
        <f t="shared" si="26"/>
        <v>3168</v>
      </c>
      <c r="G214" s="103"/>
      <c r="H214" s="103"/>
      <c r="I214" s="104"/>
      <c r="J214" s="103"/>
      <c r="K214" s="103"/>
      <c r="L214" s="103">
        <f t="shared" si="25"/>
        <v>9</v>
      </c>
      <c r="M214" s="103"/>
      <c r="N214" s="103" t="s">
        <v>946</v>
      </c>
      <c r="O214" s="104">
        <f t="shared" si="23"/>
        <v>3168</v>
      </c>
    </row>
    <row r="215" spans="1:15" s="92" customFormat="1" x14ac:dyDescent="0.3">
      <c r="A215" s="113" t="s">
        <v>443</v>
      </c>
      <c r="B215" s="102">
        <v>44456</v>
      </c>
      <c r="C215" s="26" t="s">
        <v>698</v>
      </c>
      <c r="D215" s="38">
        <v>3</v>
      </c>
      <c r="E215" s="13">
        <v>600</v>
      </c>
      <c r="F215" s="50">
        <f t="shared" si="26"/>
        <v>1800</v>
      </c>
      <c r="G215" s="103"/>
      <c r="H215" s="103"/>
      <c r="I215" s="104"/>
      <c r="J215" s="103"/>
      <c r="K215" s="103"/>
      <c r="L215" s="103">
        <f t="shared" si="25"/>
        <v>3</v>
      </c>
      <c r="M215" s="103"/>
      <c r="N215" s="103" t="s">
        <v>945</v>
      </c>
      <c r="O215" s="104">
        <f t="shared" si="23"/>
        <v>1800</v>
      </c>
    </row>
    <row r="216" spans="1:15" s="92" customFormat="1" x14ac:dyDescent="0.3">
      <c r="A216" s="113" t="s">
        <v>444</v>
      </c>
      <c r="B216" s="102">
        <v>44193</v>
      </c>
      <c r="C216" s="26" t="s">
        <v>699</v>
      </c>
      <c r="D216" s="38">
        <v>15</v>
      </c>
      <c r="E216" s="13">
        <v>140</v>
      </c>
      <c r="F216" s="50">
        <f t="shared" si="26"/>
        <v>2100</v>
      </c>
      <c r="G216" s="103"/>
      <c r="H216" s="103"/>
      <c r="I216" s="104"/>
      <c r="J216" s="103"/>
      <c r="K216" s="103"/>
      <c r="L216" s="103">
        <f t="shared" si="25"/>
        <v>15</v>
      </c>
      <c r="M216" s="103"/>
      <c r="N216" s="103" t="s">
        <v>945</v>
      </c>
      <c r="O216" s="104">
        <f t="shared" si="23"/>
        <v>2100</v>
      </c>
    </row>
    <row r="217" spans="1:15" s="8" customFormat="1" ht="15.75" x14ac:dyDescent="0.25">
      <c r="A217" s="113" t="s">
        <v>445</v>
      </c>
      <c r="B217" s="102">
        <v>44193</v>
      </c>
      <c r="C217" s="9" t="s">
        <v>706</v>
      </c>
      <c r="D217" s="48">
        <v>1</v>
      </c>
      <c r="E217" s="13">
        <v>5250</v>
      </c>
      <c r="F217" s="50">
        <f t="shared" si="26"/>
        <v>5250</v>
      </c>
      <c r="G217" s="103"/>
      <c r="H217" s="103"/>
      <c r="I217" s="104"/>
      <c r="J217" s="103"/>
      <c r="K217" s="103"/>
      <c r="L217" s="103">
        <f t="shared" si="25"/>
        <v>1</v>
      </c>
      <c r="M217" s="103"/>
      <c r="N217" s="103" t="s">
        <v>947</v>
      </c>
      <c r="O217" s="104">
        <f>+E217*L217</f>
        <v>5250</v>
      </c>
    </row>
    <row r="218" spans="1:15" s="8" customFormat="1" ht="15.75" x14ac:dyDescent="0.25">
      <c r="A218" s="113" t="s">
        <v>446</v>
      </c>
      <c r="B218" s="102">
        <v>44193</v>
      </c>
      <c r="C218" s="9" t="s">
        <v>700</v>
      </c>
      <c r="D218" s="48">
        <f>9+12+12+24</f>
        <v>57</v>
      </c>
      <c r="E218" s="13">
        <v>12.93</v>
      </c>
      <c r="F218" s="50">
        <f t="shared" si="26"/>
        <v>737.01</v>
      </c>
      <c r="G218" s="103"/>
      <c r="H218" s="103"/>
      <c r="I218" s="104"/>
      <c r="J218" s="103"/>
      <c r="K218" s="103"/>
      <c r="L218" s="103">
        <f t="shared" si="25"/>
        <v>57</v>
      </c>
      <c r="M218" s="103"/>
      <c r="N218" s="103" t="s">
        <v>947</v>
      </c>
      <c r="O218" s="104">
        <f t="shared" si="23"/>
        <v>737.01</v>
      </c>
    </row>
    <row r="219" spans="1:15" s="8" customFormat="1" ht="15.75" x14ac:dyDescent="0.25">
      <c r="A219" s="113" t="s">
        <v>447</v>
      </c>
      <c r="B219" s="102">
        <v>44193</v>
      </c>
      <c r="C219" s="9" t="s">
        <v>701</v>
      </c>
      <c r="D219" s="48">
        <f>16+12+12</f>
        <v>40</v>
      </c>
      <c r="E219" s="13">
        <v>14.37</v>
      </c>
      <c r="F219" s="50">
        <f t="shared" si="26"/>
        <v>574.79999999999995</v>
      </c>
      <c r="G219" s="103"/>
      <c r="H219" s="103"/>
      <c r="I219" s="104"/>
      <c r="J219" s="103"/>
      <c r="K219" s="103"/>
      <c r="L219" s="103">
        <f t="shared" si="25"/>
        <v>40</v>
      </c>
      <c r="M219" s="103"/>
      <c r="N219" s="103" t="s">
        <v>947</v>
      </c>
      <c r="O219" s="104">
        <f t="shared" si="23"/>
        <v>574.79999999999995</v>
      </c>
    </row>
    <row r="220" spans="1:15" s="8" customFormat="1" ht="15.75" x14ac:dyDescent="0.25">
      <c r="A220" s="113" t="s">
        <v>448</v>
      </c>
      <c r="B220" s="102">
        <v>44193</v>
      </c>
      <c r="C220" s="9" t="s">
        <v>702</v>
      </c>
      <c r="D220" s="48">
        <v>6</v>
      </c>
      <c r="E220" s="13">
        <v>35</v>
      </c>
      <c r="F220" s="50">
        <f t="shared" si="26"/>
        <v>210</v>
      </c>
      <c r="G220" s="103"/>
      <c r="H220" s="103"/>
      <c r="I220" s="104"/>
      <c r="J220" s="103"/>
      <c r="K220" s="103"/>
      <c r="L220" s="103">
        <f t="shared" si="25"/>
        <v>6</v>
      </c>
      <c r="M220" s="103"/>
      <c r="N220" s="103" t="s">
        <v>947</v>
      </c>
      <c r="O220" s="104">
        <f t="shared" si="23"/>
        <v>210</v>
      </c>
    </row>
    <row r="221" spans="1:15" s="8" customFormat="1" ht="15.75" x14ac:dyDescent="0.25">
      <c r="A221" s="113" t="s">
        <v>449</v>
      </c>
      <c r="B221" s="102">
        <v>44193</v>
      </c>
      <c r="C221" s="9" t="s">
        <v>703</v>
      </c>
      <c r="D221" s="48"/>
      <c r="E221" s="13">
        <v>30</v>
      </c>
      <c r="F221" s="50">
        <f t="shared" si="26"/>
        <v>0</v>
      </c>
      <c r="G221" s="103"/>
      <c r="H221" s="103"/>
      <c r="I221" s="104"/>
      <c r="J221" s="103"/>
      <c r="K221" s="103"/>
      <c r="L221" s="103">
        <f t="shared" si="25"/>
        <v>0</v>
      </c>
      <c r="M221" s="103"/>
      <c r="N221" s="103" t="s">
        <v>947</v>
      </c>
      <c r="O221" s="104">
        <f t="shared" si="23"/>
        <v>0</v>
      </c>
    </row>
    <row r="222" spans="1:15" s="8" customFormat="1" ht="15.75" x14ac:dyDescent="0.25">
      <c r="A222" s="113" t="s">
        <v>450</v>
      </c>
      <c r="B222" s="102">
        <v>44193</v>
      </c>
      <c r="C222" s="9" t="s">
        <v>704</v>
      </c>
      <c r="D222" s="48">
        <v>1300</v>
      </c>
      <c r="E222" s="13">
        <v>2.6</v>
      </c>
      <c r="F222" s="50">
        <f t="shared" si="26"/>
        <v>3380</v>
      </c>
      <c r="G222" s="103"/>
      <c r="H222" s="103"/>
      <c r="I222" s="104"/>
      <c r="J222" s="103"/>
      <c r="K222" s="103"/>
      <c r="L222" s="103">
        <f t="shared" si="25"/>
        <v>1300</v>
      </c>
      <c r="M222" s="103"/>
      <c r="N222" s="103" t="s">
        <v>947</v>
      </c>
      <c r="O222" s="104">
        <f t="shared" si="23"/>
        <v>3380</v>
      </c>
    </row>
    <row r="223" spans="1:15" s="8" customFormat="1" ht="15.75" x14ac:dyDescent="0.25">
      <c r="A223" s="113" t="s">
        <v>451</v>
      </c>
      <c r="B223" s="102">
        <v>44193</v>
      </c>
      <c r="C223" s="9" t="s">
        <v>705</v>
      </c>
      <c r="D223" s="48">
        <v>1</v>
      </c>
      <c r="E223" s="13">
        <v>728.81</v>
      </c>
      <c r="F223" s="50">
        <f t="shared" si="26"/>
        <v>728.81</v>
      </c>
      <c r="G223" s="103"/>
      <c r="H223" s="103"/>
      <c r="I223" s="104"/>
      <c r="J223" s="103"/>
      <c r="K223" s="103"/>
      <c r="L223" s="103">
        <f t="shared" si="25"/>
        <v>1</v>
      </c>
      <c r="M223" s="103"/>
      <c r="N223" s="103" t="s">
        <v>947</v>
      </c>
      <c r="O223" s="104">
        <f t="shared" si="23"/>
        <v>728.81</v>
      </c>
    </row>
    <row r="224" spans="1:15" s="8" customFormat="1" ht="15.75" x14ac:dyDescent="0.25">
      <c r="A224" s="113" t="s">
        <v>452</v>
      </c>
      <c r="B224" s="102">
        <v>44193</v>
      </c>
      <c r="C224" s="9" t="s">
        <v>709</v>
      </c>
      <c r="D224" s="58">
        <v>2</v>
      </c>
      <c r="E224" s="13">
        <v>350</v>
      </c>
      <c r="F224" s="50">
        <f t="shared" si="26"/>
        <v>700</v>
      </c>
      <c r="G224" s="103"/>
      <c r="H224" s="103"/>
      <c r="I224" s="104"/>
      <c r="J224" s="103"/>
      <c r="K224" s="103"/>
      <c r="L224" s="103">
        <f t="shared" si="25"/>
        <v>2</v>
      </c>
      <c r="M224" s="103"/>
      <c r="N224" s="103" t="s">
        <v>947</v>
      </c>
      <c r="O224" s="104">
        <f t="shared" si="23"/>
        <v>700</v>
      </c>
    </row>
    <row r="225" spans="1:15" s="8" customFormat="1" ht="15.75" x14ac:dyDescent="0.25">
      <c r="A225" s="113" t="s">
        <v>453</v>
      </c>
      <c r="B225" s="102">
        <v>44193</v>
      </c>
      <c r="C225" s="9" t="s">
        <v>707</v>
      </c>
      <c r="D225" s="48">
        <v>5</v>
      </c>
      <c r="E225" s="13">
        <v>595</v>
      </c>
      <c r="F225" s="50">
        <f t="shared" si="26"/>
        <v>2975</v>
      </c>
      <c r="G225" s="103"/>
      <c r="H225" s="103"/>
      <c r="I225" s="104"/>
      <c r="J225" s="103"/>
      <c r="K225" s="103"/>
      <c r="L225" s="103">
        <f t="shared" si="25"/>
        <v>5</v>
      </c>
      <c r="M225" s="103"/>
      <c r="N225" s="103" t="s">
        <v>947</v>
      </c>
      <c r="O225" s="104">
        <f t="shared" si="23"/>
        <v>2975</v>
      </c>
    </row>
    <row r="226" spans="1:15" s="8" customFormat="1" ht="15.75" x14ac:dyDescent="0.25">
      <c r="A226" s="113" t="s">
        <v>454</v>
      </c>
      <c r="B226" s="102">
        <v>44193</v>
      </c>
      <c r="C226" s="9" t="s">
        <v>868</v>
      </c>
      <c r="D226" s="48">
        <v>2</v>
      </c>
      <c r="E226" s="13">
        <v>300</v>
      </c>
      <c r="F226" s="50">
        <f t="shared" si="26"/>
        <v>600</v>
      </c>
      <c r="G226" s="103"/>
      <c r="H226" s="103"/>
      <c r="I226" s="104"/>
      <c r="J226" s="103"/>
      <c r="K226" s="103"/>
      <c r="L226" s="103">
        <f t="shared" si="25"/>
        <v>2</v>
      </c>
      <c r="M226" s="103"/>
      <c r="N226" s="103" t="s">
        <v>947</v>
      </c>
      <c r="O226" s="104">
        <f t="shared" si="23"/>
        <v>600</v>
      </c>
    </row>
    <row r="227" spans="1:15" s="8" customFormat="1" ht="15.75" x14ac:dyDescent="0.25">
      <c r="A227" s="113" t="s">
        <v>455</v>
      </c>
      <c r="B227" s="102">
        <v>44193</v>
      </c>
      <c r="C227" s="26" t="s">
        <v>710</v>
      </c>
      <c r="D227" s="32">
        <v>0</v>
      </c>
      <c r="E227" s="13">
        <v>3950</v>
      </c>
      <c r="F227" s="50">
        <f t="shared" si="26"/>
        <v>0</v>
      </c>
      <c r="G227" s="103"/>
      <c r="H227" s="103"/>
      <c r="I227" s="104"/>
      <c r="J227" s="103"/>
      <c r="K227" s="103"/>
      <c r="L227" s="103">
        <f t="shared" si="25"/>
        <v>0</v>
      </c>
      <c r="M227" s="103"/>
      <c r="N227" s="103" t="s">
        <v>947</v>
      </c>
      <c r="O227" s="104">
        <f t="shared" si="23"/>
        <v>0</v>
      </c>
    </row>
    <row r="228" spans="1:15" s="8" customFormat="1" ht="15.75" x14ac:dyDescent="0.25">
      <c r="A228" s="113" t="s">
        <v>456</v>
      </c>
      <c r="B228" s="106" t="s">
        <v>108</v>
      </c>
      <c r="C228" s="26" t="s">
        <v>714</v>
      </c>
      <c r="D228" s="55">
        <v>6</v>
      </c>
      <c r="E228" s="51">
        <v>11000</v>
      </c>
      <c r="F228" s="50">
        <f t="shared" si="26"/>
        <v>66000</v>
      </c>
      <c r="G228" s="103"/>
      <c r="H228" s="103"/>
      <c r="I228" s="104"/>
      <c r="J228" s="103"/>
      <c r="K228" s="103"/>
      <c r="L228" s="103">
        <f t="shared" si="25"/>
        <v>6</v>
      </c>
      <c r="M228" s="103"/>
      <c r="N228" s="103" t="s">
        <v>947</v>
      </c>
      <c r="O228" s="104">
        <f t="shared" ref="O228:O236" si="27">+E228*L228</f>
        <v>66000</v>
      </c>
    </row>
    <row r="229" spans="1:15" s="8" customFormat="1" ht="15.75" x14ac:dyDescent="0.25">
      <c r="A229" s="113" t="s">
        <v>457</v>
      </c>
      <c r="B229" s="102">
        <v>44652</v>
      </c>
      <c r="C229" s="26" t="s">
        <v>856</v>
      </c>
      <c r="D229" s="38">
        <v>5</v>
      </c>
      <c r="E229" s="59">
        <v>1700</v>
      </c>
      <c r="F229" s="50">
        <f t="shared" si="26"/>
        <v>8500</v>
      </c>
      <c r="G229" s="103"/>
      <c r="H229" s="103"/>
      <c r="I229" s="104"/>
      <c r="J229" s="103"/>
      <c r="K229" s="103"/>
      <c r="L229" s="103">
        <f t="shared" si="25"/>
        <v>5</v>
      </c>
      <c r="M229" s="103"/>
      <c r="N229" s="103" t="s">
        <v>946</v>
      </c>
      <c r="O229" s="104">
        <f t="shared" si="27"/>
        <v>8500</v>
      </c>
    </row>
    <row r="230" spans="1:15" s="8" customFormat="1" ht="15.75" x14ac:dyDescent="0.25">
      <c r="A230" s="113" t="s">
        <v>458</v>
      </c>
      <c r="B230" s="102">
        <v>44193</v>
      </c>
      <c r="C230" s="26" t="s">
        <v>712</v>
      </c>
      <c r="D230" s="32">
        <v>0</v>
      </c>
      <c r="E230" s="13">
        <v>148.31</v>
      </c>
      <c r="F230" s="50">
        <f t="shared" si="26"/>
        <v>0</v>
      </c>
      <c r="G230" s="103"/>
      <c r="H230" s="103"/>
      <c r="I230" s="104"/>
      <c r="J230" s="103"/>
      <c r="K230" s="103"/>
      <c r="L230" s="103">
        <f t="shared" si="25"/>
        <v>0</v>
      </c>
      <c r="M230" s="103"/>
      <c r="N230" s="103" t="s">
        <v>946</v>
      </c>
      <c r="O230" s="104">
        <f t="shared" si="27"/>
        <v>0</v>
      </c>
    </row>
    <row r="231" spans="1:15" s="8" customFormat="1" ht="15.75" x14ac:dyDescent="0.25">
      <c r="A231" s="113" t="s">
        <v>459</v>
      </c>
      <c r="B231" s="102">
        <v>44193</v>
      </c>
      <c r="C231" s="26" t="s">
        <v>713</v>
      </c>
      <c r="D231" s="32">
        <v>0</v>
      </c>
      <c r="E231" s="13">
        <v>122.88</v>
      </c>
      <c r="F231" s="50">
        <f t="shared" si="26"/>
        <v>0</v>
      </c>
      <c r="G231" s="103"/>
      <c r="H231" s="103"/>
      <c r="I231" s="104"/>
      <c r="J231" s="103"/>
      <c r="K231" s="103"/>
      <c r="L231" s="103">
        <f t="shared" si="25"/>
        <v>0</v>
      </c>
      <c r="M231" s="103"/>
      <c r="N231" s="103" t="s">
        <v>946</v>
      </c>
      <c r="O231" s="104">
        <f t="shared" si="27"/>
        <v>0</v>
      </c>
    </row>
    <row r="232" spans="1:15" s="8" customFormat="1" ht="15.75" x14ac:dyDescent="0.25">
      <c r="A232" s="113" t="s">
        <v>460</v>
      </c>
      <c r="B232" s="102">
        <v>44193</v>
      </c>
      <c r="C232" s="26" t="s">
        <v>847</v>
      </c>
      <c r="D232" s="32">
        <v>0</v>
      </c>
      <c r="E232" s="13">
        <v>0</v>
      </c>
      <c r="F232" s="50">
        <f t="shared" si="26"/>
        <v>0</v>
      </c>
      <c r="G232" s="103"/>
      <c r="H232" s="103"/>
      <c r="I232" s="104"/>
      <c r="J232" s="103"/>
      <c r="K232" s="103"/>
      <c r="L232" s="103">
        <f t="shared" si="25"/>
        <v>0</v>
      </c>
      <c r="M232" s="103"/>
      <c r="N232" s="103" t="s">
        <v>946</v>
      </c>
      <c r="O232" s="104">
        <f t="shared" si="27"/>
        <v>0</v>
      </c>
    </row>
    <row r="233" spans="1:15" s="8" customFormat="1" ht="15.75" x14ac:dyDescent="0.25">
      <c r="A233" s="113" t="s">
        <v>461</v>
      </c>
      <c r="B233" s="102">
        <v>44193</v>
      </c>
      <c r="C233" s="26" t="s">
        <v>711</v>
      </c>
      <c r="D233" s="32">
        <v>0</v>
      </c>
      <c r="E233" s="13">
        <v>237.29</v>
      </c>
      <c r="F233" s="50">
        <f t="shared" si="26"/>
        <v>0</v>
      </c>
      <c r="G233" s="124">
        <v>44851</v>
      </c>
      <c r="H233" s="125">
        <v>100</v>
      </c>
      <c r="I233" s="126">
        <v>156.35</v>
      </c>
      <c r="J233" s="127">
        <f>+H233*I233</f>
        <v>15635</v>
      </c>
      <c r="K233" s="125">
        <v>1</v>
      </c>
      <c r="L233" s="103">
        <f t="shared" si="25"/>
        <v>99</v>
      </c>
      <c r="M233" s="103"/>
      <c r="N233" s="103" t="s">
        <v>946</v>
      </c>
      <c r="O233" s="104">
        <f t="shared" si="27"/>
        <v>23491.71</v>
      </c>
    </row>
    <row r="234" spans="1:15" s="92" customFormat="1" x14ac:dyDescent="0.3">
      <c r="A234" s="113" t="s">
        <v>462</v>
      </c>
      <c r="B234" s="102">
        <v>44193</v>
      </c>
      <c r="C234" s="25" t="s">
        <v>716</v>
      </c>
      <c r="D234" s="32">
        <v>0</v>
      </c>
      <c r="E234" s="51">
        <v>82</v>
      </c>
      <c r="F234" s="50">
        <f t="shared" si="26"/>
        <v>0</v>
      </c>
      <c r="G234" s="125"/>
      <c r="H234" s="125"/>
      <c r="I234" s="126"/>
      <c r="J234" s="125"/>
      <c r="K234" s="125">
        <v>1</v>
      </c>
      <c r="L234" s="103">
        <f t="shared" si="25"/>
        <v>-1</v>
      </c>
      <c r="M234" s="103"/>
      <c r="N234" s="103" t="s">
        <v>945</v>
      </c>
      <c r="O234" s="104">
        <f t="shared" si="27"/>
        <v>-82</v>
      </c>
    </row>
    <row r="235" spans="1:15" s="92" customFormat="1" x14ac:dyDescent="0.3">
      <c r="A235" s="113" t="s">
        <v>463</v>
      </c>
      <c r="B235" s="102">
        <v>44193</v>
      </c>
      <c r="C235" s="25" t="s">
        <v>717</v>
      </c>
      <c r="D235" s="32">
        <v>0</v>
      </c>
      <c r="E235" s="51">
        <v>14.29</v>
      </c>
      <c r="F235" s="50">
        <f t="shared" si="26"/>
        <v>0</v>
      </c>
      <c r="G235" s="103"/>
      <c r="H235" s="103"/>
      <c r="I235" s="104"/>
      <c r="J235" s="103"/>
      <c r="K235" s="103"/>
      <c r="L235" s="103">
        <f t="shared" si="25"/>
        <v>0</v>
      </c>
      <c r="M235" s="103"/>
      <c r="N235" s="103" t="s">
        <v>945</v>
      </c>
      <c r="O235" s="104">
        <f t="shared" si="27"/>
        <v>0</v>
      </c>
    </row>
    <row r="236" spans="1:15" s="92" customFormat="1" x14ac:dyDescent="0.3">
      <c r="A236" s="113" t="s">
        <v>464</v>
      </c>
      <c r="B236" s="106" t="s">
        <v>770</v>
      </c>
      <c r="C236" s="25" t="s">
        <v>715</v>
      </c>
      <c r="D236" s="32">
        <v>6</v>
      </c>
      <c r="E236" s="51">
        <v>82</v>
      </c>
      <c r="F236" s="50">
        <f t="shared" si="26"/>
        <v>492</v>
      </c>
      <c r="G236" s="103"/>
      <c r="H236" s="103"/>
      <c r="I236" s="104"/>
      <c r="J236" s="103"/>
      <c r="K236" s="103"/>
      <c r="L236" s="103">
        <f t="shared" si="25"/>
        <v>6</v>
      </c>
      <c r="M236" s="103"/>
      <c r="N236" s="103" t="s">
        <v>945</v>
      </c>
      <c r="O236" s="104">
        <f t="shared" si="27"/>
        <v>492</v>
      </c>
    </row>
    <row r="237" spans="1:15" s="8" customFormat="1" ht="15.75" x14ac:dyDescent="0.25">
      <c r="A237" s="113" t="s">
        <v>465</v>
      </c>
      <c r="B237" s="106" t="s">
        <v>108</v>
      </c>
      <c r="C237" s="25" t="s">
        <v>718</v>
      </c>
      <c r="D237" s="32">
        <v>0</v>
      </c>
      <c r="E237" s="51">
        <v>6375</v>
      </c>
      <c r="F237" s="50">
        <f t="shared" si="26"/>
        <v>0</v>
      </c>
      <c r="G237" s="103"/>
      <c r="H237" s="103"/>
      <c r="I237" s="104"/>
      <c r="J237" s="103"/>
      <c r="K237" s="103">
        <v>1</v>
      </c>
      <c r="L237" s="103">
        <f t="shared" si="25"/>
        <v>-1</v>
      </c>
      <c r="M237" s="103"/>
      <c r="N237" s="103" t="s">
        <v>946</v>
      </c>
      <c r="O237" s="104">
        <f>+E237*L237</f>
        <v>-6375</v>
      </c>
    </row>
    <row r="238" spans="1:15" s="8" customFormat="1" ht="15.75" x14ac:dyDescent="0.25">
      <c r="A238" s="113" t="s">
        <v>466</v>
      </c>
      <c r="B238" s="102">
        <v>44193</v>
      </c>
      <c r="C238" s="9" t="s">
        <v>781</v>
      </c>
      <c r="D238" s="48">
        <v>2</v>
      </c>
      <c r="E238" s="13">
        <v>725</v>
      </c>
      <c r="F238" s="50">
        <f t="shared" si="26"/>
        <v>1450</v>
      </c>
      <c r="G238" s="103"/>
      <c r="H238" s="103"/>
      <c r="I238" s="104"/>
      <c r="J238" s="103"/>
      <c r="K238" s="103"/>
      <c r="L238" s="103">
        <f t="shared" si="25"/>
        <v>2</v>
      </c>
      <c r="M238" s="103"/>
      <c r="N238" s="103" t="s">
        <v>947</v>
      </c>
      <c r="O238" s="104">
        <f t="shared" ref="O238:O267" si="28">+L238*E238</f>
        <v>1450</v>
      </c>
    </row>
    <row r="239" spans="1:15" s="8" customFormat="1" ht="15.75" x14ac:dyDescent="0.25">
      <c r="A239" s="113" t="s">
        <v>467</v>
      </c>
      <c r="B239" s="102">
        <v>44193</v>
      </c>
      <c r="C239" s="9" t="s">
        <v>721</v>
      </c>
      <c r="D239" s="30">
        <v>40</v>
      </c>
      <c r="E239" s="13">
        <v>230</v>
      </c>
      <c r="F239" s="50">
        <f t="shared" si="26"/>
        <v>9200</v>
      </c>
      <c r="G239" s="107">
        <v>44852</v>
      </c>
      <c r="H239" s="103">
        <f>10*10</f>
        <v>100</v>
      </c>
      <c r="I239" s="104">
        <v>326.62</v>
      </c>
      <c r="J239" s="104">
        <f>+I239*H239</f>
        <v>32662</v>
      </c>
      <c r="K239" s="103">
        <f>6+1+1</f>
        <v>8</v>
      </c>
      <c r="L239" s="103">
        <f t="shared" si="25"/>
        <v>132</v>
      </c>
      <c r="M239" s="103" t="s">
        <v>1037</v>
      </c>
      <c r="N239" s="103" t="s">
        <v>947</v>
      </c>
      <c r="O239" s="104">
        <f>+L239*I239</f>
        <v>43113.840000000004</v>
      </c>
    </row>
    <row r="240" spans="1:15" s="8" customFormat="1" ht="15.75" x14ac:dyDescent="0.25">
      <c r="A240" s="113" t="s">
        <v>468</v>
      </c>
      <c r="B240" s="102">
        <v>44193</v>
      </c>
      <c r="C240" s="9" t="s">
        <v>722</v>
      </c>
      <c r="D240" s="48">
        <v>100</v>
      </c>
      <c r="E240" s="13">
        <v>2.25</v>
      </c>
      <c r="F240" s="50">
        <f t="shared" si="26"/>
        <v>225</v>
      </c>
      <c r="G240" s="103"/>
      <c r="H240" s="103"/>
      <c r="I240" s="104"/>
      <c r="J240" s="104">
        <f t="shared" ref="J240:J251" si="29">+I240*H240</f>
        <v>0</v>
      </c>
      <c r="K240" s="103">
        <v>5</v>
      </c>
      <c r="L240" s="103">
        <f t="shared" ref="L240:L303" si="30">+D240+H240-K240</f>
        <v>95</v>
      </c>
      <c r="M240" s="103"/>
      <c r="N240" s="103" t="s">
        <v>947</v>
      </c>
      <c r="O240" s="104">
        <f t="shared" si="28"/>
        <v>213.75</v>
      </c>
    </row>
    <row r="241" spans="1:15" s="105" customFormat="1" ht="15.75" x14ac:dyDescent="0.25">
      <c r="A241" s="113" t="s">
        <v>469</v>
      </c>
      <c r="B241" s="102">
        <v>44193</v>
      </c>
      <c r="C241" s="9" t="s">
        <v>1039</v>
      </c>
      <c r="D241" s="48">
        <v>7</v>
      </c>
      <c r="E241" s="13">
        <v>250</v>
      </c>
      <c r="F241" s="50">
        <f t="shared" si="26"/>
        <v>1750</v>
      </c>
      <c r="G241" s="107">
        <v>44852</v>
      </c>
      <c r="H241" s="103">
        <f>2*10</f>
        <v>20</v>
      </c>
      <c r="I241" s="104">
        <v>428.22</v>
      </c>
      <c r="J241" s="104">
        <f t="shared" si="29"/>
        <v>8564.4000000000015</v>
      </c>
      <c r="K241" s="103"/>
      <c r="L241" s="103">
        <f t="shared" si="30"/>
        <v>27</v>
      </c>
      <c r="M241" s="103" t="s">
        <v>1037</v>
      </c>
      <c r="N241" s="103" t="s">
        <v>947</v>
      </c>
      <c r="O241" s="104">
        <f>+L241*I241</f>
        <v>11561.94</v>
      </c>
    </row>
    <row r="242" spans="1:15" s="8" customFormat="1" ht="15.75" x14ac:dyDescent="0.25">
      <c r="A242" s="113" t="s">
        <v>470</v>
      </c>
      <c r="B242" s="102">
        <v>44193</v>
      </c>
      <c r="C242" s="9" t="s">
        <v>725</v>
      </c>
      <c r="D242" s="48">
        <v>61</v>
      </c>
      <c r="E242" s="13">
        <v>30</v>
      </c>
      <c r="F242" s="50">
        <f t="shared" si="26"/>
        <v>1830</v>
      </c>
      <c r="G242" s="107">
        <v>44852</v>
      </c>
      <c r="H242" s="103">
        <v>2</v>
      </c>
      <c r="I242" s="104">
        <v>21.69</v>
      </c>
      <c r="J242" s="104">
        <f t="shared" si="29"/>
        <v>43.38</v>
      </c>
      <c r="K242" s="103">
        <v>15</v>
      </c>
      <c r="L242" s="103">
        <f t="shared" si="30"/>
        <v>48</v>
      </c>
      <c r="M242" s="103" t="s">
        <v>1037</v>
      </c>
      <c r="N242" s="103" t="s">
        <v>947</v>
      </c>
      <c r="O242" s="104">
        <f>+L242*I242</f>
        <v>1041.1200000000001</v>
      </c>
    </row>
    <row r="243" spans="1:15" s="105" customFormat="1" ht="15.75" x14ac:dyDescent="0.25">
      <c r="A243" s="113" t="s">
        <v>466</v>
      </c>
      <c r="B243" s="102">
        <v>44193</v>
      </c>
      <c r="C243" s="9" t="s">
        <v>781</v>
      </c>
      <c r="D243" s="48">
        <v>2</v>
      </c>
      <c r="E243" s="13">
        <v>725</v>
      </c>
      <c r="F243" s="50">
        <f t="shared" si="26"/>
        <v>1450</v>
      </c>
      <c r="G243" s="107">
        <v>44851</v>
      </c>
      <c r="H243" s="103">
        <v>2</v>
      </c>
      <c r="I243" s="104">
        <v>857.86</v>
      </c>
      <c r="J243" s="103">
        <f>+I243*H243</f>
        <v>1715.72</v>
      </c>
      <c r="K243" s="103"/>
      <c r="L243" s="103">
        <f t="shared" si="30"/>
        <v>4</v>
      </c>
      <c r="M243" s="103" t="s">
        <v>1037</v>
      </c>
      <c r="N243" s="103" t="s">
        <v>947</v>
      </c>
      <c r="O243" s="104">
        <f>+L243*I243</f>
        <v>3431.44</v>
      </c>
    </row>
    <row r="244" spans="1:15" s="8" customFormat="1" ht="15.75" x14ac:dyDescent="0.25">
      <c r="A244" s="113" t="s">
        <v>472</v>
      </c>
      <c r="B244" s="102">
        <v>44652</v>
      </c>
      <c r="C244" s="9" t="s">
        <v>727</v>
      </c>
      <c r="D244" s="14">
        <v>190</v>
      </c>
      <c r="E244" s="13">
        <v>560</v>
      </c>
      <c r="F244" s="50">
        <f t="shared" si="26"/>
        <v>106400</v>
      </c>
      <c r="G244" s="107">
        <v>44778</v>
      </c>
      <c r="H244" s="103">
        <f>70*6</f>
        <v>420</v>
      </c>
      <c r="I244" s="104">
        <f>65254/H244</f>
        <v>155.36666666666667</v>
      </c>
      <c r="J244" s="104">
        <f t="shared" si="29"/>
        <v>65254</v>
      </c>
      <c r="K244" s="103">
        <f>4+4+4+2+4+3+6+6+3+12+4+4+3+6+1+2+4+5+18+24</f>
        <v>119</v>
      </c>
      <c r="L244" s="103">
        <f t="shared" si="30"/>
        <v>491</v>
      </c>
      <c r="M244" s="103" t="s">
        <v>943</v>
      </c>
      <c r="N244" s="103" t="s">
        <v>947</v>
      </c>
      <c r="O244" s="104">
        <f>+L244*I244</f>
        <v>76285.03333333334</v>
      </c>
    </row>
    <row r="245" spans="1:15" s="8" customFormat="1" ht="15.75" x14ac:dyDescent="0.25">
      <c r="A245" s="113" t="s">
        <v>473</v>
      </c>
      <c r="B245" s="106" t="s">
        <v>112</v>
      </c>
      <c r="C245" s="26" t="s">
        <v>752</v>
      </c>
      <c r="D245" s="38">
        <v>3</v>
      </c>
      <c r="E245" s="13">
        <v>135</v>
      </c>
      <c r="F245" s="50">
        <f t="shared" si="26"/>
        <v>405</v>
      </c>
      <c r="G245" s="103"/>
      <c r="H245" s="103"/>
      <c r="I245" s="104"/>
      <c r="J245" s="104">
        <f t="shared" si="29"/>
        <v>0</v>
      </c>
      <c r="K245" s="103"/>
      <c r="L245" s="103">
        <f t="shared" si="30"/>
        <v>3</v>
      </c>
      <c r="M245" s="103"/>
      <c r="N245" s="103" t="s">
        <v>947</v>
      </c>
      <c r="O245" s="104">
        <f t="shared" si="28"/>
        <v>405</v>
      </c>
    </row>
    <row r="246" spans="1:15" s="105" customFormat="1" ht="15.75" x14ac:dyDescent="0.25">
      <c r="A246" s="113" t="s">
        <v>507</v>
      </c>
      <c r="B246" s="102">
        <v>44193</v>
      </c>
      <c r="C246" s="9" t="s">
        <v>728</v>
      </c>
      <c r="D246" s="30">
        <v>0</v>
      </c>
      <c r="E246" s="13">
        <v>62.5</v>
      </c>
      <c r="F246" s="50">
        <f t="shared" si="26"/>
        <v>0</v>
      </c>
      <c r="G246" s="107">
        <v>44852</v>
      </c>
      <c r="H246" s="103">
        <v>5</v>
      </c>
      <c r="I246" s="104">
        <v>206.54</v>
      </c>
      <c r="J246" s="103">
        <f>+I246*H246</f>
        <v>1032.7</v>
      </c>
      <c r="K246" s="103">
        <v>1</v>
      </c>
      <c r="L246" s="103">
        <f t="shared" si="30"/>
        <v>4</v>
      </c>
      <c r="M246" s="103" t="s">
        <v>1037</v>
      </c>
      <c r="N246" s="103" t="s">
        <v>947</v>
      </c>
      <c r="O246" s="104">
        <f>+L246*I246</f>
        <v>826.16</v>
      </c>
    </row>
    <row r="247" spans="1:15" s="8" customFormat="1" ht="15.75" x14ac:dyDescent="0.25">
      <c r="A247" s="113" t="s">
        <v>508</v>
      </c>
      <c r="B247" s="102">
        <v>44193</v>
      </c>
      <c r="C247" s="9" t="s">
        <v>729</v>
      </c>
      <c r="D247" s="30">
        <v>226</v>
      </c>
      <c r="E247" s="13">
        <v>22.2</v>
      </c>
      <c r="F247" s="50">
        <f t="shared" si="26"/>
        <v>5017.2</v>
      </c>
      <c r="G247" s="103"/>
      <c r="H247" s="103"/>
      <c r="I247" s="104"/>
      <c r="J247" s="104">
        <f t="shared" si="29"/>
        <v>0</v>
      </c>
      <c r="K247" s="103"/>
      <c r="L247" s="103">
        <f t="shared" si="30"/>
        <v>226</v>
      </c>
      <c r="M247" s="103"/>
      <c r="N247" s="103" t="s">
        <v>947</v>
      </c>
      <c r="O247" s="104">
        <f t="shared" si="28"/>
        <v>5017.2</v>
      </c>
    </row>
    <row r="248" spans="1:15" s="8" customFormat="1" ht="15.75" x14ac:dyDescent="0.25">
      <c r="A248" s="113" t="s">
        <v>509</v>
      </c>
      <c r="B248" s="102">
        <v>44193</v>
      </c>
      <c r="C248" s="9" t="s">
        <v>730</v>
      </c>
      <c r="D248" s="30">
        <v>2</v>
      </c>
      <c r="E248" s="13">
        <v>375</v>
      </c>
      <c r="F248" s="50">
        <f t="shared" si="26"/>
        <v>750</v>
      </c>
      <c r="G248" s="107">
        <v>44610</v>
      </c>
      <c r="H248" s="103">
        <v>2</v>
      </c>
      <c r="I248" s="104">
        <v>284.99</v>
      </c>
      <c r="J248" s="104">
        <f t="shared" si="29"/>
        <v>569.98</v>
      </c>
      <c r="K248" s="103"/>
      <c r="L248" s="103">
        <f t="shared" si="30"/>
        <v>4</v>
      </c>
      <c r="M248" s="103" t="s">
        <v>1037</v>
      </c>
      <c r="N248" s="103" t="s">
        <v>947</v>
      </c>
      <c r="O248" s="104">
        <f>+L248*I248</f>
        <v>1139.96</v>
      </c>
    </row>
    <row r="249" spans="1:15" s="8" customFormat="1" ht="15.75" x14ac:dyDescent="0.25">
      <c r="A249" s="113" t="s">
        <v>869</v>
      </c>
      <c r="B249" s="102">
        <v>44193</v>
      </c>
      <c r="C249" s="25" t="s">
        <v>825</v>
      </c>
      <c r="D249" s="38">
        <v>11</v>
      </c>
      <c r="E249" s="13">
        <v>301</v>
      </c>
      <c r="F249" s="50">
        <f t="shared" si="26"/>
        <v>3311</v>
      </c>
      <c r="G249" s="103"/>
      <c r="H249" s="103"/>
      <c r="I249" s="104"/>
      <c r="J249" s="104">
        <f t="shared" si="29"/>
        <v>0</v>
      </c>
      <c r="K249" s="103"/>
      <c r="L249" s="103">
        <f t="shared" si="30"/>
        <v>11</v>
      </c>
      <c r="M249" s="103"/>
      <c r="N249" s="103" t="s">
        <v>947</v>
      </c>
      <c r="O249" s="104">
        <f t="shared" si="28"/>
        <v>3311</v>
      </c>
    </row>
    <row r="250" spans="1:15" s="92" customFormat="1" x14ac:dyDescent="0.3">
      <c r="A250" s="113" t="s">
        <v>512</v>
      </c>
      <c r="B250" s="106" t="s">
        <v>106</v>
      </c>
      <c r="C250" s="25" t="s">
        <v>731</v>
      </c>
      <c r="D250" s="30">
        <v>0</v>
      </c>
      <c r="E250" s="51">
        <v>171.6</v>
      </c>
      <c r="F250" s="50">
        <f t="shared" si="26"/>
        <v>0</v>
      </c>
      <c r="G250" s="103"/>
      <c r="H250" s="103"/>
      <c r="I250" s="104"/>
      <c r="J250" s="104">
        <f t="shared" si="29"/>
        <v>0</v>
      </c>
      <c r="K250" s="103">
        <f>3+3+3+6+3+3+3</f>
        <v>24</v>
      </c>
      <c r="L250" s="103">
        <f t="shared" si="30"/>
        <v>-24</v>
      </c>
      <c r="M250" s="103"/>
      <c r="N250" s="103" t="s">
        <v>945</v>
      </c>
      <c r="O250" s="104">
        <f t="shared" si="28"/>
        <v>-4118.3999999999996</v>
      </c>
    </row>
    <row r="251" spans="1:15" s="105" customFormat="1" ht="15.75" x14ac:dyDescent="0.25">
      <c r="A251" s="113" t="s">
        <v>870</v>
      </c>
      <c r="B251" s="102">
        <v>44193</v>
      </c>
      <c r="C251" s="9" t="s">
        <v>950</v>
      </c>
      <c r="D251" s="30">
        <v>12</v>
      </c>
      <c r="E251" s="13">
        <v>65</v>
      </c>
      <c r="F251" s="50">
        <f t="shared" si="26"/>
        <v>780</v>
      </c>
      <c r="G251" s="107">
        <v>44852</v>
      </c>
      <c r="H251" s="103">
        <v>32</v>
      </c>
      <c r="I251" s="104">
        <v>44.54</v>
      </c>
      <c r="J251" s="104">
        <f t="shared" si="29"/>
        <v>1425.28</v>
      </c>
      <c r="K251" s="103">
        <f>4+4</f>
        <v>8</v>
      </c>
      <c r="L251" s="103">
        <f t="shared" si="30"/>
        <v>36</v>
      </c>
      <c r="M251" s="103"/>
      <c r="N251" s="103" t="s">
        <v>945</v>
      </c>
      <c r="O251" s="104">
        <f>+L251*I251</f>
        <v>1603.44</v>
      </c>
    </row>
    <row r="252" spans="1:15" s="92" customFormat="1" x14ac:dyDescent="0.3">
      <c r="A252" s="113" t="s">
        <v>513</v>
      </c>
      <c r="B252" s="102">
        <v>44678</v>
      </c>
      <c r="C252" s="25" t="s">
        <v>853</v>
      </c>
      <c r="D252" s="56">
        <v>16</v>
      </c>
      <c r="E252" s="13">
        <v>3000</v>
      </c>
      <c r="F252" s="50">
        <f t="shared" si="26"/>
        <v>48000</v>
      </c>
      <c r="G252" s="103"/>
      <c r="H252" s="103"/>
      <c r="I252" s="104"/>
      <c r="J252" s="103"/>
      <c r="K252" s="103"/>
      <c r="L252" s="103">
        <f t="shared" si="30"/>
        <v>16</v>
      </c>
      <c r="M252" s="103"/>
      <c r="N252" s="103" t="s">
        <v>945</v>
      </c>
      <c r="O252" s="104">
        <f t="shared" si="28"/>
        <v>48000</v>
      </c>
    </row>
    <row r="253" spans="1:15" s="92" customFormat="1" x14ac:dyDescent="0.3">
      <c r="A253" s="113" t="s">
        <v>514</v>
      </c>
      <c r="B253" s="102">
        <v>44193</v>
      </c>
      <c r="C253" s="25" t="s">
        <v>734</v>
      </c>
      <c r="D253" s="38">
        <v>0</v>
      </c>
      <c r="E253" s="13">
        <v>1500</v>
      </c>
      <c r="F253" s="50">
        <f t="shared" si="26"/>
        <v>0</v>
      </c>
      <c r="G253" s="103"/>
      <c r="H253" s="103"/>
      <c r="I253" s="104"/>
      <c r="J253" s="103"/>
      <c r="K253" s="103"/>
      <c r="L253" s="103">
        <f t="shared" si="30"/>
        <v>0</v>
      </c>
      <c r="M253" s="103"/>
      <c r="N253" s="103" t="s">
        <v>945</v>
      </c>
      <c r="O253" s="104">
        <f t="shared" si="28"/>
        <v>0</v>
      </c>
    </row>
    <row r="254" spans="1:15" s="92" customFormat="1" x14ac:dyDescent="0.3">
      <c r="A254" s="113" t="s">
        <v>871</v>
      </c>
      <c r="B254" s="102">
        <v>44678</v>
      </c>
      <c r="C254" s="25" t="s">
        <v>852</v>
      </c>
      <c r="D254" s="57">
        <v>11</v>
      </c>
      <c r="E254" s="13">
        <v>1500</v>
      </c>
      <c r="F254" s="50">
        <f t="shared" si="26"/>
        <v>16500</v>
      </c>
      <c r="G254" s="103"/>
      <c r="H254" s="103"/>
      <c r="I254" s="104"/>
      <c r="J254" s="103"/>
      <c r="K254" s="103"/>
      <c r="L254" s="103">
        <f t="shared" si="30"/>
        <v>11</v>
      </c>
      <c r="M254" s="103"/>
      <c r="N254" s="103" t="s">
        <v>945</v>
      </c>
      <c r="O254" s="104">
        <f t="shared" si="28"/>
        <v>16500</v>
      </c>
    </row>
    <row r="255" spans="1:15" s="92" customFormat="1" x14ac:dyDescent="0.3">
      <c r="A255" s="113" t="s">
        <v>872</v>
      </c>
      <c r="B255" s="102">
        <v>44678</v>
      </c>
      <c r="C255" s="25" t="s">
        <v>735</v>
      </c>
      <c r="D255" s="57">
        <v>3</v>
      </c>
      <c r="E255" s="13">
        <v>3800</v>
      </c>
      <c r="F255" s="50">
        <f t="shared" si="26"/>
        <v>11400</v>
      </c>
      <c r="G255" s="103"/>
      <c r="H255" s="103"/>
      <c r="I255" s="104"/>
      <c r="J255" s="103"/>
      <c r="K255" s="103"/>
      <c r="L255" s="103">
        <f t="shared" si="30"/>
        <v>3</v>
      </c>
      <c r="M255" s="103"/>
      <c r="N255" s="103" t="s">
        <v>945</v>
      </c>
      <c r="O255" s="104">
        <f t="shared" si="28"/>
        <v>11400</v>
      </c>
    </row>
    <row r="256" spans="1:15" s="92" customFormat="1" x14ac:dyDescent="0.3">
      <c r="A256" s="113" t="s">
        <v>515</v>
      </c>
      <c r="B256" s="102">
        <v>44678</v>
      </c>
      <c r="C256" s="25" t="s">
        <v>737</v>
      </c>
      <c r="D256" s="57">
        <v>2</v>
      </c>
      <c r="E256" s="13">
        <v>1500</v>
      </c>
      <c r="F256" s="50">
        <f t="shared" si="26"/>
        <v>3000</v>
      </c>
      <c r="G256" s="103"/>
      <c r="H256" s="103"/>
      <c r="I256" s="104"/>
      <c r="J256" s="103"/>
      <c r="K256" s="103"/>
      <c r="L256" s="103">
        <f t="shared" si="30"/>
        <v>2</v>
      </c>
      <c r="M256" s="103"/>
      <c r="N256" s="103" t="s">
        <v>945</v>
      </c>
      <c r="O256" s="104">
        <f t="shared" si="28"/>
        <v>3000</v>
      </c>
    </row>
    <row r="257" spans="1:15" s="92" customFormat="1" x14ac:dyDescent="0.3">
      <c r="A257" s="113" t="s">
        <v>516</v>
      </c>
      <c r="B257" s="102">
        <v>44678</v>
      </c>
      <c r="C257" s="25" t="s">
        <v>736</v>
      </c>
      <c r="D257" s="57">
        <v>2</v>
      </c>
      <c r="E257" s="13">
        <v>3800</v>
      </c>
      <c r="F257" s="50">
        <f t="shared" si="26"/>
        <v>7600</v>
      </c>
      <c r="G257" s="103"/>
      <c r="H257" s="103"/>
      <c r="I257" s="104"/>
      <c r="J257" s="103"/>
      <c r="K257" s="103"/>
      <c r="L257" s="103">
        <f t="shared" si="30"/>
        <v>2</v>
      </c>
      <c r="M257" s="103"/>
      <c r="N257" s="103" t="s">
        <v>945</v>
      </c>
      <c r="O257" s="104">
        <f t="shared" si="28"/>
        <v>7600</v>
      </c>
    </row>
    <row r="258" spans="1:15" s="92" customFormat="1" x14ac:dyDescent="0.3">
      <c r="A258" s="113" t="s">
        <v>517</v>
      </c>
      <c r="B258" s="102">
        <v>44678</v>
      </c>
      <c r="C258" s="25" t="s">
        <v>738</v>
      </c>
      <c r="D258" s="57">
        <v>4</v>
      </c>
      <c r="E258" s="13">
        <v>3800</v>
      </c>
      <c r="F258" s="50">
        <f t="shared" si="26"/>
        <v>15200</v>
      </c>
      <c r="G258" s="103"/>
      <c r="H258" s="103"/>
      <c r="I258" s="104"/>
      <c r="J258" s="103"/>
      <c r="K258" s="103"/>
      <c r="L258" s="103">
        <f t="shared" si="30"/>
        <v>4</v>
      </c>
      <c r="M258" s="103"/>
      <c r="N258" s="103" t="s">
        <v>945</v>
      </c>
      <c r="O258" s="104">
        <f t="shared" si="28"/>
        <v>15200</v>
      </c>
    </row>
    <row r="259" spans="1:15" s="92" customFormat="1" x14ac:dyDescent="0.3">
      <c r="A259" s="113" t="s">
        <v>518</v>
      </c>
      <c r="B259" s="102">
        <v>44678</v>
      </c>
      <c r="C259" s="26" t="s">
        <v>751</v>
      </c>
      <c r="D259" s="57">
        <v>16</v>
      </c>
      <c r="E259" s="13">
        <v>3000</v>
      </c>
      <c r="F259" s="50">
        <f t="shared" si="26"/>
        <v>48000</v>
      </c>
      <c r="G259" s="103"/>
      <c r="H259" s="103"/>
      <c r="I259" s="104"/>
      <c r="J259" s="103"/>
      <c r="K259" s="103"/>
      <c r="L259" s="103">
        <f t="shared" si="30"/>
        <v>16</v>
      </c>
      <c r="M259" s="103"/>
      <c r="N259" s="103" t="s">
        <v>945</v>
      </c>
      <c r="O259" s="104">
        <f t="shared" si="28"/>
        <v>48000</v>
      </c>
    </row>
    <row r="260" spans="1:15" s="92" customFormat="1" x14ac:dyDescent="0.3">
      <c r="A260" s="113" t="s">
        <v>519</v>
      </c>
      <c r="B260" s="102">
        <v>44678</v>
      </c>
      <c r="C260" s="25" t="s">
        <v>845</v>
      </c>
      <c r="D260" s="38">
        <v>2</v>
      </c>
      <c r="E260" s="13">
        <v>200</v>
      </c>
      <c r="F260" s="50">
        <f t="shared" si="26"/>
        <v>400</v>
      </c>
      <c r="G260" s="103"/>
      <c r="H260" s="103"/>
      <c r="I260" s="104"/>
      <c r="J260" s="103"/>
      <c r="K260" s="103"/>
      <c r="L260" s="103">
        <f t="shared" si="30"/>
        <v>2</v>
      </c>
      <c r="M260" s="103"/>
      <c r="N260" s="103" t="s">
        <v>945</v>
      </c>
      <c r="O260" s="104">
        <f t="shared" si="28"/>
        <v>400</v>
      </c>
    </row>
    <row r="261" spans="1:15" s="8" customFormat="1" ht="15.75" x14ac:dyDescent="0.25">
      <c r="A261" s="113" t="s">
        <v>520</v>
      </c>
      <c r="B261" s="102">
        <v>44193</v>
      </c>
      <c r="C261" s="9" t="s">
        <v>740</v>
      </c>
      <c r="D261" s="30">
        <v>3</v>
      </c>
      <c r="E261" s="13">
        <v>75</v>
      </c>
      <c r="F261" s="50">
        <f>D261*E261</f>
        <v>225</v>
      </c>
      <c r="G261" s="103"/>
      <c r="H261" s="103"/>
      <c r="I261" s="104"/>
      <c r="J261" s="103"/>
      <c r="K261" s="103"/>
      <c r="L261" s="103">
        <f t="shared" si="30"/>
        <v>3</v>
      </c>
      <c r="M261" s="103"/>
      <c r="N261" s="103" t="s">
        <v>947</v>
      </c>
      <c r="O261" s="104">
        <f t="shared" si="28"/>
        <v>225</v>
      </c>
    </row>
    <row r="262" spans="1:15" s="8" customFormat="1" ht="15.75" x14ac:dyDescent="0.25">
      <c r="A262" s="113" t="s">
        <v>521</v>
      </c>
      <c r="B262" s="102">
        <v>44193</v>
      </c>
      <c r="C262" s="9" t="s">
        <v>739</v>
      </c>
      <c r="D262" s="30">
        <v>300</v>
      </c>
      <c r="E262" s="13">
        <v>29</v>
      </c>
      <c r="F262" s="50">
        <f>D262*E262</f>
        <v>8700</v>
      </c>
      <c r="G262" s="103"/>
      <c r="H262" s="103"/>
      <c r="I262" s="104"/>
      <c r="J262" s="103"/>
      <c r="K262" s="103"/>
      <c r="L262" s="103">
        <f t="shared" si="30"/>
        <v>300</v>
      </c>
      <c r="M262" s="103"/>
      <c r="N262" s="103" t="s">
        <v>947</v>
      </c>
      <c r="O262" s="104">
        <f t="shared" si="28"/>
        <v>8700</v>
      </c>
    </row>
    <row r="263" spans="1:15" s="8" customFormat="1" ht="15.75" x14ac:dyDescent="0.25">
      <c r="A263" s="113" t="s">
        <v>522</v>
      </c>
      <c r="B263" s="102">
        <v>44193</v>
      </c>
      <c r="C263" s="25" t="s">
        <v>826</v>
      </c>
      <c r="D263" s="38">
        <v>16</v>
      </c>
      <c r="E263" s="13">
        <v>143</v>
      </c>
      <c r="F263" s="50">
        <f>D263*E263</f>
        <v>2288</v>
      </c>
      <c r="G263" s="103"/>
      <c r="H263" s="103"/>
      <c r="I263" s="104"/>
      <c r="J263" s="103"/>
      <c r="K263" s="103"/>
      <c r="L263" s="103">
        <f t="shared" si="30"/>
        <v>16</v>
      </c>
      <c r="M263" s="103"/>
      <c r="N263" s="103" t="s">
        <v>946</v>
      </c>
      <c r="O263" s="104">
        <f t="shared" si="28"/>
        <v>2288</v>
      </c>
    </row>
    <row r="264" spans="1:15" s="8" customFormat="1" ht="15.75" x14ac:dyDescent="0.25">
      <c r="A264" s="113" t="s">
        <v>523</v>
      </c>
      <c r="B264" s="102">
        <v>44193</v>
      </c>
      <c r="C264" s="9" t="s">
        <v>741</v>
      </c>
      <c r="D264" s="56">
        <v>112</v>
      </c>
      <c r="E264" s="13">
        <v>8.5</v>
      </c>
      <c r="F264" s="50">
        <f t="shared" ref="F264:F271" si="31">D264*E264</f>
        <v>952</v>
      </c>
      <c r="G264" s="103"/>
      <c r="H264" s="103"/>
      <c r="I264" s="104"/>
      <c r="J264" s="103"/>
      <c r="K264" s="103"/>
      <c r="L264" s="103">
        <f t="shared" si="30"/>
        <v>112</v>
      </c>
      <c r="M264" s="103"/>
      <c r="N264" s="103" t="s">
        <v>947</v>
      </c>
      <c r="O264" s="104">
        <f t="shared" si="28"/>
        <v>952</v>
      </c>
    </row>
    <row r="265" spans="1:15" s="8" customFormat="1" ht="15.75" x14ac:dyDescent="0.25">
      <c r="A265" s="113" t="s">
        <v>524</v>
      </c>
      <c r="B265" s="102">
        <v>44193</v>
      </c>
      <c r="C265" s="9" t="s">
        <v>742</v>
      </c>
      <c r="D265" s="56">
        <v>24</v>
      </c>
      <c r="E265" s="13">
        <v>12</v>
      </c>
      <c r="F265" s="50">
        <f t="shared" si="31"/>
        <v>288</v>
      </c>
      <c r="G265" s="103"/>
      <c r="H265" s="103"/>
      <c r="I265" s="104"/>
      <c r="J265" s="103"/>
      <c r="K265" s="103"/>
      <c r="L265" s="103">
        <f t="shared" si="30"/>
        <v>24</v>
      </c>
      <c r="M265" s="103"/>
      <c r="N265" s="103" t="s">
        <v>947</v>
      </c>
      <c r="O265" s="104">
        <f t="shared" si="28"/>
        <v>288</v>
      </c>
    </row>
    <row r="266" spans="1:15" s="8" customFormat="1" ht="15.75" x14ac:dyDescent="0.25">
      <c r="A266" s="113" t="s">
        <v>525</v>
      </c>
      <c r="B266" s="102">
        <v>44193</v>
      </c>
      <c r="C266" s="9" t="s">
        <v>743</v>
      </c>
      <c r="D266" s="30">
        <v>34</v>
      </c>
      <c r="E266" s="13">
        <v>8</v>
      </c>
      <c r="F266" s="50">
        <f t="shared" si="31"/>
        <v>272</v>
      </c>
      <c r="G266" s="103"/>
      <c r="H266" s="103"/>
      <c r="I266" s="104"/>
      <c r="J266" s="103"/>
      <c r="K266" s="103"/>
      <c r="L266" s="103">
        <f t="shared" si="30"/>
        <v>34</v>
      </c>
      <c r="M266" s="103"/>
      <c r="N266" s="103" t="s">
        <v>947</v>
      </c>
      <c r="O266" s="104">
        <f t="shared" si="28"/>
        <v>272</v>
      </c>
    </row>
    <row r="267" spans="1:15" s="105" customFormat="1" ht="15.75" x14ac:dyDescent="0.25">
      <c r="A267" s="113" t="s">
        <v>526</v>
      </c>
      <c r="B267" s="102">
        <v>44193</v>
      </c>
      <c r="C267" s="9" t="s">
        <v>744</v>
      </c>
      <c r="D267" s="30">
        <v>1</v>
      </c>
      <c r="E267" s="13">
        <v>150</v>
      </c>
      <c r="F267" s="50">
        <f t="shared" si="31"/>
        <v>150</v>
      </c>
      <c r="G267" s="107">
        <v>44852</v>
      </c>
      <c r="H267" s="103">
        <v>5</v>
      </c>
      <c r="I267" s="104">
        <v>91.99</v>
      </c>
      <c r="J267" s="108">
        <f>+H267*I267</f>
        <v>459.95</v>
      </c>
      <c r="K267" s="103"/>
      <c r="L267" s="103">
        <f t="shared" si="30"/>
        <v>6</v>
      </c>
      <c r="M267" s="103" t="s">
        <v>1037</v>
      </c>
      <c r="N267" s="103" t="s">
        <v>947</v>
      </c>
      <c r="O267" s="104">
        <f t="shared" si="28"/>
        <v>900</v>
      </c>
    </row>
    <row r="268" spans="1:15" s="8" customFormat="1" ht="31.5" x14ac:dyDescent="0.25">
      <c r="A268" s="113" t="s">
        <v>527</v>
      </c>
      <c r="B268" s="102">
        <v>44193</v>
      </c>
      <c r="C268" s="9" t="s">
        <v>745</v>
      </c>
      <c r="D268" s="30">
        <v>1</v>
      </c>
      <c r="E268" s="13">
        <v>211.86</v>
      </c>
      <c r="F268" s="50">
        <f t="shared" si="31"/>
        <v>211.86</v>
      </c>
      <c r="G268" s="107">
        <v>44851</v>
      </c>
      <c r="H268" s="103">
        <v>20</v>
      </c>
      <c r="I268" s="104">
        <v>188.21</v>
      </c>
      <c r="J268" s="108">
        <f>+H268*I268</f>
        <v>3764.2000000000003</v>
      </c>
      <c r="K268" s="103"/>
      <c r="L268" s="103">
        <f t="shared" si="30"/>
        <v>21</v>
      </c>
      <c r="M268" s="121" t="s">
        <v>1006</v>
      </c>
      <c r="N268" s="103" t="s">
        <v>946</v>
      </c>
      <c r="O268" s="104">
        <f>+L268*I268</f>
        <v>3952.4100000000003</v>
      </c>
    </row>
    <row r="269" spans="1:15" s="8" customFormat="1" ht="15.75" x14ac:dyDescent="0.25">
      <c r="A269" s="113" t="s">
        <v>528</v>
      </c>
      <c r="B269" s="106" t="s">
        <v>105</v>
      </c>
      <c r="C269" s="9" t="s">
        <v>747</v>
      </c>
      <c r="D269" s="30">
        <f>90+44</f>
        <v>134</v>
      </c>
      <c r="E269" s="13">
        <v>25.42</v>
      </c>
      <c r="F269" s="50">
        <f t="shared" si="31"/>
        <v>3406.28</v>
      </c>
      <c r="G269" s="103"/>
      <c r="H269" s="103"/>
      <c r="I269" s="104"/>
      <c r="J269" s="103"/>
      <c r="K269" s="103"/>
      <c r="L269" s="103">
        <f t="shared" si="30"/>
        <v>134</v>
      </c>
      <c r="M269" s="103"/>
      <c r="N269" s="103" t="s">
        <v>947</v>
      </c>
      <c r="O269" s="104">
        <f t="shared" ref="O269:O274" si="32">+L269*E269</f>
        <v>3406.28</v>
      </c>
    </row>
    <row r="270" spans="1:15" s="8" customFormat="1" ht="15.75" x14ac:dyDescent="0.25">
      <c r="A270" s="113" t="s">
        <v>529</v>
      </c>
      <c r="B270" s="102">
        <v>44193</v>
      </c>
      <c r="C270" s="9" t="s">
        <v>748</v>
      </c>
      <c r="D270" s="30">
        <v>31</v>
      </c>
      <c r="E270" s="13">
        <v>50</v>
      </c>
      <c r="F270" s="50">
        <f t="shared" si="31"/>
        <v>1550</v>
      </c>
      <c r="G270" s="107">
        <v>44852</v>
      </c>
      <c r="H270" s="103">
        <f>10*12</f>
        <v>120</v>
      </c>
      <c r="I270" s="104">
        <v>23.82</v>
      </c>
      <c r="J270" s="108">
        <f>+H270*I270</f>
        <v>2858.4</v>
      </c>
      <c r="K270" s="103"/>
      <c r="L270" s="103">
        <f t="shared" si="30"/>
        <v>151</v>
      </c>
      <c r="M270" s="103" t="s">
        <v>1037</v>
      </c>
      <c r="N270" s="103" t="s">
        <v>947</v>
      </c>
      <c r="O270" s="104">
        <f>+L270*I270</f>
        <v>3596.82</v>
      </c>
    </row>
    <row r="271" spans="1:15" s="8" customFormat="1" ht="15.75" x14ac:dyDescent="0.25">
      <c r="A271" s="113" t="s">
        <v>873</v>
      </c>
      <c r="B271" s="102">
        <v>44193</v>
      </c>
      <c r="C271" s="25" t="s">
        <v>785</v>
      </c>
      <c r="D271" s="38">
        <v>4</v>
      </c>
      <c r="E271" s="13">
        <v>45</v>
      </c>
      <c r="F271" s="50">
        <f t="shared" si="31"/>
        <v>180</v>
      </c>
      <c r="G271" s="103"/>
      <c r="H271" s="103"/>
      <c r="I271" s="104"/>
      <c r="J271" s="103"/>
      <c r="K271" s="103"/>
      <c r="L271" s="103">
        <f t="shared" si="30"/>
        <v>4</v>
      </c>
      <c r="M271" s="103"/>
      <c r="N271" s="103" t="s">
        <v>947</v>
      </c>
      <c r="O271" s="104">
        <f t="shared" si="32"/>
        <v>180</v>
      </c>
    </row>
    <row r="272" spans="1:15" s="8" customFormat="1" ht="15.75" x14ac:dyDescent="0.25">
      <c r="A272" s="113" t="s">
        <v>874</v>
      </c>
      <c r="B272" s="106" t="s">
        <v>105</v>
      </c>
      <c r="C272" s="9" t="s">
        <v>746</v>
      </c>
      <c r="D272" s="30">
        <v>7</v>
      </c>
      <c r="E272" s="51">
        <v>48</v>
      </c>
      <c r="F272" s="50">
        <f>D272*E272</f>
        <v>336</v>
      </c>
      <c r="G272" s="103"/>
      <c r="H272" s="103"/>
      <c r="I272" s="104"/>
      <c r="J272" s="103"/>
      <c r="K272" s="103">
        <f>3+2</f>
        <v>5</v>
      </c>
      <c r="L272" s="103">
        <f t="shared" si="30"/>
        <v>2</v>
      </c>
      <c r="M272" s="103"/>
      <c r="N272" s="103" t="s">
        <v>947</v>
      </c>
      <c r="O272" s="104">
        <f t="shared" si="32"/>
        <v>96</v>
      </c>
    </row>
    <row r="273" spans="1:15" s="8" customFormat="1" ht="15.75" x14ac:dyDescent="0.25">
      <c r="A273" s="113" t="s">
        <v>875</v>
      </c>
      <c r="B273" s="102"/>
      <c r="C273" s="25" t="s">
        <v>815</v>
      </c>
      <c r="D273" s="38">
        <v>6</v>
      </c>
      <c r="E273" s="13"/>
      <c r="F273" s="50"/>
      <c r="G273" s="103"/>
      <c r="H273" s="103"/>
      <c r="I273" s="104"/>
      <c r="J273" s="103"/>
      <c r="K273" s="103"/>
      <c r="L273" s="103">
        <f t="shared" si="30"/>
        <v>6</v>
      </c>
      <c r="M273" s="103"/>
      <c r="N273" s="103" t="s">
        <v>946</v>
      </c>
      <c r="O273" s="104">
        <f t="shared" si="32"/>
        <v>0</v>
      </c>
    </row>
    <row r="274" spans="1:15" s="92" customFormat="1" x14ac:dyDescent="0.3">
      <c r="A274" s="113" t="s">
        <v>876</v>
      </c>
      <c r="B274" s="102">
        <v>44193</v>
      </c>
      <c r="C274" s="26" t="s">
        <v>750</v>
      </c>
      <c r="D274" s="38">
        <v>20</v>
      </c>
      <c r="E274" s="13">
        <v>1449.14</v>
      </c>
      <c r="F274" s="50">
        <f t="shared" ref="F274:F286" si="33">D274*E274</f>
        <v>28982.800000000003</v>
      </c>
      <c r="G274" s="103"/>
      <c r="H274" s="103"/>
      <c r="I274" s="104"/>
      <c r="J274" s="103"/>
      <c r="K274" s="103"/>
      <c r="L274" s="103">
        <f t="shared" si="30"/>
        <v>20</v>
      </c>
      <c r="M274" s="103"/>
      <c r="N274" s="103" t="s">
        <v>945</v>
      </c>
      <c r="O274" s="104">
        <f t="shared" si="32"/>
        <v>28982.800000000003</v>
      </c>
    </row>
    <row r="275" spans="1:15" s="92" customFormat="1" x14ac:dyDescent="0.3">
      <c r="A275" s="113" t="s">
        <v>877</v>
      </c>
      <c r="B275" s="102">
        <v>44193</v>
      </c>
      <c r="C275" s="26" t="s">
        <v>771</v>
      </c>
      <c r="D275" s="38">
        <v>3</v>
      </c>
      <c r="E275" s="13">
        <v>289</v>
      </c>
      <c r="F275" s="50">
        <f t="shared" si="33"/>
        <v>867</v>
      </c>
      <c r="G275" s="107">
        <v>44778</v>
      </c>
      <c r="H275" s="103">
        <v>10</v>
      </c>
      <c r="I275" s="104">
        <v>3481</v>
      </c>
      <c r="J275" s="103">
        <f>+I275/10</f>
        <v>348.1</v>
      </c>
      <c r="K275" s="103"/>
      <c r="L275" s="103">
        <f t="shared" si="30"/>
        <v>13</v>
      </c>
      <c r="M275" s="103" t="s">
        <v>943</v>
      </c>
      <c r="N275" s="103" t="s">
        <v>945</v>
      </c>
      <c r="O275" s="104">
        <f>+L275*I275</f>
        <v>45253</v>
      </c>
    </row>
    <row r="276" spans="1:15" s="8" customFormat="1" ht="15.75" x14ac:dyDescent="0.25">
      <c r="A276" s="113" t="s">
        <v>878</v>
      </c>
      <c r="B276" s="102">
        <v>44193</v>
      </c>
      <c r="C276" s="26" t="s">
        <v>754</v>
      </c>
      <c r="D276" s="38">
        <v>7</v>
      </c>
      <c r="E276" s="13">
        <v>38</v>
      </c>
      <c r="F276" s="50">
        <f t="shared" si="33"/>
        <v>266</v>
      </c>
      <c r="G276" s="103"/>
      <c r="H276" s="103"/>
      <c r="I276" s="104"/>
      <c r="J276" s="103"/>
      <c r="K276" s="103"/>
      <c r="L276" s="103">
        <f t="shared" si="30"/>
        <v>7</v>
      </c>
      <c r="M276" s="103"/>
      <c r="N276" s="103" t="s">
        <v>946</v>
      </c>
      <c r="O276" s="104">
        <f>+L276*E276</f>
        <v>266</v>
      </c>
    </row>
    <row r="277" spans="1:15" s="8" customFormat="1" ht="15.75" x14ac:dyDescent="0.25">
      <c r="A277" s="113" t="s">
        <v>879</v>
      </c>
      <c r="B277" s="106" t="s">
        <v>105</v>
      </c>
      <c r="C277" s="26" t="s">
        <v>753</v>
      </c>
      <c r="D277" s="38">
        <v>12</v>
      </c>
      <c r="E277" s="13">
        <v>38</v>
      </c>
      <c r="F277" s="50">
        <f t="shared" si="33"/>
        <v>456</v>
      </c>
      <c r="G277" s="103"/>
      <c r="H277" s="103"/>
      <c r="I277" s="104"/>
      <c r="J277" s="103"/>
      <c r="K277" s="103"/>
      <c r="L277" s="103">
        <f t="shared" si="30"/>
        <v>12</v>
      </c>
      <c r="M277" s="103"/>
      <c r="N277" s="103" t="s">
        <v>946</v>
      </c>
      <c r="O277" s="104">
        <f t="shared" ref="O277:O302" si="34">+L277*E277</f>
        <v>456</v>
      </c>
    </row>
    <row r="278" spans="1:15" s="8" customFormat="1" ht="15.75" x14ac:dyDescent="0.25">
      <c r="A278" s="113" t="s">
        <v>880</v>
      </c>
      <c r="B278" s="102">
        <v>44193</v>
      </c>
      <c r="C278" s="26" t="s">
        <v>757</v>
      </c>
      <c r="D278" s="38">
        <v>1</v>
      </c>
      <c r="E278" s="13">
        <v>38</v>
      </c>
      <c r="F278" s="50">
        <f t="shared" si="33"/>
        <v>38</v>
      </c>
      <c r="G278" s="103"/>
      <c r="H278" s="103"/>
      <c r="I278" s="104"/>
      <c r="J278" s="103"/>
      <c r="K278" s="103"/>
      <c r="L278" s="103">
        <f t="shared" si="30"/>
        <v>1</v>
      </c>
      <c r="M278" s="103"/>
      <c r="N278" s="103" t="s">
        <v>946</v>
      </c>
      <c r="O278" s="104">
        <f t="shared" si="34"/>
        <v>38</v>
      </c>
    </row>
    <row r="279" spans="1:15" s="8" customFormat="1" ht="15.75" x14ac:dyDescent="0.25">
      <c r="A279" s="113" t="s">
        <v>881</v>
      </c>
      <c r="B279" s="102">
        <v>44193</v>
      </c>
      <c r="C279" s="26" t="s">
        <v>760</v>
      </c>
      <c r="D279" s="38">
        <v>1</v>
      </c>
      <c r="E279" s="13">
        <v>41</v>
      </c>
      <c r="F279" s="50">
        <f t="shared" si="33"/>
        <v>41</v>
      </c>
      <c r="G279" s="103"/>
      <c r="H279" s="103"/>
      <c r="I279" s="104"/>
      <c r="J279" s="103"/>
      <c r="K279" s="103"/>
      <c r="L279" s="103">
        <f t="shared" si="30"/>
        <v>1</v>
      </c>
      <c r="M279" s="103"/>
      <c r="N279" s="103" t="s">
        <v>946</v>
      </c>
      <c r="O279" s="104">
        <f t="shared" si="34"/>
        <v>41</v>
      </c>
    </row>
    <row r="280" spans="1:15" s="8" customFormat="1" ht="15.75" x14ac:dyDescent="0.25">
      <c r="A280" s="113" t="s">
        <v>882</v>
      </c>
      <c r="B280" s="102">
        <v>44193</v>
      </c>
      <c r="C280" s="26" t="s">
        <v>758</v>
      </c>
      <c r="D280" s="38">
        <v>1</v>
      </c>
      <c r="E280" s="13">
        <v>38</v>
      </c>
      <c r="F280" s="50">
        <f t="shared" si="33"/>
        <v>38</v>
      </c>
      <c r="G280" s="103"/>
      <c r="H280" s="103"/>
      <c r="I280" s="104"/>
      <c r="J280" s="103"/>
      <c r="K280" s="103"/>
      <c r="L280" s="103">
        <f t="shared" si="30"/>
        <v>1</v>
      </c>
      <c r="M280" s="103"/>
      <c r="N280" s="103" t="s">
        <v>946</v>
      </c>
      <c r="O280" s="104">
        <f t="shared" si="34"/>
        <v>38</v>
      </c>
    </row>
    <row r="281" spans="1:15" s="8" customFormat="1" ht="15.75" x14ac:dyDescent="0.25">
      <c r="A281" s="113" t="s">
        <v>883</v>
      </c>
      <c r="B281" s="102">
        <v>44193</v>
      </c>
      <c r="C281" s="26" t="s">
        <v>759</v>
      </c>
      <c r="D281" s="38">
        <v>1</v>
      </c>
      <c r="E281" s="13">
        <v>38</v>
      </c>
      <c r="F281" s="50">
        <f t="shared" si="33"/>
        <v>38</v>
      </c>
      <c r="G281" s="103"/>
      <c r="H281" s="103"/>
      <c r="I281" s="104"/>
      <c r="J281" s="103"/>
      <c r="K281" s="103"/>
      <c r="L281" s="103">
        <f t="shared" si="30"/>
        <v>1</v>
      </c>
      <c r="M281" s="103"/>
      <c r="N281" s="103" t="s">
        <v>946</v>
      </c>
      <c r="O281" s="104">
        <f t="shared" si="34"/>
        <v>38</v>
      </c>
    </row>
    <row r="282" spans="1:15" s="8" customFormat="1" ht="15.75" x14ac:dyDescent="0.25">
      <c r="A282" s="113" t="s">
        <v>884</v>
      </c>
      <c r="B282" s="106" t="s">
        <v>105</v>
      </c>
      <c r="C282" s="26" t="s">
        <v>755</v>
      </c>
      <c r="D282" s="38">
        <v>1</v>
      </c>
      <c r="E282" s="13">
        <v>38</v>
      </c>
      <c r="F282" s="50">
        <f t="shared" si="33"/>
        <v>38</v>
      </c>
      <c r="G282" s="103"/>
      <c r="H282" s="103"/>
      <c r="I282" s="104"/>
      <c r="J282" s="103"/>
      <c r="K282" s="103"/>
      <c r="L282" s="103">
        <f t="shared" si="30"/>
        <v>1</v>
      </c>
      <c r="M282" s="103"/>
      <c r="N282" s="103" t="s">
        <v>946</v>
      </c>
      <c r="O282" s="104">
        <f t="shared" si="34"/>
        <v>38</v>
      </c>
    </row>
    <row r="283" spans="1:15" s="8" customFormat="1" ht="15.75" x14ac:dyDescent="0.25">
      <c r="A283" s="113" t="s">
        <v>885</v>
      </c>
      <c r="B283" s="102">
        <v>44193</v>
      </c>
      <c r="C283" s="26" t="s">
        <v>756</v>
      </c>
      <c r="D283" s="38">
        <v>1</v>
      </c>
      <c r="E283" s="13">
        <v>38</v>
      </c>
      <c r="F283" s="50">
        <f t="shared" si="33"/>
        <v>38</v>
      </c>
      <c r="G283" s="103"/>
      <c r="H283" s="103"/>
      <c r="I283" s="104"/>
      <c r="J283" s="103"/>
      <c r="K283" s="103"/>
      <c r="L283" s="103">
        <f t="shared" si="30"/>
        <v>1</v>
      </c>
      <c r="M283" s="103"/>
      <c r="N283" s="103" t="s">
        <v>946</v>
      </c>
      <c r="O283" s="104">
        <f t="shared" si="34"/>
        <v>38</v>
      </c>
    </row>
    <row r="284" spans="1:15" s="8" customFormat="1" ht="15.75" x14ac:dyDescent="0.25">
      <c r="A284" s="113" t="s">
        <v>886</v>
      </c>
      <c r="B284" s="102">
        <v>44193</v>
      </c>
      <c r="C284" s="26" t="s">
        <v>762</v>
      </c>
      <c r="D284" s="38">
        <v>7</v>
      </c>
      <c r="E284" s="13">
        <v>537</v>
      </c>
      <c r="F284" s="50">
        <f t="shared" si="33"/>
        <v>3759</v>
      </c>
      <c r="G284" s="103"/>
      <c r="H284" s="103"/>
      <c r="I284" s="104"/>
      <c r="J284" s="103"/>
      <c r="K284" s="103"/>
      <c r="L284" s="103">
        <f t="shared" si="30"/>
        <v>7</v>
      </c>
      <c r="M284" s="103"/>
      <c r="N284" s="103" t="s">
        <v>946</v>
      </c>
      <c r="O284" s="104">
        <f t="shared" si="34"/>
        <v>3759</v>
      </c>
    </row>
    <row r="285" spans="1:15" s="8" customFormat="1" ht="15.75" x14ac:dyDescent="0.25">
      <c r="A285" s="113" t="s">
        <v>887</v>
      </c>
      <c r="B285" s="102">
        <v>44193</v>
      </c>
      <c r="C285" s="26" t="s">
        <v>761</v>
      </c>
      <c r="D285" s="38">
        <v>3</v>
      </c>
      <c r="E285" s="13">
        <v>537</v>
      </c>
      <c r="F285" s="50">
        <f t="shared" si="33"/>
        <v>1611</v>
      </c>
      <c r="G285" s="103"/>
      <c r="H285" s="103"/>
      <c r="I285" s="104"/>
      <c r="J285" s="103"/>
      <c r="K285" s="103"/>
      <c r="L285" s="103">
        <f t="shared" si="30"/>
        <v>3</v>
      </c>
      <c r="M285" s="103"/>
      <c r="N285" s="103" t="s">
        <v>946</v>
      </c>
      <c r="O285" s="104">
        <f t="shared" si="34"/>
        <v>1611</v>
      </c>
    </row>
    <row r="286" spans="1:15" s="8" customFormat="1" ht="15.75" x14ac:dyDescent="0.25">
      <c r="A286" s="113" t="s">
        <v>888</v>
      </c>
      <c r="B286" s="102">
        <v>44193</v>
      </c>
      <c r="C286" s="9" t="s">
        <v>763</v>
      </c>
      <c r="D286" s="30">
        <v>13</v>
      </c>
      <c r="E286" s="13">
        <v>13.87</v>
      </c>
      <c r="F286" s="50">
        <f t="shared" si="33"/>
        <v>180.31</v>
      </c>
      <c r="G286" s="103"/>
      <c r="H286" s="103"/>
      <c r="I286" s="104"/>
      <c r="J286" s="103"/>
      <c r="K286" s="103"/>
      <c r="L286" s="103">
        <f t="shared" si="30"/>
        <v>13</v>
      </c>
      <c r="M286" s="103"/>
      <c r="N286" s="103" t="s">
        <v>947</v>
      </c>
      <c r="O286" s="104">
        <f t="shared" si="34"/>
        <v>180.31</v>
      </c>
    </row>
    <row r="287" spans="1:15" s="8" customFormat="1" ht="15.75" x14ac:dyDescent="0.25">
      <c r="A287" s="113" t="s">
        <v>889</v>
      </c>
      <c r="B287" s="102"/>
      <c r="C287" s="25" t="s">
        <v>814</v>
      </c>
      <c r="D287" s="38">
        <v>5</v>
      </c>
      <c r="E287" s="13"/>
      <c r="F287" s="50"/>
      <c r="G287" s="103"/>
      <c r="H287" s="103"/>
      <c r="I287" s="104"/>
      <c r="J287" s="103"/>
      <c r="K287" s="103"/>
      <c r="L287" s="103">
        <f t="shared" si="30"/>
        <v>5</v>
      </c>
      <c r="M287" s="103"/>
      <c r="N287" s="103" t="s">
        <v>946</v>
      </c>
      <c r="O287" s="104">
        <f>+L287*E287</f>
        <v>0</v>
      </c>
    </row>
    <row r="288" spans="1:15" s="8" customFormat="1" ht="15.75" x14ac:dyDescent="0.25">
      <c r="A288" s="113" t="s">
        <v>890</v>
      </c>
      <c r="B288" s="102"/>
      <c r="C288" s="25" t="s">
        <v>805</v>
      </c>
      <c r="D288" s="38">
        <v>9</v>
      </c>
      <c r="E288" s="13"/>
      <c r="F288" s="50"/>
      <c r="G288" s="103"/>
      <c r="H288" s="103"/>
      <c r="I288" s="104"/>
      <c r="J288" s="103"/>
      <c r="K288" s="103"/>
      <c r="L288" s="103">
        <f t="shared" si="30"/>
        <v>9</v>
      </c>
      <c r="M288" s="103"/>
      <c r="N288" s="103" t="s">
        <v>946</v>
      </c>
      <c r="O288" s="104">
        <f t="shared" si="34"/>
        <v>0</v>
      </c>
    </row>
    <row r="289" spans="1:15" s="105" customFormat="1" ht="15.75" x14ac:dyDescent="0.25">
      <c r="A289" s="113" t="s">
        <v>891</v>
      </c>
      <c r="B289" s="102"/>
      <c r="C289" s="25" t="s">
        <v>784</v>
      </c>
      <c r="D289" s="38">
        <v>29</v>
      </c>
      <c r="E289" s="13"/>
      <c r="F289" s="50"/>
      <c r="G289" s="107">
        <v>44852</v>
      </c>
      <c r="H289" s="103">
        <v>15</v>
      </c>
      <c r="I289" s="104">
        <v>25.52</v>
      </c>
      <c r="J289" s="108">
        <f>+H289*I289</f>
        <v>382.8</v>
      </c>
      <c r="K289" s="103">
        <v>1</v>
      </c>
      <c r="L289" s="103">
        <f t="shared" si="30"/>
        <v>43</v>
      </c>
      <c r="M289" s="103" t="s">
        <v>1037</v>
      </c>
      <c r="N289" s="103" t="s">
        <v>947</v>
      </c>
      <c r="O289" s="104">
        <f>+L289*I289</f>
        <v>1097.3599999999999</v>
      </c>
    </row>
    <row r="290" spans="1:15" s="105" customFormat="1" ht="15.75" x14ac:dyDescent="0.25">
      <c r="A290" s="113" t="s">
        <v>892</v>
      </c>
      <c r="B290" s="102">
        <v>44729</v>
      </c>
      <c r="C290" s="25" t="s">
        <v>860</v>
      </c>
      <c r="D290" s="38">
        <v>12</v>
      </c>
      <c r="E290" s="13">
        <v>1637.5</v>
      </c>
      <c r="F290" s="50">
        <f>+D290*E290</f>
        <v>19650</v>
      </c>
      <c r="G290" s="103"/>
      <c r="H290" s="103"/>
      <c r="I290" s="104"/>
      <c r="J290" s="103"/>
      <c r="K290" s="103"/>
      <c r="L290" s="103">
        <f t="shared" si="30"/>
        <v>12</v>
      </c>
      <c r="M290" s="103"/>
      <c r="N290" s="103" t="s">
        <v>946</v>
      </c>
      <c r="O290" s="104">
        <f t="shared" ref="O290" si="35">+L290*E290</f>
        <v>19650</v>
      </c>
    </row>
    <row r="291" spans="1:15" s="92" customFormat="1" x14ac:dyDescent="0.3">
      <c r="A291" s="113" t="s">
        <v>893</v>
      </c>
      <c r="B291" s="102">
        <v>44652</v>
      </c>
      <c r="C291" s="25" t="s">
        <v>859</v>
      </c>
      <c r="D291" s="38">
        <f>11+6+12+11</f>
        <v>40</v>
      </c>
      <c r="E291" s="13">
        <v>159</v>
      </c>
      <c r="F291" s="50">
        <f>+D291*E291</f>
        <v>6360</v>
      </c>
      <c r="G291" s="103"/>
      <c r="H291" s="103"/>
      <c r="I291" s="104"/>
      <c r="J291" s="103"/>
      <c r="K291" s="103">
        <f>3+1+1+1</f>
        <v>6</v>
      </c>
      <c r="L291" s="103">
        <f t="shared" si="30"/>
        <v>34</v>
      </c>
      <c r="M291" s="103"/>
      <c r="N291" s="103" t="s">
        <v>945</v>
      </c>
      <c r="O291" s="104">
        <f t="shared" si="34"/>
        <v>5406</v>
      </c>
    </row>
    <row r="292" spans="1:15" s="92" customFormat="1" x14ac:dyDescent="0.3">
      <c r="A292" s="113" t="s">
        <v>894</v>
      </c>
      <c r="B292" s="102">
        <v>44652</v>
      </c>
      <c r="C292" s="25" t="s">
        <v>858</v>
      </c>
      <c r="D292" s="38">
        <v>11</v>
      </c>
      <c r="E292" s="13"/>
      <c r="F292" s="50">
        <f>+D292*E292</f>
        <v>0</v>
      </c>
      <c r="G292" s="103"/>
      <c r="H292" s="103"/>
      <c r="I292" s="104"/>
      <c r="J292" s="103"/>
      <c r="K292" s="103"/>
      <c r="L292" s="103">
        <f t="shared" si="30"/>
        <v>11</v>
      </c>
      <c r="M292" s="103"/>
      <c r="N292" s="103" t="s">
        <v>945</v>
      </c>
      <c r="O292" s="104">
        <f t="shared" si="34"/>
        <v>0</v>
      </c>
    </row>
    <row r="293" spans="1:15" s="92" customFormat="1" x14ac:dyDescent="0.3">
      <c r="A293" s="113" t="s">
        <v>895</v>
      </c>
      <c r="B293" s="102">
        <v>44652</v>
      </c>
      <c r="C293" s="25" t="s">
        <v>920</v>
      </c>
      <c r="D293" s="38">
        <f>9+11+7</f>
        <v>27</v>
      </c>
      <c r="E293" s="13">
        <v>145</v>
      </c>
      <c r="F293" s="50">
        <f>+D293*E293</f>
        <v>3915</v>
      </c>
      <c r="G293" s="103"/>
      <c r="H293" s="103"/>
      <c r="I293" s="104"/>
      <c r="J293" s="103"/>
      <c r="K293" s="103"/>
      <c r="L293" s="103">
        <f t="shared" si="30"/>
        <v>27</v>
      </c>
      <c r="M293" s="103"/>
      <c r="N293" s="103" t="s">
        <v>945</v>
      </c>
      <c r="O293" s="104">
        <f t="shared" si="34"/>
        <v>3915</v>
      </c>
    </row>
    <row r="294" spans="1:15" s="8" customFormat="1" ht="15.75" x14ac:dyDescent="0.25">
      <c r="A294" s="113" t="s">
        <v>896</v>
      </c>
      <c r="B294" s="102"/>
      <c r="C294" s="25" t="s">
        <v>795</v>
      </c>
      <c r="D294" s="38">
        <v>29</v>
      </c>
      <c r="E294" s="13">
        <v>29.35</v>
      </c>
      <c r="F294" s="50">
        <f t="shared" ref="F294:F310" si="36">+D294*E294</f>
        <v>851.15000000000009</v>
      </c>
      <c r="G294" s="103"/>
      <c r="H294" s="103"/>
      <c r="I294" s="104"/>
      <c r="J294" s="103"/>
      <c r="K294" s="103"/>
      <c r="L294" s="103">
        <f t="shared" si="30"/>
        <v>29</v>
      </c>
      <c r="M294" s="103"/>
      <c r="N294" s="103" t="s">
        <v>946</v>
      </c>
      <c r="O294" s="104">
        <f t="shared" si="34"/>
        <v>851.15000000000009</v>
      </c>
    </row>
    <row r="295" spans="1:15" s="8" customFormat="1" ht="15.75" x14ac:dyDescent="0.25">
      <c r="A295" s="113" t="s">
        <v>897</v>
      </c>
      <c r="B295" s="102"/>
      <c r="C295" s="25" t="s">
        <v>843</v>
      </c>
      <c r="D295" s="38">
        <v>8</v>
      </c>
      <c r="E295" s="13"/>
      <c r="F295" s="50">
        <f t="shared" si="36"/>
        <v>0</v>
      </c>
      <c r="G295" s="103"/>
      <c r="H295" s="103"/>
      <c r="I295" s="104"/>
      <c r="J295" s="103"/>
      <c r="K295" s="103"/>
      <c r="L295" s="103">
        <f t="shared" si="30"/>
        <v>8</v>
      </c>
      <c r="M295" s="103"/>
      <c r="N295" s="103" t="s">
        <v>946</v>
      </c>
      <c r="O295" s="104">
        <f t="shared" si="34"/>
        <v>0</v>
      </c>
    </row>
    <row r="296" spans="1:15" s="8" customFormat="1" ht="15.75" x14ac:dyDescent="0.25">
      <c r="A296" s="113" t="s">
        <v>898</v>
      </c>
      <c r="B296" s="102"/>
      <c r="C296" s="25" t="s">
        <v>793</v>
      </c>
      <c r="D296" s="38">
        <f>3+1</f>
        <v>4</v>
      </c>
      <c r="E296" s="13"/>
      <c r="F296" s="50">
        <f t="shared" si="36"/>
        <v>0</v>
      </c>
      <c r="G296" s="103"/>
      <c r="H296" s="103"/>
      <c r="I296" s="104"/>
      <c r="J296" s="103"/>
      <c r="K296" s="103">
        <v>1</v>
      </c>
      <c r="L296" s="103">
        <f t="shared" si="30"/>
        <v>3</v>
      </c>
      <c r="M296" s="103"/>
      <c r="N296" s="103" t="s">
        <v>946</v>
      </c>
      <c r="O296" s="104">
        <f t="shared" si="34"/>
        <v>0</v>
      </c>
    </row>
    <row r="297" spans="1:15" s="8" customFormat="1" ht="15.75" x14ac:dyDescent="0.25">
      <c r="A297" s="113" t="s">
        <v>899</v>
      </c>
      <c r="B297" s="102"/>
      <c r="C297" s="25" t="s">
        <v>842</v>
      </c>
      <c r="D297" s="38">
        <v>2</v>
      </c>
      <c r="E297" s="13"/>
      <c r="F297" s="50">
        <f t="shared" si="36"/>
        <v>0</v>
      </c>
      <c r="G297" s="103"/>
      <c r="H297" s="103"/>
      <c r="I297" s="104"/>
      <c r="J297" s="103"/>
      <c r="K297" s="103"/>
      <c r="L297" s="103">
        <f t="shared" si="30"/>
        <v>2</v>
      </c>
      <c r="M297" s="103"/>
      <c r="N297" s="103" t="s">
        <v>946</v>
      </c>
      <c r="O297" s="104">
        <f t="shared" si="34"/>
        <v>0</v>
      </c>
    </row>
    <row r="298" spans="1:15" s="8" customFormat="1" ht="15.75" x14ac:dyDescent="0.25">
      <c r="A298" s="113" t="s">
        <v>900</v>
      </c>
      <c r="B298" s="102">
        <v>44193</v>
      </c>
      <c r="C298" s="25" t="s">
        <v>841</v>
      </c>
      <c r="D298" s="38">
        <v>1</v>
      </c>
      <c r="E298" s="13">
        <v>18.86</v>
      </c>
      <c r="F298" s="50">
        <f t="shared" si="36"/>
        <v>18.86</v>
      </c>
      <c r="G298" s="103"/>
      <c r="H298" s="103"/>
      <c r="I298" s="104"/>
      <c r="J298" s="103"/>
      <c r="K298" s="103"/>
      <c r="L298" s="103">
        <f t="shared" si="30"/>
        <v>1</v>
      </c>
      <c r="M298" s="103"/>
      <c r="N298" s="103" t="s">
        <v>946</v>
      </c>
      <c r="O298" s="104">
        <f>+L298*E298</f>
        <v>18.86</v>
      </c>
    </row>
    <row r="299" spans="1:15" s="8" customFormat="1" ht="15.75" x14ac:dyDescent="0.25">
      <c r="A299" s="113" t="s">
        <v>901</v>
      </c>
      <c r="B299" s="102">
        <v>44193</v>
      </c>
      <c r="C299" s="25" t="s">
        <v>848</v>
      </c>
      <c r="D299" s="38">
        <v>1</v>
      </c>
      <c r="E299" s="13"/>
      <c r="F299" s="50">
        <f t="shared" si="36"/>
        <v>0</v>
      </c>
      <c r="G299" s="103"/>
      <c r="H299" s="103"/>
      <c r="I299" s="104"/>
      <c r="J299" s="103"/>
      <c r="K299" s="103"/>
      <c r="L299" s="103">
        <f t="shared" si="30"/>
        <v>1</v>
      </c>
      <c r="M299" s="103"/>
      <c r="N299" s="103" t="s">
        <v>946</v>
      </c>
      <c r="O299" s="104">
        <f t="shared" si="34"/>
        <v>0</v>
      </c>
    </row>
    <row r="300" spans="1:15" s="8" customFormat="1" ht="15.75" x14ac:dyDescent="0.25">
      <c r="A300" s="113" t="s">
        <v>902</v>
      </c>
      <c r="B300" s="102">
        <v>44193</v>
      </c>
      <c r="C300" s="25" t="s">
        <v>839</v>
      </c>
      <c r="D300" s="38">
        <v>7</v>
      </c>
      <c r="E300" s="13"/>
      <c r="F300" s="50">
        <f t="shared" si="36"/>
        <v>0</v>
      </c>
      <c r="G300" s="103"/>
      <c r="H300" s="103"/>
      <c r="I300" s="104"/>
      <c r="J300" s="103"/>
      <c r="K300" s="103"/>
      <c r="L300" s="103">
        <f t="shared" si="30"/>
        <v>7</v>
      </c>
      <c r="M300" s="103"/>
      <c r="N300" s="103" t="s">
        <v>946</v>
      </c>
      <c r="O300" s="104">
        <f t="shared" si="34"/>
        <v>0</v>
      </c>
    </row>
    <row r="301" spans="1:15" s="8" customFormat="1" ht="15.75" x14ac:dyDescent="0.25">
      <c r="A301" s="113" t="s">
        <v>903</v>
      </c>
      <c r="B301" s="102">
        <v>44193</v>
      </c>
      <c r="C301" s="25" t="s">
        <v>867</v>
      </c>
      <c r="D301" s="38">
        <v>6</v>
      </c>
      <c r="E301" s="13">
        <v>176</v>
      </c>
      <c r="F301" s="50">
        <f t="shared" si="36"/>
        <v>1056</v>
      </c>
      <c r="G301" s="103"/>
      <c r="H301" s="103"/>
      <c r="I301" s="104"/>
      <c r="J301" s="103"/>
      <c r="K301" s="103"/>
      <c r="L301" s="103">
        <f t="shared" si="30"/>
        <v>6</v>
      </c>
      <c r="M301" s="103"/>
      <c r="N301" s="103" t="s">
        <v>947</v>
      </c>
      <c r="O301" s="104">
        <f t="shared" si="34"/>
        <v>1056</v>
      </c>
    </row>
    <row r="302" spans="1:15" s="8" customFormat="1" ht="15.75" x14ac:dyDescent="0.25">
      <c r="A302" s="113" t="s">
        <v>904</v>
      </c>
      <c r="B302" s="102">
        <v>44193</v>
      </c>
      <c r="C302" s="25" t="s">
        <v>798</v>
      </c>
      <c r="D302" s="38">
        <v>3</v>
      </c>
      <c r="E302" s="13">
        <v>234</v>
      </c>
      <c r="F302" s="50">
        <f t="shared" si="36"/>
        <v>702</v>
      </c>
      <c r="G302" s="103"/>
      <c r="H302" s="103"/>
      <c r="I302" s="104"/>
      <c r="J302" s="103"/>
      <c r="K302" s="103"/>
      <c r="L302" s="103">
        <f t="shared" si="30"/>
        <v>3</v>
      </c>
      <c r="M302" s="103"/>
      <c r="N302" s="103" t="s">
        <v>946</v>
      </c>
      <c r="O302" s="104">
        <f t="shared" si="34"/>
        <v>702</v>
      </c>
    </row>
    <row r="303" spans="1:15" s="92" customFormat="1" x14ac:dyDescent="0.3">
      <c r="A303" s="113" t="s">
        <v>905</v>
      </c>
      <c r="B303" s="102">
        <v>44193</v>
      </c>
      <c r="C303" s="25" t="s">
        <v>764</v>
      </c>
      <c r="D303" s="38">
        <v>0</v>
      </c>
      <c r="E303" s="13">
        <v>39</v>
      </c>
      <c r="F303" s="50">
        <f t="shared" si="36"/>
        <v>0</v>
      </c>
      <c r="G303" s="107">
        <v>44755</v>
      </c>
      <c r="H303" s="103">
        <v>25</v>
      </c>
      <c r="I303" s="104">
        <v>50.84</v>
      </c>
      <c r="J303" s="108">
        <f>+H303*I303</f>
        <v>1271</v>
      </c>
      <c r="K303" s="38">
        <f>1+1+2+1+1</f>
        <v>6</v>
      </c>
      <c r="L303" s="103">
        <f t="shared" si="30"/>
        <v>19</v>
      </c>
      <c r="M303" s="103" t="s">
        <v>928</v>
      </c>
      <c r="N303" s="103" t="s">
        <v>945</v>
      </c>
      <c r="O303" s="104">
        <f>+L303*I303</f>
        <v>965.96</v>
      </c>
    </row>
    <row r="304" spans="1:15" s="8" customFormat="1" ht="15.75" x14ac:dyDescent="0.25">
      <c r="A304" s="113" t="s">
        <v>906</v>
      </c>
      <c r="B304" s="102"/>
      <c r="C304" s="25" t="s">
        <v>799</v>
      </c>
      <c r="D304" s="38">
        <v>120</v>
      </c>
      <c r="E304" s="13"/>
      <c r="F304" s="50">
        <f t="shared" si="36"/>
        <v>0</v>
      </c>
      <c r="G304" s="103"/>
      <c r="H304" s="103"/>
      <c r="I304" s="104"/>
      <c r="J304" s="103"/>
      <c r="K304" s="103"/>
      <c r="L304" s="103">
        <f t="shared" ref="L304:L367" si="37">+D304+H304-K304</f>
        <v>120</v>
      </c>
      <c r="M304" s="103"/>
      <c r="N304" s="103" t="s">
        <v>946</v>
      </c>
      <c r="O304" s="104">
        <f>+L304*E304</f>
        <v>0</v>
      </c>
    </row>
    <row r="305" spans="1:15" s="8" customFormat="1" ht="15.75" x14ac:dyDescent="0.25">
      <c r="A305" s="113" t="s">
        <v>907</v>
      </c>
      <c r="B305" s="102"/>
      <c r="C305" s="25" t="s">
        <v>824</v>
      </c>
      <c r="D305" s="38">
        <v>15</v>
      </c>
      <c r="E305" s="13"/>
      <c r="F305" s="50">
        <f t="shared" si="36"/>
        <v>0</v>
      </c>
      <c r="G305" s="107"/>
      <c r="H305" s="103"/>
      <c r="I305" s="104"/>
      <c r="J305" s="108"/>
      <c r="K305" s="108"/>
      <c r="L305" s="103">
        <f t="shared" si="37"/>
        <v>15</v>
      </c>
      <c r="M305" s="103"/>
      <c r="N305" s="103" t="s">
        <v>946</v>
      </c>
      <c r="O305" s="104">
        <f t="shared" ref="O305:O322" si="38">+L305*E305</f>
        <v>0</v>
      </c>
    </row>
    <row r="306" spans="1:15" s="8" customFormat="1" ht="15.75" x14ac:dyDescent="0.25">
      <c r="A306" s="113" t="s">
        <v>908</v>
      </c>
      <c r="B306" s="102"/>
      <c r="C306" s="25" t="s">
        <v>837</v>
      </c>
      <c r="D306" s="38">
        <v>9</v>
      </c>
      <c r="E306" s="13"/>
      <c r="F306" s="50">
        <f t="shared" si="36"/>
        <v>0</v>
      </c>
      <c r="G306" s="103"/>
      <c r="H306" s="103"/>
      <c r="I306" s="104"/>
      <c r="J306" s="103"/>
      <c r="K306" s="103"/>
      <c r="L306" s="103">
        <f t="shared" si="37"/>
        <v>9</v>
      </c>
      <c r="M306" s="103"/>
      <c r="N306" s="103" t="s">
        <v>946</v>
      </c>
      <c r="O306" s="104">
        <f t="shared" si="38"/>
        <v>0</v>
      </c>
    </row>
    <row r="307" spans="1:15" s="8" customFormat="1" ht="15.75" x14ac:dyDescent="0.25">
      <c r="A307" s="113" t="s">
        <v>909</v>
      </c>
      <c r="B307" s="102"/>
      <c r="C307" s="25" t="s">
        <v>792</v>
      </c>
      <c r="D307" s="38">
        <v>19</v>
      </c>
      <c r="E307" s="13"/>
      <c r="F307" s="50">
        <f t="shared" si="36"/>
        <v>0</v>
      </c>
      <c r="G307" s="103"/>
      <c r="H307" s="103"/>
      <c r="I307" s="104"/>
      <c r="J307" s="103"/>
      <c r="K307" s="103"/>
      <c r="L307" s="103">
        <f t="shared" si="37"/>
        <v>19</v>
      </c>
      <c r="M307" s="103"/>
      <c r="N307" s="103" t="s">
        <v>946</v>
      </c>
      <c r="O307" s="104">
        <f t="shared" si="38"/>
        <v>0</v>
      </c>
    </row>
    <row r="308" spans="1:15" s="8" customFormat="1" ht="15.75" x14ac:dyDescent="0.25">
      <c r="A308" s="113" t="s">
        <v>910</v>
      </c>
      <c r="B308" s="102"/>
      <c r="C308" s="25" t="s">
        <v>329</v>
      </c>
      <c r="D308" s="38">
        <v>21</v>
      </c>
      <c r="E308" s="13"/>
      <c r="F308" s="50">
        <f t="shared" si="36"/>
        <v>0</v>
      </c>
      <c r="G308" s="103"/>
      <c r="H308" s="103"/>
      <c r="I308" s="104"/>
      <c r="J308" s="103"/>
      <c r="K308" s="103"/>
      <c r="L308" s="103">
        <f t="shared" si="37"/>
        <v>21</v>
      </c>
      <c r="M308" s="103"/>
      <c r="N308" s="103" t="s">
        <v>946</v>
      </c>
      <c r="O308" s="104">
        <f t="shared" si="38"/>
        <v>0</v>
      </c>
    </row>
    <row r="309" spans="1:15" s="8" customFormat="1" ht="15.75" x14ac:dyDescent="0.25">
      <c r="A309" s="113" t="s">
        <v>911</v>
      </c>
      <c r="B309" s="102"/>
      <c r="C309" s="25" t="s">
        <v>330</v>
      </c>
      <c r="D309" s="38">
        <f>2+18</f>
        <v>20</v>
      </c>
      <c r="E309" s="13"/>
      <c r="F309" s="50">
        <f t="shared" si="36"/>
        <v>0</v>
      </c>
      <c r="G309" s="103"/>
      <c r="H309" s="103"/>
      <c r="I309" s="104"/>
      <c r="J309" s="103"/>
      <c r="K309" s="103"/>
      <c r="L309" s="103">
        <f t="shared" si="37"/>
        <v>20</v>
      </c>
      <c r="M309" s="103"/>
      <c r="N309" s="103" t="s">
        <v>946</v>
      </c>
      <c r="O309" s="104">
        <f t="shared" si="38"/>
        <v>0</v>
      </c>
    </row>
    <row r="310" spans="1:15" s="8" customFormat="1" ht="15.75" x14ac:dyDescent="0.25">
      <c r="A310" s="113" t="s">
        <v>912</v>
      </c>
      <c r="B310" s="102">
        <v>44193</v>
      </c>
      <c r="C310" s="25" t="s">
        <v>836</v>
      </c>
      <c r="D310" s="38">
        <v>19</v>
      </c>
      <c r="E310" s="13">
        <v>30</v>
      </c>
      <c r="F310" s="50">
        <f t="shared" si="36"/>
        <v>570</v>
      </c>
      <c r="G310" s="103"/>
      <c r="H310" s="103"/>
      <c r="I310" s="104"/>
      <c r="J310" s="103"/>
      <c r="K310" s="103"/>
      <c r="L310" s="103">
        <f t="shared" si="37"/>
        <v>19</v>
      </c>
      <c r="M310" s="103"/>
      <c r="N310" s="103" t="s">
        <v>946</v>
      </c>
      <c r="O310" s="104">
        <f t="shared" si="38"/>
        <v>570</v>
      </c>
    </row>
    <row r="311" spans="1:15" s="8" customFormat="1" ht="15.75" x14ac:dyDescent="0.25">
      <c r="A311" s="113" t="s">
        <v>530</v>
      </c>
      <c r="B311" s="102">
        <v>44193</v>
      </c>
      <c r="C311" s="25" t="s">
        <v>810</v>
      </c>
      <c r="D311" s="38">
        <v>6</v>
      </c>
      <c r="E311" s="13">
        <v>299.72000000000003</v>
      </c>
      <c r="F311" s="50">
        <f>+D311*E311</f>
        <v>1798.3200000000002</v>
      </c>
      <c r="G311" s="103"/>
      <c r="H311" s="103"/>
      <c r="I311" s="104"/>
      <c r="J311" s="103"/>
      <c r="K311" s="103"/>
      <c r="L311" s="103">
        <f t="shared" si="37"/>
        <v>6</v>
      </c>
      <c r="M311" s="103"/>
      <c r="N311" s="103" t="s">
        <v>946</v>
      </c>
      <c r="O311" s="104">
        <f t="shared" si="38"/>
        <v>1798.3200000000002</v>
      </c>
    </row>
    <row r="312" spans="1:15" s="8" customFormat="1" ht="15.75" x14ac:dyDescent="0.25">
      <c r="A312" s="113" t="s">
        <v>916</v>
      </c>
      <c r="B312" s="102"/>
      <c r="C312" s="25" t="s">
        <v>836</v>
      </c>
      <c r="D312" s="38">
        <v>19</v>
      </c>
      <c r="E312" s="13"/>
      <c r="F312" s="50"/>
      <c r="G312" s="103"/>
      <c r="H312" s="103"/>
      <c r="I312" s="104"/>
      <c r="J312" s="103"/>
      <c r="K312" s="103"/>
      <c r="L312" s="103">
        <f t="shared" si="37"/>
        <v>19</v>
      </c>
      <c r="M312" s="103"/>
      <c r="N312" s="103" t="s">
        <v>946</v>
      </c>
      <c r="O312" s="104">
        <f t="shared" si="38"/>
        <v>0</v>
      </c>
    </row>
    <row r="313" spans="1:15" s="92" customFormat="1" x14ac:dyDescent="0.3">
      <c r="A313" s="113" t="s">
        <v>917</v>
      </c>
      <c r="B313" s="102"/>
      <c r="C313" s="25" t="s">
        <v>918</v>
      </c>
      <c r="D313" s="38">
        <v>5</v>
      </c>
      <c r="E313" s="13"/>
      <c r="F313" s="50"/>
      <c r="G313" s="103"/>
      <c r="H313" s="103"/>
      <c r="I313" s="104"/>
      <c r="J313" s="103"/>
      <c r="K313" s="103"/>
      <c r="L313" s="103">
        <f t="shared" si="37"/>
        <v>5</v>
      </c>
      <c r="M313" s="103"/>
      <c r="N313" s="103" t="s">
        <v>945</v>
      </c>
      <c r="O313" s="104">
        <f t="shared" si="38"/>
        <v>0</v>
      </c>
    </row>
    <row r="314" spans="1:15" s="92" customFormat="1" x14ac:dyDescent="0.3">
      <c r="A314" s="113" t="s">
        <v>921</v>
      </c>
      <c r="B314" s="102"/>
      <c r="C314" s="25" t="s">
        <v>919</v>
      </c>
      <c r="D314" s="38">
        <f>12+10+11</f>
        <v>33</v>
      </c>
      <c r="E314" s="13">
        <v>150</v>
      </c>
      <c r="F314" s="50"/>
      <c r="G314" s="103"/>
      <c r="H314" s="103"/>
      <c r="I314" s="104"/>
      <c r="J314" s="103"/>
      <c r="K314" s="103"/>
      <c r="L314" s="103">
        <f t="shared" si="37"/>
        <v>33</v>
      </c>
      <c r="M314" s="103"/>
      <c r="N314" s="103" t="s">
        <v>945</v>
      </c>
      <c r="O314" s="104">
        <f t="shared" si="38"/>
        <v>4950</v>
      </c>
    </row>
    <row r="315" spans="1:15" s="92" customFormat="1" x14ac:dyDescent="0.3">
      <c r="A315" s="113" t="s">
        <v>922</v>
      </c>
      <c r="B315" s="102"/>
      <c r="C315" s="25" t="s">
        <v>926</v>
      </c>
      <c r="D315" s="38">
        <v>1</v>
      </c>
      <c r="E315" s="13"/>
      <c r="F315" s="50"/>
      <c r="G315" s="103"/>
      <c r="H315" s="103"/>
      <c r="I315" s="104"/>
      <c r="J315" s="103"/>
      <c r="K315" s="103"/>
      <c r="L315" s="103">
        <f t="shared" si="37"/>
        <v>1</v>
      </c>
      <c r="M315" s="103"/>
      <c r="N315" s="103" t="s">
        <v>945</v>
      </c>
      <c r="O315" s="104">
        <f t="shared" si="38"/>
        <v>0</v>
      </c>
    </row>
    <row r="316" spans="1:15" s="92" customFormat="1" x14ac:dyDescent="0.3">
      <c r="A316" s="113" t="s">
        <v>923</v>
      </c>
      <c r="B316" s="102"/>
      <c r="C316" s="25" t="s">
        <v>930</v>
      </c>
      <c r="D316" s="38"/>
      <c r="E316" s="13"/>
      <c r="F316" s="50"/>
      <c r="G316" s="103"/>
      <c r="H316" s="103"/>
      <c r="I316" s="104"/>
      <c r="J316" s="103"/>
      <c r="K316" s="103">
        <f>2+2+2</f>
        <v>6</v>
      </c>
      <c r="L316" s="103">
        <f t="shared" si="37"/>
        <v>-6</v>
      </c>
      <c r="M316" s="103"/>
      <c r="N316" s="103" t="s">
        <v>945</v>
      </c>
      <c r="O316" s="104">
        <f t="shared" si="38"/>
        <v>0</v>
      </c>
    </row>
    <row r="317" spans="1:15" s="8" customFormat="1" ht="15.75" x14ac:dyDescent="0.25">
      <c r="A317" s="113" t="s">
        <v>932</v>
      </c>
      <c r="B317" s="102"/>
      <c r="C317" s="25" t="s">
        <v>931</v>
      </c>
      <c r="D317" s="38"/>
      <c r="E317" s="13"/>
      <c r="F317" s="50"/>
      <c r="G317" s="103"/>
      <c r="H317" s="103"/>
      <c r="I317" s="104"/>
      <c r="J317" s="103"/>
      <c r="K317" s="103">
        <f>1+1</f>
        <v>2</v>
      </c>
      <c r="L317" s="103">
        <f t="shared" si="37"/>
        <v>-2</v>
      </c>
      <c r="M317" s="103"/>
      <c r="N317" s="103" t="s">
        <v>947</v>
      </c>
      <c r="O317" s="104">
        <f t="shared" si="38"/>
        <v>0</v>
      </c>
    </row>
    <row r="318" spans="1:15" s="8" customFormat="1" ht="15.75" x14ac:dyDescent="0.25">
      <c r="A318" s="113" t="s">
        <v>933</v>
      </c>
      <c r="B318" s="102"/>
      <c r="C318" s="68" t="s">
        <v>934</v>
      </c>
      <c r="D318" s="38"/>
      <c r="E318" s="13"/>
      <c r="F318" s="50"/>
      <c r="G318" s="103"/>
      <c r="H318" s="103"/>
      <c r="I318" s="104"/>
      <c r="J318" s="103"/>
      <c r="K318" s="103">
        <f>1+1+15+1</f>
        <v>18</v>
      </c>
      <c r="L318" s="103">
        <f t="shared" si="37"/>
        <v>-18</v>
      </c>
      <c r="M318" s="103"/>
      <c r="N318" s="103" t="s">
        <v>946</v>
      </c>
      <c r="O318" s="104">
        <f t="shared" si="38"/>
        <v>0</v>
      </c>
    </row>
    <row r="319" spans="1:15" s="8" customFormat="1" ht="15.75" x14ac:dyDescent="0.25">
      <c r="A319" s="113" t="s">
        <v>936</v>
      </c>
      <c r="B319" s="102">
        <v>44193</v>
      </c>
      <c r="C319" s="25" t="s">
        <v>613</v>
      </c>
      <c r="D319" s="38">
        <v>25</v>
      </c>
      <c r="E319" s="13">
        <v>5.78</v>
      </c>
      <c r="F319" s="50">
        <f>+D319*E319</f>
        <v>144.5</v>
      </c>
      <c r="G319" s="103"/>
      <c r="H319" s="103"/>
      <c r="I319" s="104"/>
      <c r="J319" s="103"/>
      <c r="K319" s="103">
        <v>1</v>
      </c>
      <c r="L319" s="103">
        <f t="shared" si="37"/>
        <v>24</v>
      </c>
      <c r="M319" s="103"/>
      <c r="N319" s="103" t="s">
        <v>946</v>
      </c>
      <c r="O319" s="104">
        <f t="shared" si="38"/>
        <v>138.72</v>
      </c>
    </row>
    <row r="320" spans="1:15" s="8" customFormat="1" ht="15.75" x14ac:dyDescent="0.25">
      <c r="A320" s="113" t="s">
        <v>937</v>
      </c>
      <c r="B320" s="102"/>
      <c r="C320" s="25" t="s">
        <v>935</v>
      </c>
      <c r="D320" s="38"/>
      <c r="E320" s="13"/>
      <c r="F320" s="50"/>
      <c r="G320" s="103"/>
      <c r="H320" s="103"/>
      <c r="I320" s="104"/>
      <c r="J320" s="103"/>
      <c r="K320" s="103">
        <v>2</v>
      </c>
      <c r="L320" s="103">
        <f t="shared" si="37"/>
        <v>-2</v>
      </c>
      <c r="M320" s="103"/>
      <c r="N320" s="103" t="s">
        <v>946</v>
      </c>
      <c r="O320" s="104">
        <f t="shared" si="38"/>
        <v>0</v>
      </c>
    </row>
    <row r="321" spans="1:15" s="8" customFormat="1" ht="15.75" x14ac:dyDescent="0.25">
      <c r="A321" s="113" t="s">
        <v>938</v>
      </c>
      <c r="B321" s="102"/>
      <c r="C321" s="25" t="s">
        <v>939</v>
      </c>
      <c r="D321" s="38"/>
      <c r="E321" s="13"/>
      <c r="F321" s="50"/>
      <c r="G321" s="103"/>
      <c r="H321" s="103"/>
      <c r="I321" s="104"/>
      <c r="J321" s="103"/>
      <c r="K321" s="103">
        <v>1</v>
      </c>
      <c r="L321" s="103">
        <f t="shared" si="37"/>
        <v>-1</v>
      </c>
      <c r="M321" s="103"/>
      <c r="N321" s="103" t="s">
        <v>946</v>
      </c>
      <c r="O321" s="104">
        <f t="shared" si="38"/>
        <v>0</v>
      </c>
    </row>
    <row r="322" spans="1:15" s="8" customFormat="1" ht="15.75" x14ac:dyDescent="0.25">
      <c r="A322" s="113" t="s">
        <v>941</v>
      </c>
      <c r="B322" s="102"/>
      <c r="C322" s="25" t="s">
        <v>940</v>
      </c>
      <c r="D322" s="38"/>
      <c r="E322" s="13"/>
      <c r="F322" s="50"/>
      <c r="G322" s="103"/>
      <c r="H322" s="103"/>
      <c r="I322" s="104"/>
      <c r="J322" s="103"/>
      <c r="K322" s="103">
        <v>1</v>
      </c>
      <c r="L322" s="103">
        <f t="shared" si="37"/>
        <v>-1</v>
      </c>
      <c r="M322" s="103"/>
      <c r="N322" s="103" t="s">
        <v>946</v>
      </c>
      <c r="O322" s="104">
        <f t="shared" si="38"/>
        <v>0</v>
      </c>
    </row>
    <row r="323" spans="1:15" s="8" customFormat="1" ht="15.75" x14ac:dyDescent="0.25">
      <c r="A323" s="113" t="s">
        <v>948</v>
      </c>
      <c r="B323" s="102"/>
      <c r="C323" s="25" t="s">
        <v>942</v>
      </c>
      <c r="D323" s="38"/>
      <c r="E323" s="13"/>
      <c r="F323" s="50"/>
      <c r="G323" s="107">
        <v>44778</v>
      </c>
      <c r="H323" s="103">
        <f>120*12</f>
        <v>1440</v>
      </c>
      <c r="I323" s="104">
        <f>111864/H323</f>
        <v>77.683333333333337</v>
      </c>
      <c r="J323" s="104">
        <f>+I323*H323</f>
        <v>111864</v>
      </c>
      <c r="K323" s="103">
        <f>1+4+3+12+12+3+12+4+4+3+12+4+5+4+4+36</f>
        <v>123</v>
      </c>
      <c r="L323" s="103">
        <f t="shared" si="37"/>
        <v>1317</v>
      </c>
      <c r="M323" s="103"/>
      <c r="N323" s="103" t="s">
        <v>946</v>
      </c>
      <c r="O323" s="104">
        <f>+L323*I323</f>
        <v>102308.95000000001</v>
      </c>
    </row>
    <row r="324" spans="1:15" s="8" customFormat="1" ht="15.75" x14ac:dyDescent="0.25">
      <c r="A324" s="113" t="s">
        <v>953</v>
      </c>
      <c r="B324" s="102"/>
      <c r="C324" s="25" t="s">
        <v>949</v>
      </c>
      <c r="D324" s="38"/>
      <c r="E324" s="13"/>
      <c r="F324" s="50"/>
      <c r="G324" s="103"/>
      <c r="H324" s="103"/>
      <c r="I324" s="104"/>
      <c r="J324" s="103"/>
      <c r="K324" s="103">
        <v>1</v>
      </c>
      <c r="L324" s="103">
        <f t="shared" si="37"/>
        <v>-1</v>
      </c>
      <c r="M324" s="103"/>
      <c r="N324" s="103" t="s">
        <v>946</v>
      </c>
      <c r="O324" s="104">
        <f>+L324*I324</f>
        <v>0</v>
      </c>
    </row>
    <row r="325" spans="1:15" s="92" customFormat="1" x14ac:dyDescent="0.3">
      <c r="A325" s="113" t="s">
        <v>954</v>
      </c>
      <c r="B325" s="102"/>
      <c r="C325" s="25" t="s">
        <v>952</v>
      </c>
      <c r="D325" s="38"/>
      <c r="E325" s="13"/>
      <c r="F325" s="50"/>
      <c r="G325" s="103"/>
      <c r="H325" s="103"/>
      <c r="I325" s="104"/>
      <c r="J325" s="103"/>
      <c r="K325" s="103">
        <f>1+1+2</f>
        <v>4</v>
      </c>
      <c r="L325" s="103">
        <f t="shared" si="37"/>
        <v>-4</v>
      </c>
      <c r="M325" s="103"/>
      <c r="N325" s="103" t="s">
        <v>945</v>
      </c>
      <c r="O325" s="104">
        <f t="shared" ref="O325:O330" si="39">+L325*I325</f>
        <v>0</v>
      </c>
    </row>
    <row r="326" spans="1:15" s="92" customFormat="1" x14ac:dyDescent="0.3">
      <c r="A326" s="113" t="s">
        <v>957</v>
      </c>
      <c r="B326" s="102"/>
      <c r="C326" s="25" t="s">
        <v>958</v>
      </c>
      <c r="D326" s="38"/>
      <c r="E326" s="13"/>
      <c r="F326" s="50"/>
      <c r="G326" s="103"/>
      <c r="H326" s="103"/>
      <c r="I326" s="104"/>
      <c r="J326" s="103"/>
      <c r="K326" s="103">
        <f>1+1+2+2+1</f>
        <v>7</v>
      </c>
      <c r="L326" s="103">
        <f t="shared" si="37"/>
        <v>-7</v>
      </c>
      <c r="M326" s="103"/>
      <c r="N326" s="103" t="s">
        <v>945</v>
      </c>
      <c r="O326" s="104">
        <f t="shared" si="39"/>
        <v>0</v>
      </c>
    </row>
    <row r="327" spans="1:15" s="105" customFormat="1" ht="15.75" x14ac:dyDescent="0.25">
      <c r="A327" s="113" t="s">
        <v>972</v>
      </c>
      <c r="B327" s="102"/>
      <c r="C327" s="25" t="s">
        <v>959</v>
      </c>
      <c r="D327" s="38"/>
      <c r="E327" s="13"/>
      <c r="F327" s="50"/>
      <c r="G327" s="107">
        <v>44852</v>
      </c>
      <c r="H327" s="103">
        <v>20</v>
      </c>
      <c r="I327" s="104">
        <v>19.329999999999998</v>
      </c>
      <c r="J327" s="108">
        <f>+H327*I327</f>
        <v>386.59999999999997</v>
      </c>
      <c r="K327" s="103">
        <f>1+1+2+2</f>
        <v>6</v>
      </c>
      <c r="L327" s="103">
        <f t="shared" si="37"/>
        <v>14</v>
      </c>
      <c r="M327" s="103" t="s">
        <v>1037</v>
      </c>
      <c r="N327" s="103" t="s">
        <v>947</v>
      </c>
      <c r="O327" s="104">
        <f t="shared" si="39"/>
        <v>270.62</v>
      </c>
    </row>
    <row r="328" spans="1:15" s="105" customFormat="1" ht="15.75" x14ac:dyDescent="0.25">
      <c r="A328" s="113" t="s">
        <v>973</v>
      </c>
      <c r="B328" s="102"/>
      <c r="C328" s="25" t="s">
        <v>1036</v>
      </c>
      <c r="D328" s="38"/>
      <c r="E328" s="13"/>
      <c r="F328" s="50"/>
      <c r="G328" s="107">
        <v>44852</v>
      </c>
      <c r="H328" s="103">
        <v>10</v>
      </c>
      <c r="I328" s="104">
        <v>145.80000000000001</v>
      </c>
      <c r="J328" s="108">
        <f>+H328*I328</f>
        <v>1458</v>
      </c>
      <c r="K328" s="103">
        <f>1+1+2+1</f>
        <v>5</v>
      </c>
      <c r="L328" s="103">
        <f t="shared" si="37"/>
        <v>5</v>
      </c>
      <c r="M328" s="103" t="s">
        <v>1037</v>
      </c>
      <c r="N328" s="103" t="s">
        <v>947</v>
      </c>
      <c r="O328" s="104">
        <f t="shared" si="39"/>
        <v>729</v>
      </c>
    </row>
    <row r="329" spans="1:15" s="105" customFormat="1" ht="15.75" x14ac:dyDescent="0.25">
      <c r="A329" s="113" t="s">
        <v>974</v>
      </c>
      <c r="B329" s="102"/>
      <c r="C329" s="25" t="s">
        <v>1040</v>
      </c>
      <c r="D329" s="38"/>
      <c r="E329" s="13"/>
      <c r="F329" s="50"/>
      <c r="G329" s="107">
        <v>44852</v>
      </c>
      <c r="H329" s="103">
        <v>30</v>
      </c>
      <c r="I329" s="104">
        <v>97.59</v>
      </c>
      <c r="J329" s="108">
        <f>+H329*I329</f>
        <v>2927.7000000000003</v>
      </c>
      <c r="K329" s="103">
        <f t="shared" ref="K329" si="40">1+1+2</f>
        <v>4</v>
      </c>
      <c r="L329" s="103">
        <f t="shared" si="37"/>
        <v>26</v>
      </c>
      <c r="M329" s="103" t="s">
        <v>1037</v>
      </c>
      <c r="N329" s="103" t="s">
        <v>947</v>
      </c>
      <c r="O329" s="104">
        <f t="shared" si="39"/>
        <v>2537.34</v>
      </c>
    </row>
    <row r="330" spans="1:15" s="92" customFormat="1" x14ac:dyDescent="0.3">
      <c r="A330" s="113" t="s">
        <v>975</v>
      </c>
      <c r="B330" s="102"/>
      <c r="C330" s="25" t="s">
        <v>960</v>
      </c>
      <c r="D330" s="38"/>
      <c r="E330" s="13"/>
      <c r="F330" s="50"/>
      <c r="G330" s="103"/>
      <c r="H330" s="103"/>
      <c r="I330" s="104"/>
      <c r="J330" s="103"/>
      <c r="K330" s="103">
        <v>2</v>
      </c>
      <c r="L330" s="103">
        <f t="shared" si="37"/>
        <v>-2</v>
      </c>
      <c r="M330" s="103"/>
      <c r="N330" s="103" t="s">
        <v>946</v>
      </c>
      <c r="O330" s="104">
        <f t="shared" si="39"/>
        <v>0</v>
      </c>
    </row>
    <row r="331" spans="1:15" s="92" customFormat="1" ht="32.25" x14ac:dyDescent="0.3">
      <c r="A331" s="113" t="s">
        <v>976</v>
      </c>
      <c r="B331" s="102"/>
      <c r="C331" s="25" t="s">
        <v>961</v>
      </c>
      <c r="D331" s="38"/>
      <c r="E331" s="13"/>
      <c r="F331" s="50"/>
      <c r="G331" s="107">
        <v>44851</v>
      </c>
      <c r="H331" s="103">
        <v>25</v>
      </c>
      <c r="I331" s="104">
        <v>672.78</v>
      </c>
      <c r="J331" s="108">
        <f>+H331*I331</f>
        <v>16819.5</v>
      </c>
      <c r="K331" s="103">
        <f>1+1</f>
        <v>2</v>
      </c>
      <c r="L331" s="103">
        <f t="shared" si="37"/>
        <v>23</v>
      </c>
      <c r="M331" s="121" t="s">
        <v>1006</v>
      </c>
      <c r="N331" s="103" t="s">
        <v>946</v>
      </c>
      <c r="O331" s="104">
        <f>+L331*I331</f>
        <v>15473.939999999999</v>
      </c>
    </row>
    <row r="332" spans="1:15" s="92" customFormat="1" x14ac:dyDescent="0.3">
      <c r="A332" s="113" t="s">
        <v>977</v>
      </c>
      <c r="B332" s="102"/>
      <c r="C332" s="25" t="s">
        <v>962</v>
      </c>
      <c r="D332" s="38"/>
      <c r="E332" s="13"/>
      <c r="F332" s="50"/>
      <c r="G332" s="107">
        <v>44852</v>
      </c>
      <c r="H332" s="103">
        <v>12</v>
      </c>
      <c r="I332" s="104">
        <f>1452+261.36</f>
        <v>1713.3600000000001</v>
      </c>
      <c r="J332" s="108">
        <f>+H332*I332</f>
        <v>20560.32</v>
      </c>
      <c r="K332" s="103">
        <v>1</v>
      </c>
      <c r="L332" s="103">
        <f t="shared" si="37"/>
        <v>11</v>
      </c>
      <c r="M332" s="103"/>
      <c r="N332" s="103" t="s">
        <v>946</v>
      </c>
      <c r="O332" s="104">
        <f t="shared" ref="O332:O392" si="41">+L332*I332</f>
        <v>18846.960000000003</v>
      </c>
    </row>
    <row r="333" spans="1:15" s="92" customFormat="1" x14ac:dyDescent="0.3">
      <c r="A333" s="113" t="s">
        <v>978</v>
      </c>
      <c r="B333" s="102"/>
      <c r="C333" s="25" t="s">
        <v>963</v>
      </c>
      <c r="D333" s="38"/>
      <c r="E333" s="13"/>
      <c r="F333" s="50"/>
      <c r="G333" s="107">
        <v>44852</v>
      </c>
      <c r="H333" s="103">
        <v>15</v>
      </c>
      <c r="I333" s="104">
        <f>4210+757.8</f>
        <v>4967.8</v>
      </c>
      <c r="J333" s="108">
        <f>+H333*I333</f>
        <v>74517</v>
      </c>
      <c r="K333" s="103"/>
      <c r="L333" s="103">
        <f t="shared" si="37"/>
        <v>15</v>
      </c>
      <c r="M333" s="103"/>
      <c r="N333" s="103" t="s">
        <v>946</v>
      </c>
      <c r="O333" s="104">
        <f t="shared" si="41"/>
        <v>74517</v>
      </c>
    </row>
    <row r="334" spans="1:15" s="92" customFormat="1" x14ac:dyDescent="0.3">
      <c r="A334" s="113" t="s">
        <v>979</v>
      </c>
      <c r="B334" s="102"/>
      <c r="C334" s="25" t="s">
        <v>964</v>
      </c>
      <c r="D334" s="38"/>
      <c r="E334" s="13"/>
      <c r="F334" s="50"/>
      <c r="G334" s="107">
        <v>44852</v>
      </c>
      <c r="H334" s="103">
        <v>16</v>
      </c>
      <c r="I334" s="104">
        <f>3200+576</f>
        <v>3776</v>
      </c>
      <c r="J334" s="108">
        <f>+H334*I334</f>
        <v>60416</v>
      </c>
      <c r="K334" s="103"/>
      <c r="L334" s="103">
        <f t="shared" si="37"/>
        <v>16</v>
      </c>
      <c r="M334" s="103"/>
      <c r="N334" s="103" t="s">
        <v>946</v>
      </c>
      <c r="O334" s="104">
        <f t="shared" si="41"/>
        <v>60416</v>
      </c>
    </row>
    <row r="335" spans="1:15" s="92" customFormat="1" x14ac:dyDescent="0.3">
      <c r="A335" s="113" t="s">
        <v>980</v>
      </c>
      <c r="B335" s="102"/>
      <c r="C335" s="25" t="s">
        <v>965</v>
      </c>
      <c r="D335" s="38"/>
      <c r="E335" s="13"/>
      <c r="F335" s="50"/>
      <c r="G335" s="107">
        <v>44852</v>
      </c>
      <c r="H335" s="103">
        <v>5</v>
      </c>
      <c r="I335" s="104">
        <f>1911+343.98</f>
        <v>2254.98</v>
      </c>
      <c r="J335" s="108">
        <f t="shared" ref="J335:J345" si="42">+H335*I335</f>
        <v>11274.9</v>
      </c>
      <c r="K335" s="103"/>
      <c r="L335" s="103">
        <f t="shared" si="37"/>
        <v>5</v>
      </c>
      <c r="M335" s="103"/>
      <c r="N335" s="103" t="s">
        <v>946</v>
      </c>
      <c r="O335" s="104">
        <f t="shared" si="41"/>
        <v>11274.9</v>
      </c>
    </row>
    <row r="336" spans="1:15" s="92" customFormat="1" x14ac:dyDescent="0.3">
      <c r="A336" s="113" t="s">
        <v>981</v>
      </c>
      <c r="B336" s="102"/>
      <c r="C336" s="25" t="s">
        <v>966</v>
      </c>
      <c r="D336" s="38"/>
      <c r="E336" s="13"/>
      <c r="F336" s="50"/>
      <c r="G336" s="107">
        <v>44852</v>
      </c>
      <c r="H336" s="103">
        <v>20</v>
      </c>
      <c r="I336" s="104">
        <f>3200+576</f>
        <v>3776</v>
      </c>
      <c r="J336" s="108">
        <f t="shared" si="42"/>
        <v>75520</v>
      </c>
      <c r="K336" s="103"/>
      <c r="L336" s="103">
        <f t="shared" si="37"/>
        <v>20</v>
      </c>
      <c r="M336" s="103"/>
      <c r="N336" s="103" t="s">
        <v>946</v>
      </c>
      <c r="O336" s="104">
        <f t="shared" si="41"/>
        <v>75520</v>
      </c>
    </row>
    <row r="337" spans="1:15" s="92" customFormat="1" x14ac:dyDescent="0.3">
      <c r="A337" s="113" t="s">
        <v>982</v>
      </c>
      <c r="B337" s="102"/>
      <c r="C337" s="25" t="s">
        <v>967</v>
      </c>
      <c r="D337" s="38"/>
      <c r="E337" s="13"/>
      <c r="F337" s="50"/>
      <c r="G337" s="107">
        <v>44852</v>
      </c>
      <c r="H337" s="103">
        <v>10</v>
      </c>
      <c r="I337" s="104">
        <f>4800+864</f>
        <v>5664</v>
      </c>
      <c r="J337" s="108">
        <f t="shared" si="42"/>
        <v>56640</v>
      </c>
      <c r="K337" s="103"/>
      <c r="L337" s="103">
        <f t="shared" si="37"/>
        <v>10</v>
      </c>
      <c r="M337" s="103"/>
      <c r="N337" s="103" t="s">
        <v>946</v>
      </c>
      <c r="O337" s="104">
        <f t="shared" si="41"/>
        <v>56640</v>
      </c>
    </row>
    <row r="338" spans="1:15" s="92" customFormat="1" x14ac:dyDescent="0.3">
      <c r="A338" s="113" t="s">
        <v>983</v>
      </c>
      <c r="B338" s="102"/>
      <c r="C338" s="25" t="s">
        <v>968</v>
      </c>
      <c r="D338" s="38"/>
      <c r="E338" s="13"/>
      <c r="F338" s="50"/>
      <c r="G338" s="107">
        <v>44852</v>
      </c>
      <c r="H338" s="103">
        <v>35</v>
      </c>
      <c r="I338" s="104">
        <f>2050+369</f>
        <v>2419</v>
      </c>
      <c r="J338" s="108">
        <f t="shared" si="42"/>
        <v>84665</v>
      </c>
      <c r="K338" s="103"/>
      <c r="L338" s="103">
        <f t="shared" si="37"/>
        <v>35</v>
      </c>
      <c r="M338" s="103"/>
      <c r="N338" s="103" t="s">
        <v>946</v>
      </c>
      <c r="O338" s="104">
        <f t="shared" si="41"/>
        <v>84665</v>
      </c>
    </row>
    <row r="339" spans="1:15" s="92" customFormat="1" x14ac:dyDescent="0.3">
      <c r="A339" s="113" t="s">
        <v>984</v>
      </c>
      <c r="B339" s="102"/>
      <c r="C339" s="25" t="s">
        <v>969</v>
      </c>
      <c r="D339" s="38"/>
      <c r="E339" s="13"/>
      <c r="F339" s="50"/>
      <c r="G339" s="107">
        <v>44852</v>
      </c>
      <c r="H339" s="103">
        <v>5</v>
      </c>
      <c r="I339" s="104">
        <f>3737+672.66</f>
        <v>4409.66</v>
      </c>
      <c r="J339" s="108">
        <f t="shared" si="42"/>
        <v>22048.3</v>
      </c>
      <c r="K339" s="103"/>
      <c r="L339" s="103">
        <f t="shared" si="37"/>
        <v>5</v>
      </c>
      <c r="M339" s="103"/>
      <c r="N339" s="103" t="s">
        <v>946</v>
      </c>
      <c r="O339" s="104">
        <f t="shared" si="41"/>
        <v>22048.3</v>
      </c>
    </row>
    <row r="340" spans="1:15" s="92" customFormat="1" x14ac:dyDescent="0.3">
      <c r="A340" s="113" t="s">
        <v>985</v>
      </c>
      <c r="B340" s="102"/>
      <c r="C340" s="25" t="s">
        <v>994</v>
      </c>
      <c r="D340" s="38"/>
      <c r="E340" s="13"/>
      <c r="F340" s="50"/>
      <c r="G340" s="107">
        <v>44862</v>
      </c>
      <c r="H340" s="103">
        <v>40</v>
      </c>
      <c r="I340" s="104">
        <f>8750+1575</f>
        <v>10325</v>
      </c>
      <c r="J340" s="108">
        <f t="shared" si="42"/>
        <v>413000</v>
      </c>
      <c r="K340" s="103"/>
      <c r="L340" s="103">
        <f t="shared" si="37"/>
        <v>40</v>
      </c>
      <c r="M340" s="103"/>
      <c r="N340" s="103" t="s">
        <v>946</v>
      </c>
      <c r="O340" s="104">
        <f t="shared" si="41"/>
        <v>413000</v>
      </c>
    </row>
    <row r="341" spans="1:15" s="92" customFormat="1" x14ac:dyDescent="0.3">
      <c r="A341" s="113" t="s">
        <v>986</v>
      </c>
      <c r="B341" s="102"/>
      <c r="C341" s="25" t="s">
        <v>995</v>
      </c>
      <c r="D341" s="38"/>
      <c r="E341" s="13"/>
      <c r="F341" s="50"/>
      <c r="G341" s="107">
        <v>44862</v>
      </c>
      <c r="H341" s="103">
        <v>4</v>
      </c>
      <c r="I341" s="104">
        <f>1311+235.98</f>
        <v>1546.98</v>
      </c>
      <c r="J341" s="108">
        <f t="shared" si="42"/>
        <v>6187.92</v>
      </c>
      <c r="K341" s="103"/>
      <c r="L341" s="103">
        <f t="shared" si="37"/>
        <v>4</v>
      </c>
      <c r="M341" s="103"/>
      <c r="N341" s="103" t="s">
        <v>946</v>
      </c>
      <c r="O341" s="104">
        <f t="shared" si="41"/>
        <v>6187.92</v>
      </c>
    </row>
    <row r="342" spans="1:15" s="92" customFormat="1" x14ac:dyDescent="0.3">
      <c r="A342" s="113" t="s">
        <v>987</v>
      </c>
      <c r="B342" s="102"/>
      <c r="C342" s="25" t="s">
        <v>295</v>
      </c>
      <c r="D342" s="38"/>
      <c r="E342" s="13"/>
      <c r="F342" s="50"/>
      <c r="G342" s="103"/>
      <c r="H342" s="103"/>
      <c r="I342" s="104"/>
      <c r="J342" s="108">
        <f t="shared" si="42"/>
        <v>0</v>
      </c>
      <c r="K342" s="103">
        <v>1</v>
      </c>
      <c r="L342" s="103">
        <f t="shared" si="37"/>
        <v>-1</v>
      </c>
      <c r="M342" s="103"/>
      <c r="N342" s="103" t="s">
        <v>946</v>
      </c>
      <c r="O342" s="104">
        <f t="shared" si="41"/>
        <v>0</v>
      </c>
    </row>
    <row r="343" spans="1:15" s="92" customFormat="1" x14ac:dyDescent="0.3">
      <c r="A343" s="113" t="s">
        <v>988</v>
      </c>
      <c r="B343" s="102"/>
      <c r="C343" s="25" t="s">
        <v>970</v>
      </c>
      <c r="D343" s="38"/>
      <c r="E343" s="13"/>
      <c r="F343" s="50"/>
      <c r="G343" s="103"/>
      <c r="H343" s="103"/>
      <c r="I343" s="104"/>
      <c r="J343" s="108">
        <f t="shared" si="42"/>
        <v>0</v>
      </c>
      <c r="K343" s="103">
        <f>2+2</f>
        <v>4</v>
      </c>
      <c r="L343" s="103">
        <f t="shared" si="37"/>
        <v>-4</v>
      </c>
      <c r="M343" s="103"/>
      <c r="N343" s="103" t="s">
        <v>946</v>
      </c>
      <c r="O343" s="104">
        <f t="shared" si="41"/>
        <v>0</v>
      </c>
    </row>
    <row r="344" spans="1:15" s="92" customFormat="1" x14ac:dyDescent="0.3">
      <c r="A344" s="113" t="s">
        <v>989</v>
      </c>
      <c r="B344" s="102"/>
      <c r="C344" s="25" t="s">
        <v>971</v>
      </c>
      <c r="D344" s="38"/>
      <c r="E344" s="13"/>
      <c r="F344" s="50"/>
      <c r="G344" s="103"/>
      <c r="H344" s="103"/>
      <c r="I344" s="104"/>
      <c r="J344" s="108">
        <f t="shared" si="42"/>
        <v>0</v>
      </c>
      <c r="K344" s="103">
        <f>3+3</f>
        <v>6</v>
      </c>
      <c r="L344" s="103">
        <f t="shared" si="37"/>
        <v>-6</v>
      </c>
      <c r="M344" s="103"/>
      <c r="N344" s="103" t="s">
        <v>946</v>
      </c>
      <c r="O344" s="104">
        <f t="shared" si="41"/>
        <v>0</v>
      </c>
    </row>
    <row r="345" spans="1:15" s="92" customFormat="1" ht="32.25" x14ac:dyDescent="0.3">
      <c r="A345" s="113" t="s">
        <v>990</v>
      </c>
      <c r="B345" s="102"/>
      <c r="C345" s="123" t="s">
        <v>996</v>
      </c>
      <c r="D345" s="38"/>
      <c r="E345" s="13"/>
      <c r="F345" s="50"/>
      <c r="G345" s="107">
        <v>44851</v>
      </c>
      <c r="H345" s="103">
        <v>30</v>
      </c>
      <c r="I345" s="104">
        <v>240.72</v>
      </c>
      <c r="J345" s="108">
        <f t="shared" si="42"/>
        <v>7221.6</v>
      </c>
      <c r="K345" s="103"/>
      <c r="L345" s="103">
        <f t="shared" si="37"/>
        <v>30</v>
      </c>
      <c r="M345" s="121" t="s">
        <v>1006</v>
      </c>
      <c r="N345" s="103" t="s">
        <v>946</v>
      </c>
      <c r="O345" s="104">
        <f>+L345*I345</f>
        <v>7221.6</v>
      </c>
    </row>
    <row r="346" spans="1:15" s="92" customFormat="1" ht="32.25" x14ac:dyDescent="0.3">
      <c r="A346" s="113" t="s">
        <v>991</v>
      </c>
      <c r="B346" s="102"/>
      <c r="C346" s="25" t="s">
        <v>997</v>
      </c>
      <c r="D346" s="38"/>
      <c r="E346" s="13"/>
      <c r="F346" s="50"/>
      <c r="G346" s="107">
        <v>44851</v>
      </c>
      <c r="H346" s="103">
        <v>10</v>
      </c>
      <c r="I346" s="104">
        <v>40.119999999999997</v>
      </c>
      <c r="J346" s="108">
        <f>+H346*I346</f>
        <v>401.2</v>
      </c>
      <c r="K346" s="103"/>
      <c r="L346" s="103">
        <f t="shared" si="37"/>
        <v>10</v>
      </c>
      <c r="M346" s="121" t="s">
        <v>1006</v>
      </c>
      <c r="N346" s="103" t="s">
        <v>946</v>
      </c>
      <c r="O346" s="104">
        <f t="shared" si="41"/>
        <v>401.2</v>
      </c>
    </row>
    <row r="347" spans="1:15" s="92" customFormat="1" ht="32.25" x14ac:dyDescent="0.3">
      <c r="A347" s="113" t="s">
        <v>992</v>
      </c>
      <c r="B347" s="102"/>
      <c r="C347" s="25" t="s">
        <v>998</v>
      </c>
      <c r="D347" s="38"/>
      <c r="E347" s="13"/>
      <c r="F347" s="50"/>
      <c r="G347" s="107">
        <v>44851</v>
      </c>
      <c r="H347" s="103">
        <v>25</v>
      </c>
      <c r="I347" s="104">
        <v>141.6</v>
      </c>
      <c r="J347" s="108">
        <f t="shared" ref="J347:J365" si="43">+H347*I347</f>
        <v>3540</v>
      </c>
      <c r="K347" s="103"/>
      <c r="L347" s="103">
        <f t="shared" si="37"/>
        <v>25</v>
      </c>
      <c r="M347" s="121" t="s">
        <v>1006</v>
      </c>
      <c r="N347" s="103" t="s">
        <v>946</v>
      </c>
      <c r="O347" s="104">
        <f t="shared" si="41"/>
        <v>3540</v>
      </c>
    </row>
    <row r="348" spans="1:15" s="92" customFormat="1" ht="32.25" x14ac:dyDescent="0.3">
      <c r="A348" s="113" t="s">
        <v>993</v>
      </c>
      <c r="B348" s="102"/>
      <c r="C348" s="25" t="s">
        <v>999</v>
      </c>
      <c r="D348" s="38"/>
      <c r="E348" s="13"/>
      <c r="F348" s="50"/>
      <c r="G348" s="107">
        <v>44851</v>
      </c>
      <c r="H348" s="103">
        <v>4</v>
      </c>
      <c r="I348" s="104">
        <v>1443.73</v>
      </c>
      <c r="J348" s="104">
        <f t="shared" si="43"/>
        <v>5774.92</v>
      </c>
      <c r="K348" s="103"/>
      <c r="L348" s="103">
        <f t="shared" si="37"/>
        <v>4</v>
      </c>
      <c r="M348" s="121" t="s">
        <v>1006</v>
      </c>
      <c r="N348" s="103" t="s">
        <v>946</v>
      </c>
      <c r="O348" s="104">
        <f t="shared" si="41"/>
        <v>5774.92</v>
      </c>
    </row>
    <row r="349" spans="1:15" s="92" customFormat="1" ht="32.25" x14ac:dyDescent="0.3">
      <c r="A349" s="113" t="s">
        <v>1015</v>
      </c>
      <c r="B349" s="102"/>
      <c r="C349" s="25" t="s">
        <v>1000</v>
      </c>
      <c r="D349" s="38"/>
      <c r="E349" s="13"/>
      <c r="F349" s="50"/>
      <c r="G349" s="107">
        <v>44851</v>
      </c>
      <c r="H349" s="103">
        <v>10</v>
      </c>
      <c r="I349" s="104">
        <v>1177.05</v>
      </c>
      <c r="J349" s="104">
        <f t="shared" si="43"/>
        <v>11770.5</v>
      </c>
      <c r="K349" s="103"/>
      <c r="L349" s="103">
        <f t="shared" si="37"/>
        <v>10</v>
      </c>
      <c r="M349" s="121" t="s">
        <v>1006</v>
      </c>
      <c r="N349" s="103" t="s">
        <v>946</v>
      </c>
      <c r="O349" s="104">
        <f t="shared" si="41"/>
        <v>11770.5</v>
      </c>
    </row>
    <row r="350" spans="1:15" s="92" customFormat="1" ht="32.25" x14ac:dyDescent="0.3">
      <c r="A350" s="113" t="s">
        <v>1016</v>
      </c>
      <c r="B350" s="102"/>
      <c r="C350" s="25" t="s">
        <v>1001</v>
      </c>
      <c r="D350" s="38"/>
      <c r="E350" s="13"/>
      <c r="F350" s="50"/>
      <c r="G350" s="107">
        <v>44851</v>
      </c>
      <c r="H350" s="103">
        <v>4</v>
      </c>
      <c r="I350" s="104">
        <v>1330.45</v>
      </c>
      <c r="J350" s="104">
        <f t="shared" si="43"/>
        <v>5321.8</v>
      </c>
      <c r="K350" s="103"/>
      <c r="L350" s="103">
        <f t="shared" si="37"/>
        <v>4</v>
      </c>
      <c r="M350" s="121" t="s">
        <v>1006</v>
      </c>
      <c r="N350" s="103" t="s">
        <v>946</v>
      </c>
      <c r="O350" s="104">
        <f t="shared" si="41"/>
        <v>5321.8</v>
      </c>
    </row>
    <row r="351" spans="1:15" s="92" customFormat="1" ht="32.25" x14ac:dyDescent="0.3">
      <c r="A351" s="113" t="s">
        <v>1017</v>
      </c>
      <c r="B351" s="102"/>
      <c r="C351" s="25" t="s">
        <v>1002</v>
      </c>
      <c r="D351" s="38"/>
      <c r="E351" s="13"/>
      <c r="F351" s="50"/>
      <c r="G351" s="107">
        <v>44851</v>
      </c>
      <c r="H351" s="103">
        <v>4</v>
      </c>
      <c r="I351" s="104">
        <v>676.14</v>
      </c>
      <c r="J351" s="104">
        <f t="shared" si="43"/>
        <v>2704.56</v>
      </c>
      <c r="K351" s="103"/>
      <c r="L351" s="103">
        <f t="shared" si="37"/>
        <v>4</v>
      </c>
      <c r="M351" s="121" t="s">
        <v>1006</v>
      </c>
      <c r="N351" s="103" t="s">
        <v>946</v>
      </c>
      <c r="O351" s="104">
        <f t="shared" si="41"/>
        <v>2704.56</v>
      </c>
    </row>
    <row r="352" spans="1:15" s="92" customFormat="1" ht="32.25" x14ac:dyDescent="0.3">
      <c r="A352" s="113" t="s">
        <v>1018</v>
      </c>
      <c r="B352" s="102"/>
      <c r="C352" s="25" t="s">
        <v>1003</v>
      </c>
      <c r="D352" s="38"/>
      <c r="E352" s="13"/>
      <c r="F352" s="50"/>
      <c r="G352" s="107">
        <v>44851</v>
      </c>
      <c r="H352" s="103">
        <v>4</v>
      </c>
      <c r="I352" s="104">
        <v>693.84</v>
      </c>
      <c r="J352" s="104">
        <f t="shared" si="43"/>
        <v>2775.36</v>
      </c>
      <c r="K352" s="103"/>
      <c r="L352" s="103">
        <f t="shared" si="37"/>
        <v>4</v>
      </c>
      <c r="M352" s="121" t="s">
        <v>1006</v>
      </c>
      <c r="N352" s="103" t="s">
        <v>946</v>
      </c>
      <c r="O352" s="104">
        <f t="shared" si="41"/>
        <v>2775.36</v>
      </c>
    </row>
    <row r="353" spans="1:15" customFormat="1" ht="31.5" x14ac:dyDescent="0.25">
      <c r="A353" s="113" t="s">
        <v>1019</v>
      </c>
      <c r="B353" s="102"/>
      <c r="C353" s="25" t="s">
        <v>1004</v>
      </c>
      <c r="D353" s="38"/>
      <c r="E353" s="13"/>
      <c r="F353" s="50"/>
      <c r="G353" s="107">
        <v>44851</v>
      </c>
      <c r="H353" s="103">
        <v>4</v>
      </c>
      <c r="I353" s="104">
        <v>1632.53</v>
      </c>
      <c r="J353" s="104">
        <f t="shared" si="43"/>
        <v>6530.12</v>
      </c>
      <c r="K353" s="117"/>
      <c r="L353" s="103">
        <f t="shared" si="37"/>
        <v>4</v>
      </c>
      <c r="M353" s="121" t="s">
        <v>1006</v>
      </c>
      <c r="N353" s="117" t="s">
        <v>946</v>
      </c>
      <c r="O353" s="104">
        <f t="shared" si="41"/>
        <v>6530.12</v>
      </c>
    </row>
    <row r="354" spans="1:15" s="2" customFormat="1" ht="31.5" x14ac:dyDescent="0.25">
      <c r="A354" s="113" t="s">
        <v>1020</v>
      </c>
      <c r="B354" s="102"/>
      <c r="C354" s="25" t="s">
        <v>1005</v>
      </c>
      <c r="D354" s="38"/>
      <c r="E354" s="13"/>
      <c r="F354" s="50"/>
      <c r="G354" s="107">
        <v>44851</v>
      </c>
      <c r="H354" s="103">
        <v>1</v>
      </c>
      <c r="I354" s="104">
        <v>3268.6</v>
      </c>
      <c r="J354" s="104">
        <f t="shared" si="43"/>
        <v>3268.6</v>
      </c>
      <c r="K354" s="117"/>
      <c r="L354" s="103">
        <f t="shared" si="37"/>
        <v>1</v>
      </c>
      <c r="M354" s="121" t="s">
        <v>1006</v>
      </c>
      <c r="N354" s="117" t="s">
        <v>946</v>
      </c>
      <c r="O354" s="104">
        <f t="shared" si="41"/>
        <v>3268.6</v>
      </c>
    </row>
    <row r="355" spans="1:15" ht="32.25" x14ac:dyDescent="0.3">
      <c r="A355" s="113" t="s">
        <v>1021</v>
      </c>
      <c r="B355" s="102"/>
      <c r="C355" s="25" t="s">
        <v>1007</v>
      </c>
      <c r="D355" s="38"/>
      <c r="E355" s="13"/>
      <c r="F355" s="50"/>
      <c r="G355" s="107">
        <v>44851</v>
      </c>
      <c r="H355" s="103">
        <v>15</v>
      </c>
      <c r="I355" s="104">
        <v>3908.16</v>
      </c>
      <c r="J355" s="104">
        <f t="shared" si="43"/>
        <v>58622.399999999994</v>
      </c>
      <c r="K355" s="117"/>
      <c r="L355" s="103">
        <f t="shared" si="37"/>
        <v>15</v>
      </c>
      <c r="M355" s="121" t="s">
        <v>1006</v>
      </c>
      <c r="N355" s="117" t="s">
        <v>946</v>
      </c>
      <c r="O355" s="118">
        <f t="shared" si="41"/>
        <v>58622.399999999994</v>
      </c>
    </row>
    <row r="356" spans="1:15" ht="23.25" customHeight="1" x14ac:dyDescent="0.3">
      <c r="A356" s="113" t="s">
        <v>1022</v>
      </c>
      <c r="B356" s="102"/>
      <c r="C356" s="25" t="s">
        <v>1008</v>
      </c>
      <c r="D356" s="38"/>
      <c r="E356" s="13"/>
      <c r="F356" s="50"/>
      <c r="G356" s="107">
        <v>44851</v>
      </c>
      <c r="H356" s="103">
        <v>20</v>
      </c>
      <c r="I356" s="104">
        <v>1711</v>
      </c>
      <c r="J356" s="104">
        <f t="shared" si="43"/>
        <v>34220</v>
      </c>
      <c r="K356" s="117"/>
      <c r="L356" s="103">
        <f t="shared" si="37"/>
        <v>20</v>
      </c>
      <c r="M356" s="121" t="s">
        <v>1006</v>
      </c>
      <c r="N356" s="117" t="s">
        <v>946</v>
      </c>
      <c r="O356" s="118">
        <f t="shared" si="41"/>
        <v>34220</v>
      </c>
    </row>
    <row r="357" spans="1:15" ht="32.25" x14ac:dyDescent="0.3">
      <c r="A357" s="113" t="s">
        <v>1023</v>
      </c>
      <c r="B357" s="102"/>
      <c r="C357" s="25" t="s">
        <v>1009</v>
      </c>
      <c r="D357" s="38"/>
      <c r="E357" s="13"/>
      <c r="F357" s="50"/>
      <c r="G357" s="107">
        <v>44851</v>
      </c>
      <c r="H357" s="103">
        <v>5</v>
      </c>
      <c r="I357" s="104">
        <v>1165.8399999999999</v>
      </c>
      <c r="J357" s="104">
        <f t="shared" si="43"/>
        <v>5829.2</v>
      </c>
      <c r="K357" s="117"/>
      <c r="L357" s="103">
        <f t="shared" si="37"/>
        <v>5</v>
      </c>
      <c r="M357" s="121" t="s">
        <v>1006</v>
      </c>
      <c r="N357" s="117" t="s">
        <v>946</v>
      </c>
      <c r="O357" s="118">
        <f t="shared" si="41"/>
        <v>5829.2</v>
      </c>
    </row>
    <row r="358" spans="1:15" ht="23.25" customHeight="1" x14ac:dyDescent="0.3">
      <c r="A358" s="113" t="s">
        <v>1024</v>
      </c>
      <c r="B358" s="102"/>
      <c r="C358" s="25" t="s">
        <v>1010</v>
      </c>
      <c r="D358" s="38"/>
      <c r="E358" s="13"/>
      <c r="F358" s="50"/>
      <c r="G358" s="107">
        <v>44851</v>
      </c>
      <c r="H358" s="103">
        <v>5</v>
      </c>
      <c r="I358" s="104">
        <v>4399.04</v>
      </c>
      <c r="J358" s="104">
        <f t="shared" si="43"/>
        <v>21995.200000000001</v>
      </c>
      <c r="K358" s="117"/>
      <c r="L358" s="103">
        <f t="shared" si="37"/>
        <v>5</v>
      </c>
      <c r="M358" s="121" t="s">
        <v>1006</v>
      </c>
      <c r="N358" s="117" t="s">
        <v>946</v>
      </c>
      <c r="O358" s="118">
        <f t="shared" si="41"/>
        <v>21995.200000000001</v>
      </c>
    </row>
    <row r="359" spans="1:15" ht="32.25" x14ac:dyDescent="0.3">
      <c r="A359" s="113" t="s">
        <v>1025</v>
      </c>
      <c r="B359" s="102"/>
      <c r="C359" s="25" t="s">
        <v>1011</v>
      </c>
      <c r="D359" s="38"/>
      <c r="E359" s="13"/>
      <c r="F359" s="50"/>
      <c r="G359" s="107">
        <v>44851</v>
      </c>
      <c r="H359" s="117">
        <v>5</v>
      </c>
      <c r="I359" s="118">
        <v>4399.04</v>
      </c>
      <c r="J359" s="118">
        <f t="shared" si="43"/>
        <v>21995.200000000001</v>
      </c>
      <c r="K359" s="117"/>
      <c r="L359" s="103">
        <f t="shared" si="37"/>
        <v>5</v>
      </c>
      <c r="M359" s="121" t="s">
        <v>1006</v>
      </c>
      <c r="N359" s="117" t="s">
        <v>946</v>
      </c>
      <c r="O359" s="118">
        <f t="shared" si="41"/>
        <v>21995.200000000001</v>
      </c>
    </row>
    <row r="360" spans="1:15" ht="32.25" x14ac:dyDescent="0.3">
      <c r="A360" s="113" t="s">
        <v>1026</v>
      </c>
      <c r="B360" s="102"/>
      <c r="C360" s="25" t="s">
        <v>1012</v>
      </c>
      <c r="D360" s="38"/>
      <c r="E360" s="13"/>
      <c r="F360" s="50"/>
      <c r="G360" s="107">
        <v>44851</v>
      </c>
      <c r="H360" s="117">
        <v>5</v>
      </c>
      <c r="I360" s="118">
        <v>4399.04</v>
      </c>
      <c r="J360" s="118">
        <f t="shared" si="43"/>
        <v>21995.200000000001</v>
      </c>
      <c r="K360" s="117"/>
      <c r="L360" s="103">
        <f t="shared" si="37"/>
        <v>5</v>
      </c>
      <c r="M360" s="121" t="s">
        <v>1006</v>
      </c>
      <c r="N360" s="117" t="s">
        <v>946</v>
      </c>
      <c r="O360" s="118">
        <f t="shared" si="41"/>
        <v>21995.200000000001</v>
      </c>
    </row>
    <row r="361" spans="1:15" ht="32.25" x14ac:dyDescent="0.3">
      <c r="A361" s="113" t="s">
        <v>1027</v>
      </c>
      <c r="B361" s="102"/>
      <c r="C361" s="25" t="s">
        <v>1013</v>
      </c>
      <c r="D361" s="38"/>
      <c r="E361" s="13"/>
      <c r="F361" s="50"/>
      <c r="G361" s="107">
        <v>44851</v>
      </c>
      <c r="H361" s="117">
        <v>12</v>
      </c>
      <c r="I361" s="118">
        <v>1869.12</v>
      </c>
      <c r="J361" s="118">
        <f t="shared" si="43"/>
        <v>22429.439999999999</v>
      </c>
      <c r="K361" s="117"/>
      <c r="L361" s="103">
        <f t="shared" si="37"/>
        <v>12</v>
      </c>
      <c r="M361" s="121" t="s">
        <v>1006</v>
      </c>
      <c r="N361" s="117" t="s">
        <v>946</v>
      </c>
      <c r="O361" s="118">
        <f t="shared" si="41"/>
        <v>22429.439999999999</v>
      </c>
    </row>
    <row r="362" spans="1:15" ht="32.25" x14ac:dyDescent="0.3">
      <c r="A362" s="113" t="s">
        <v>1028</v>
      </c>
      <c r="B362" s="102"/>
      <c r="C362" s="25" t="s">
        <v>1014</v>
      </c>
      <c r="D362" s="38"/>
      <c r="E362" s="13"/>
      <c r="F362" s="50"/>
      <c r="G362" s="107">
        <v>44851</v>
      </c>
      <c r="H362" s="117">
        <v>30</v>
      </c>
      <c r="I362" s="118">
        <v>41.3</v>
      </c>
      <c r="J362" s="118">
        <f t="shared" si="43"/>
        <v>1239</v>
      </c>
      <c r="K362" s="117"/>
      <c r="L362" s="103">
        <f t="shared" si="37"/>
        <v>30</v>
      </c>
      <c r="M362" s="121" t="s">
        <v>1006</v>
      </c>
      <c r="N362" s="117" t="s">
        <v>946</v>
      </c>
      <c r="O362" s="118">
        <f t="shared" si="41"/>
        <v>1239</v>
      </c>
    </row>
    <row r="363" spans="1:15" s="105" customFormat="1" ht="15.75" x14ac:dyDescent="0.25">
      <c r="A363" s="113" t="s">
        <v>1029</v>
      </c>
      <c r="B363" s="102"/>
      <c r="C363" s="25" t="s">
        <v>1038</v>
      </c>
      <c r="D363" s="38"/>
      <c r="E363" s="13"/>
      <c r="F363" s="50"/>
      <c r="G363" s="107">
        <v>44852</v>
      </c>
      <c r="H363" s="103">
        <v>10</v>
      </c>
      <c r="I363" s="104">
        <v>18.77</v>
      </c>
      <c r="J363" s="104">
        <f t="shared" si="43"/>
        <v>187.7</v>
      </c>
      <c r="K363" s="103"/>
      <c r="L363" s="103">
        <f t="shared" si="37"/>
        <v>10</v>
      </c>
      <c r="M363" s="121" t="s">
        <v>1037</v>
      </c>
      <c r="N363" s="103" t="s">
        <v>947</v>
      </c>
      <c r="O363" s="104">
        <f t="shared" si="41"/>
        <v>187.7</v>
      </c>
    </row>
    <row r="364" spans="1:15" s="105" customFormat="1" ht="15.75" x14ac:dyDescent="0.25">
      <c r="A364" s="113" t="s">
        <v>1030</v>
      </c>
      <c r="B364" s="102"/>
      <c r="C364" s="25" t="s">
        <v>1041</v>
      </c>
      <c r="D364" s="38"/>
      <c r="E364" s="13"/>
      <c r="F364" s="50"/>
      <c r="G364" s="107">
        <v>44852</v>
      </c>
      <c r="H364" s="103">
        <v>40</v>
      </c>
      <c r="I364" s="104">
        <v>44.55</v>
      </c>
      <c r="J364" s="104">
        <f t="shared" si="43"/>
        <v>1782</v>
      </c>
      <c r="K364" s="103"/>
      <c r="L364" s="103">
        <f t="shared" si="37"/>
        <v>40</v>
      </c>
      <c r="M364" s="121" t="s">
        <v>1037</v>
      </c>
      <c r="N364" s="103" t="s">
        <v>947</v>
      </c>
      <c r="O364" s="104">
        <f t="shared" si="41"/>
        <v>1782</v>
      </c>
    </row>
    <row r="365" spans="1:15" s="105" customFormat="1" ht="15.75" x14ac:dyDescent="0.25">
      <c r="A365" s="113" t="s">
        <v>1031</v>
      </c>
      <c r="B365" s="102"/>
      <c r="C365" s="25" t="s">
        <v>1042</v>
      </c>
      <c r="D365" s="38"/>
      <c r="E365" s="13"/>
      <c r="F365" s="50"/>
      <c r="G365" s="107">
        <v>44851</v>
      </c>
      <c r="H365" s="103">
        <v>2</v>
      </c>
      <c r="I365" s="104">
        <v>650</v>
      </c>
      <c r="J365" s="104">
        <f t="shared" si="43"/>
        <v>1300</v>
      </c>
      <c r="K365" s="103"/>
      <c r="L365" s="103">
        <f t="shared" si="37"/>
        <v>2</v>
      </c>
      <c r="M365" s="121" t="s">
        <v>1037</v>
      </c>
      <c r="N365" s="103" t="s">
        <v>947</v>
      </c>
      <c r="O365" s="104">
        <f t="shared" si="41"/>
        <v>1300</v>
      </c>
    </row>
    <row r="366" spans="1:15" s="105" customFormat="1" ht="15.75" x14ac:dyDescent="0.25">
      <c r="A366" s="113" t="s">
        <v>1032</v>
      </c>
      <c r="B366" s="102"/>
      <c r="C366" s="25" t="s">
        <v>1043</v>
      </c>
      <c r="D366" s="38"/>
      <c r="E366" s="13"/>
      <c r="F366" s="50"/>
      <c r="G366" s="107">
        <v>44852</v>
      </c>
      <c r="H366" s="103">
        <f>10*12</f>
        <v>120</v>
      </c>
      <c r="I366" s="104">
        <v>27</v>
      </c>
      <c r="J366" s="104">
        <f>+I366*H366</f>
        <v>3240</v>
      </c>
      <c r="K366" s="103"/>
      <c r="L366" s="103">
        <f t="shared" si="37"/>
        <v>120</v>
      </c>
      <c r="M366" s="121" t="s">
        <v>1037</v>
      </c>
      <c r="N366" s="103" t="s">
        <v>947</v>
      </c>
      <c r="O366" s="104">
        <f t="shared" si="41"/>
        <v>3240</v>
      </c>
    </row>
    <row r="367" spans="1:15" s="105" customFormat="1" ht="15.75" x14ac:dyDescent="0.25">
      <c r="A367" s="113" t="s">
        <v>1033</v>
      </c>
      <c r="B367" s="102"/>
      <c r="C367" s="25" t="s">
        <v>1044</v>
      </c>
      <c r="D367" s="38"/>
      <c r="E367" s="13"/>
      <c r="F367" s="50"/>
      <c r="G367" s="107">
        <v>44852</v>
      </c>
      <c r="H367" s="103">
        <v>120</v>
      </c>
      <c r="I367" s="104">
        <v>45.89</v>
      </c>
      <c r="J367" s="104">
        <f>+I367*H367</f>
        <v>5506.8</v>
      </c>
      <c r="K367" s="103"/>
      <c r="L367" s="103">
        <f t="shared" si="37"/>
        <v>120</v>
      </c>
      <c r="M367" s="121" t="s">
        <v>1037</v>
      </c>
      <c r="N367" s="103" t="s">
        <v>947</v>
      </c>
      <c r="O367" s="104">
        <f t="shared" si="41"/>
        <v>5506.8</v>
      </c>
    </row>
    <row r="368" spans="1:15" s="105" customFormat="1" ht="15.75" x14ac:dyDescent="0.25">
      <c r="A368" s="113" t="s">
        <v>1034</v>
      </c>
      <c r="B368" s="102"/>
      <c r="C368" s="25" t="s">
        <v>1045</v>
      </c>
      <c r="D368" s="38"/>
      <c r="E368" s="13"/>
      <c r="F368" s="50"/>
      <c r="G368" s="107">
        <v>44852</v>
      </c>
      <c r="H368" s="103">
        <v>120</v>
      </c>
      <c r="I368" s="104">
        <v>51.33</v>
      </c>
      <c r="J368" s="104">
        <f t="shared" ref="J368:J383" si="44">+I368*H368</f>
        <v>6159.5999999999995</v>
      </c>
      <c r="K368" s="103"/>
      <c r="L368" s="103">
        <f t="shared" ref="L368:L392" si="45">+D368+H368-K368</f>
        <v>120</v>
      </c>
      <c r="M368" s="121" t="s">
        <v>1037</v>
      </c>
      <c r="N368" s="103" t="s">
        <v>947</v>
      </c>
      <c r="O368" s="104">
        <f t="shared" si="41"/>
        <v>6159.5999999999995</v>
      </c>
    </row>
    <row r="369" spans="1:15" s="105" customFormat="1" ht="15.75" x14ac:dyDescent="0.25">
      <c r="A369" s="113" t="s">
        <v>1057</v>
      </c>
      <c r="B369" s="102"/>
      <c r="C369" s="25" t="s">
        <v>1046</v>
      </c>
      <c r="D369" s="38"/>
      <c r="E369" s="13"/>
      <c r="F369" s="50"/>
      <c r="G369" s="107">
        <v>44852</v>
      </c>
      <c r="H369" s="103">
        <v>120</v>
      </c>
      <c r="I369" s="104">
        <v>127.65</v>
      </c>
      <c r="J369" s="104">
        <f t="shared" si="44"/>
        <v>15318</v>
      </c>
      <c r="K369" s="103"/>
      <c r="L369" s="103">
        <f t="shared" si="45"/>
        <v>120</v>
      </c>
      <c r="M369" s="121" t="s">
        <v>1037</v>
      </c>
      <c r="N369" s="103" t="s">
        <v>947</v>
      </c>
      <c r="O369" s="104">
        <f t="shared" si="41"/>
        <v>15318</v>
      </c>
    </row>
    <row r="370" spans="1:15" s="105" customFormat="1" ht="15.75" x14ac:dyDescent="0.25">
      <c r="A370" s="113" t="s">
        <v>1058</v>
      </c>
      <c r="B370" s="102"/>
      <c r="C370" s="25" t="s">
        <v>1047</v>
      </c>
      <c r="D370" s="38"/>
      <c r="E370" s="13"/>
      <c r="F370" s="50"/>
      <c r="G370" s="107">
        <v>44852</v>
      </c>
      <c r="H370" s="103">
        <v>5</v>
      </c>
      <c r="I370" s="104">
        <v>5442.16</v>
      </c>
      <c r="J370" s="104">
        <f t="shared" si="44"/>
        <v>27210.799999999999</v>
      </c>
      <c r="K370" s="103"/>
      <c r="L370" s="103">
        <f t="shared" si="45"/>
        <v>5</v>
      </c>
      <c r="M370" s="121" t="s">
        <v>1037</v>
      </c>
      <c r="N370" s="103" t="s">
        <v>947</v>
      </c>
      <c r="O370" s="104">
        <f t="shared" si="41"/>
        <v>27210.799999999999</v>
      </c>
    </row>
    <row r="371" spans="1:15" s="105" customFormat="1" ht="15.75" x14ac:dyDescent="0.25">
      <c r="A371" s="113" t="s">
        <v>1059</v>
      </c>
      <c r="B371" s="102"/>
      <c r="C371" s="25" t="s">
        <v>1048</v>
      </c>
      <c r="D371" s="38"/>
      <c r="E371" s="13"/>
      <c r="F371" s="50"/>
      <c r="G371" s="107">
        <v>44852</v>
      </c>
      <c r="H371" s="103">
        <v>1</v>
      </c>
      <c r="I371" s="104">
        <v>5330</v>
      </c>
      <c r="J371" s="104">
        <f t="shared" si="44"/>
        <v>5330</v>
      </c>
      <c r="K371" s="103">
        <v>1</v>
      </c>
      <c r="L371" s="103">
        <f t="shared" si="45"/>
        <v>0</v>
      </c>
      <c r="M371" s="121" t="s">
        <v>1037</v>
      </c>
      <c r="N371" s="103" t="s">
        <v>947</v>
      </c>
      <c r="O371" s="104">
        <f t="shared" si="41"/>
        <v>0</v>
      </c>
    </row>
    <row r="372" spans="1:15" s="105" customFormat="1" ht="15.75" x14ac:dyDescent="0.25">
      <c r="A372" s="113" t="s">
        <v>1060</v>
      </c>
      <c r="B372" s="102"/>
      <c r="C372" s="25" t="s">
        <v>1049</v>
      </c>
      <c r="D372" s="38"/>
      <c r="E372" s="13"/>
      <c r="F372" s="50"/>
      <c r="G372" s="107">
        <v>44852</v>
      </c>
      <c r="H372" s="103">
        <v>5</v>
      </c>
      <c r="I372" s="104">
        <v>678.24</v>
      </c>
      <c r="J372" s="104">
        <f t="shared" si="44"/>
        <v>3391.2</v>
      </c>
      <c r="K372" s="103"/>
      <c r="L372" s="103">
        <f t="shared" si="45"/>
        <v>5</v>
      </c>
      <c r="M372" s="121" t="s">
        <v>1037</v>
      </c>
      <c r="N372" s="103" t="s">
        <v>947</v>
      </c>
      <c r="O372" s="104">
        <f t="shared" si="41"/>
        <v>3391.2</v>
      </c>
    </row>
    <row r="373" spans="1:15" s="105" customFormat="1" ht="15.75" x14ac:dyDescent="0.25">
      <c r="A373" s="113" t="s">
        <v>1061</v>
      </c>
      <c r="B373" s="102"/>
      <c r="C373" s="25" t="s">
        <v>1050</v>
      </c>
      <c r="D373" s="38"/>
      <c r="E373" s="13"/>
      <c r="F373" s="50"/>
      <c r="G373" s="107">
        <v>44852</v>
      </c>
      <c r="H373" s="103">
        <v>5</v>
      </c>
      <c r="I373" s="104">
        <v>678.24</v>
      </c>
      <c r="J373" s="104">
        <f t="shared" si="44"/>
        <v>3391.2</v>
      </c>
      <c r="K373" s="103"/>
      <c r="L373" s="103">
        <f t="shared" si="45"/>
        <v>5</v>
      </c>
      <c r="M373" s="121" t="s">
        <v>1037</v>
      </c>
      <c r="N373" s="103" t="s">
        <v>947</v>
      </c>
      <c r="O373" s="104">
        <f t="shared" si="41"/>
        <v>3391.2</v>
      </c>
    </row>
    <row r="374" spans="1:15" s="105" customFormat="1" ht="15.75" x14ac:dyDescent="0.25">
      <c r="A374" s="113" t="s">
        <v>1062</v>
      </c>
      <c r="B374" s="102"/>
      <c r="C374" s="25" t="s">
        <v>1051</v>
      </c>
      <c r="D374" s="38"/>
      <c r="E374" s="13"/>
      <c r="F374" s="50"/>
      <c r="G374" s="107">
        <v>44852</v>
      </c>
      <c r="H374" s="103">
        <v>3</v>
      </c>
      <c r="I374" s="104">
        <v>511</v>
      </c>
      <c r="J374" s="104">
        <f t="shared" si="44"/>
        <v>1533</v>
      </c>
      <c r="K374" s="103">
        <v>1</v>
      </c>
      <c r="L374" s="103">
        <f t="shared" si="45"/>
        <v>2</v>
      </c>
      <c r="M374" s="121" t="s">
        <v>1037</v>
      </c>
      <c r="N374" s="103" t="s">
        <v>947</v>
      </c>
      <c r="O374" s="104">
        <f t="shared" si="41"/>
        <v>1022</v>
      </c>
    </row>
    <row r="375" spans="1:15" s="105" customFormat="1" ht="15.75" x14ac:dyDescent="0.25">
      <c r="A375" s="113" t="s">
        <v>1063</v>
      </c>
      <c r="B375" s="102"/>
      <c r="C375" s="25" t="s">
        <v>1052</v>
      </c>
      <c r="D375" s="38"/>
      <c r="E375" s="13"/>
      <c r="F375" s="50"/>
      <c r="G375" s="107">
        <v>44852</v>
      </c>
      <c r="H375" s="103">
        <v>3</v>
      </c>
      <c r="I375" s="104">
        <v>511</v>
      </c>
      <c r="J375" s="104">
        <f t="shared" si="44"/>
        <v>1533</v>
      </c>
      <c r="K375" s="103"/>
      <c r="L375" s="103">
        <f t="shared" si="45"/>
        <v>3</v>
      </c>
      <c r="M375" s="121" t="s">
        <v>1037</v>
      </c>
      <c r="N375" s="103" t="s">
        <v>947</v>
      </c>
      <c r="O375" s="104">
        <f t="shared" si="41"/>
        <v>1533</v>
      </c>
    </row>
    <row r="376" spans="1:15" s="105" customFormat="1" ht="15.75" x14ac:dyDescent="0.25">
      <c r="A376" s="113" t="s">
        <v>1064</v>
      </c>
      <c r="B376" s="102"/>
      <c r="C376" s="25" t="s">
        <v>1053</v>
      </c>
      <c r="D376" s="38"/>
      <c r="E376" s="13"/>
      <c r="F376" s="50"/>
      <c r="G376" s="107">
        <v>44852</v>
      </c>
      <c r="H376" s="103">
        <v>3</v>
      </c>
      <c r="I376" s="104">
        <v>511</v>
      </c>
      <c r="J376" s="104">
        <f t="shared" si="44"/>
        <v>1533</v>
      </c>
      <c r="K376" s="103"/>
      <c r="L376" s="103">
        <f t="shared" si="45"/>
        <v>3</v>
      </c>
      <c r="M376" s="121" t="s">
        <v>1037</v>
      </c>
      <c r="N376" s="103" t="s">
        <v>947</v>
      </c>
      <c r="O376" s="104">
        <f t="shared" si="41"/>
        <v>1533</v>
      </c>
    </row>
    <row r="377" spans="1:15" s="105" customFormat="1" ht="15.75" x14ac:dyDescent="0.25">
      <c r="A377" s="113" t="s">
        <v>1065</v>
      </c>
      <c r="B377" s="102"/>
      <c r="C377" s="25" t="s">
        <v>1054</v>
      </c>
      <c r="D377" s="38"/>
      <c r="E377" s="13"/>
      <c r="F377" s="50"/>
      <c r="G377" s="107">
        <v>44852</v>
      </c>
      <c r="H377" s="103">
        <v>3</v>
      </c>
      <c r="I377" s="104">
        <v>511</v>
      </c>
      <c r="J377" s="104">
        <f t="shared" si="44"/>
        <v>1533</v>
      </c>
      <c r="K377" s="103"/>
      <c r="L377" s="103">
        <f t="shared" si="45"/>
        <v>3</v>
      </c>
      <c r="M377" s="121" t="s">
        <v>1037</v>
      </c>
      <c r="N377" s="103" t="s">
        <v>947</v>
      </c>
      <c r="O377" s="104">
        <f t="shared" si="41"/>
        <v>1533</v>
      </c>
    </row>
    <row r="378" spans="1:15" s="105" customFormat="1" ht="15.75" x14ac:dyDescent="0.25">
      <c r="A378" s="113" t="s">
        <v>1066</v>
      </c>
      <c r="B378" s="102"/>
      <c r="C378" s="25" t="s">
        <v>1055</v>
      </c>
      <c r="D378" s="38"/>
      <c r="E378" s="13"/>
      <c r="F378" s="50"/>
      <c r="G378" s="107">
        <v>44852</v>
      </c>
      <c r="H378" s="103">
        <v>20</v>
      </c>
      <c r="I378" s="104">
        <v>3.32</v>
      </c>
      <c r="J378" s="104">
        <f t="shared" si="44"/>
        <v>66.399999999999991</v>
      </c>
      <c r="K378" s="103"/>
      <c r="L378" s="103">
        <f t="shared" si="45"/>
        <v>20</v>
      </c>
      <c r="M378" s="121" t="s">
        <v>1037</v>
      </c>
      <c r="N378" s="103" t="s">
        <v>947</v>
      </c>
      <c r="O378" s="104">
        <f t="shared" si="41"/>
        <v>66.399999999999991</v>
      </c>
    </row>
    <row r="379" spans="1:15" s="105" customFormat="1" ht="15.75" x14ac:dyDescent="0.25">
      <c r="A379" s="113" t="s">
        <v>1067</v>
      </c>
      <c r="B379" s="102"/>
      <c r="C379" s="25" t="s">
        <v>1056</v>
      </c>
      <c r="D379" s="38"/>
      <c r="E379" s="13"/>
      <c r="F379" s="50"/>
      <c r="G379" s="107">
        <v>44852</v>
      </c>
      <c r="H379" s="103">
        <v>5</v>
      </c>
      <c r="I379" s="104">
        <v>64.900000000000006</v>
      </c>
      <c r="J379" s="104">
        <f t="shared" si="44"/>
        <v>324.5</v>
      </c>
      <c r="K379" s="103"/>
      <c r="L379" s="103">
        <f t="shared" si="45"/>
        <v>5</v>
      </c>
      <c r="M379" s="121" t="s">
        <v>1037</v>
      </c>
      <c r="N379" s="103" t="s">
        <v>947</v>
      </c>
      <c r="O379" s="104">
        <f t="shared" si="41"/>
        <v>324.5</v>
      </c>
    </row>
    <row r="380" spans="1:15" s="105" customFormat="1" ht="15.75" x14ac:dyDescent="0.25">
      <c r="A380" s="113" t="s">
        <v>1067</v>
      </c>
      <c r="B380" s="102"/>
      <c r="C380" s="25" t="s">
        <v>1056</v>
      </c>
      <c r="D380" s="38"/>
      <c r="E380" s="13"/>
      <c r="F380" s="50"/>
      <c r="G380" s="107">
        <v>44852</v>
      </c>
      <c r="H380" s="103">
        <v>5</v>
      </c>
      <c r="I380" s="104">
        <v>64.900000000000006</v>
      </c>
      <c r="J380" s="104">
        <f t="shared" si="44"/>
        <v>324.5</v>
      </c>
      <c r="K380" s="103"/>
      <c r="L380" s="103">
        <f t="shared" si="45"/>
        <v>5</v>
      </c>
      <c r="M380" s="121" t="s">
        <v>1037</v>
      </c>
      <c r="N380" s="103" t="s">
        <v>947</v>
      </c>
      <c r="O380" s="104">
        <f t="shared" si="41"/>
        <v>324.5</v>
      </c>
    </row>
    <row r="381" spans="1:15" s="105" customFormat="1" ht="15.75" x14ac:dyDescent="0.25">
      <c r="A381" s="113" t="s">
        <v>1068</v>
      </c>
      <c r="B381" s="102"/>
      <c r="C381" s="25" t="s">
        <v>1077</v>
      </c>
      <c r="D381" s="38"/>
      <c r="E381" s="13"/>
      <c r="F381" s="50"/>
      <c r="G381" s="107">
        <v>44865</v>
      </c>
      <c r="H381" s="103">
        <v>5</v>
      </c>
      <c r="I381" s="104">
        <v>8720.2000000000007</v>
      </c>
      <c r="J381" s="104">
        <f t="shared" si="44"/>
        <v>43601</v>
      </c>
      <c r="K381" s="103"/>
      <c r="L381" s="103">
        <f t="shared" si="45"/>
        <v>5</v>
      </c>
      <c r="M381" s="121" t="s">
        <v>1078</v>
      </c>
      <c r="N381" s="103" t="s">
        <v>947</v>
      </c>
      <c r="O381" s="104">
        <f t="shared" si="41"/>
        <v>43601</v>
      </c>
    </row>
    <row r="382" spans="1:15" s="105" customFormat="1" ht="15.75" x14ac:dyDescent="0.25">
      <c r="A382" s="113" t="s">
        <v>1073</v>
      </c>
      <c r="B382" s="102"/>
      <c r="C382" s="25" t="s">
        <v>1079</v>
      </c>
      <c r="D382" s="38"/>
      <c r="E382" s="13"/>
      <c r="F382" s="50"/>
      <c r="G382" s="107">
        <v>44865</v>
      </c>
      <c r="H382" s="103">
        <v>5</v>
      </c>
      <c r="I382" s="104">
        <v>7729</v>
      </c>
      <c r="J382" s="104">
        <f t="shared" si="44"/>
        <v>38645</v>
      </c>
      <c r="K382" s="103"/>
      <c r="L382" s="103">
        <f t="shared" si="45"/>
        <v>5</v>
      </c>
      <c r="M382" s="121" t="s">
        <v>1078</v>
      </c>
      <c r="N382" s="103" t="s">
        <v>947</v>
      </c>
      <c r="O382" s="104">
        <f t="shared" si="41"/>
        <v>38645</v>
      </c>
    </row>
    <row r="383" spans="1:15" s="105" customFormat="1" ht="15.75" x14ac:dyDescent="0.25">
      <c r="A383" s="113" t="s">
        <v>1074</v>
      </c>
      <c r="B383" s="102"/>
      <c r="C383" s="25" t="s">
        <v>1080</v>
      </c>
      <c r="D383" s="38"/>
      <c r="E383" s="13"/>
      <c r="F383" s="50"/>
      <c r="G383" s="107">
        <v>44865</v>
      </c>
      <c r="H383" s="103">
        <v>10</v>
      </c>
      <c r="I383" s="104">
        <v>4897</v>
      </c>
      <c r="J383" s="104">
        <f t="shared" si="44"/>
        <v>48970</v>
      </c>
      <c r="K383" s="103"/>
      <c r="L383" s="103">
        <f t="shared" si="45"/>
        <v>10</v>
      </c>
      <c r="M383" s="121" t="s">
        <v>1078</v>
      </c>
      <c r="N383" s="103" t="s">
        <v>947</v>
      </c>
      <c r="O383" s="104">
        <f t="shared" si="41"/>
        <v>48970</v>
      </c>
    </row>
    <row r="384" spans="1:15" s="105" customFormat="1" ht="15.75" x14ac:dyDescent="0.25">
      <c r="A384" s="113" t="s">
        <v>1075</v>
      </c>
      <c r="B384" s="102"/>
      <c r="C384" s="25" t="s">
        <v>1072</v>
      </c>
      <c r="D384" s="38"/>
      <c r="E384" s="13"/>
      <c r="F384" s="50"/>
      <c r="G384" s="107">
        <v>44879</v>
      </c>
      <c r="H384" s="103">
        <v>10</v>
      </c>
      <c r="I384" s="104">
        <v>3717</v>
      </c>
      <c r="J384" s="104">
        <f>+I384*H384</f>
        <v>37170</v>
      </c>
      <c r="K384" s="103"/>
      <c r="L384" s="103">
        <f t="shared" ref="L384" si="46">+D384+H384-K384</f>
        <v>10</v>
      </c>
      <c r="M384" s="121"/>
      <c r="N384" s="103" t="s">
        <v>946</v>
      </c>
      <c r="O384" s="104">
        <f t="shared" ref="O384" si="47">+L384*I384</f>
        <v>37170</v>
      </c>
    </row>
    <row r="385" spans="1:15" s="105" customFormat="1" ht="15.75" x14ac:dyDescent="0.25">
      <c r="A385" s="113" t="s">
        <v>1076</v>
      </c>
      <c r="B385" s="102"/>
      <c r="C385" s="25" t="s">
        <v>1070</v>
      </c>
      <c r="D385" s="38"/>
      <c r="E385" s="13"/>
      <c r="F385" s="50"/>
      <c r="G385" s="107"/>
      <c r="H385" s="103"/>
      <c r="I385" s="104"/>
      <c r="J385" s="104"/>
      <c r="K385" s="103">
        <v>1</v>
      </c>
      <c r="L385" s="103">
        <f t="shared" si="45"/>
        <v>-1</v>
      </c>
      <c r="M385" s="121"/>
      <c r="N385" s="103" t="s">
        <v>947</v>
      </c>
      <c r="O385" s="104">
        <f t="shared" si="41"/>
        <v>0</v>
      </c>
    </row>
    <row r="386" spans="1:15" s="105" customFormat="1" ht="15.75" x14ac:dyDescent="0.25">
      <c r="A386" s="113" t="s">
        <v>1081</v>
      </c>
      <c r="B386" s="102"/>
      <c r="C386" s="25" t="s">
        <v>1071</v>
      </c>
      <c r="D386" s="38"/>
      <c r="E386" s="13"/>
      <c r="F386" s="50"/>
      <c r="G386" s="107"/>
      <c r="H386" s="103"/>
      <c r="I386" s="104"/>
      <c r="J386" s="104"/>
      <c r="K386" s="103">
        <v>1</v>
      </c>
      <c r="L386" s="103">
        <f t="shared" si="45"/>
        <v>-1</v>
      </c>
      <c r="M386" s="121"/>
      <c r="N386" s="103" t="s">
        <v>947</v>
      </c>
      <c r="O386" s="104">
        <f t="shared" si="41"/>
        <v>0</v>
      </c>
    </row>
    <row r="387" spans="1:15" s="105" customFormat="1" ht="15.75" x14ac:dyDescent="0.25">
      <c r="A387" s="113" t="s">
        <v>1082</v>
      </c>
      <c r="B387" s="102"/>
      <c r="C387" s="25" t="s">
        <v>1069</v>
      </c>
      <c r="D387" s="38"/>
      <c r="E387" s="13"/>
      <c r="F387" s="50"/>
      <c r="G387" s="107"/>
      <c r="H387" s="103"/>
      <c r="I387" s="104"/>
      <c r="J387" s="104"/>
      <c r="K387" s="103">
        <v>1</v>
      </c>
      <c r="L387" s="103">
        <f t="shared" si="45"/>
        <v>-1</v>
      </c>
      <c r="M387" s="121"/>
      <c r="N387" s="103" t="s">
        <v>946</v>
      </c>
      <c r="O387" s="104">
        <f t="shared" si="41"/>
        <v>0</v>
      </c>
    </row>
    <row r="388" spans="1:15" s="105" customFormat="1" ht="15.75" x14ac:dyDescent="0.25">
      <c r="A388" s="113"/>
      <c r="B388" s="102"/>
      <c r="C388" s="25"/>
      <c r="D388" s="38"/>
      <c r="E388" s="13"/>
      <c r="F388" s="50"/>
      <c r="G388" s="107"/>
      <c r="H388" s="103"/>
      <c r="I388" s="104"/>
      <c r="J388" s="104"/>
      <c r="K388" s="103"/>
      <c r="L388" s="103"/>
      <c r="M388" s="121"/>
      <c r="N388" s="103"/>
      <c r="O388" s="104"/>
    </row>
    <row r="389" spans="1:15" s="105" customFormat="1" ht="15.75" x14ac:dyDescent="0.25">
      <c r="A389" s="113"/>
      <c r="B389" s="102"/>
      <c r="C389" s="25"/>
      <c r="D389" s="38"/>
      <c r="E389" s="13"/>
      <c r="F389" s="50"/>
      <c r="G389" s="107"/>
      <c r="H389" s="103"/>
      <c r="I389" s="104"/>
      <c r="J389" s="104"/>
      <c r="K389" s="103"/>
      <c r="L389" s="103"/>
      <c r="M389" s="121"/>
      <c r="N389" s="103"/>
      <c r="O389" s="104"/>
    </row>
    <row r="390" spans="1:15" s="105" customFormat="1" ht="15.75" x14ac:dyDescent="0.25">
      <c r="A390" s="113"/>
      <c r="B390" s="102"/>
      <c r="C390" s="25"/>
      <c r="D390" s="38"/>
      <c r="E390" s="13"/>
      <c r="F390" s="50"/>
      <c r="G390" s="107"/>
      <c r="H390" s="103"/>
      <c r="I390" s="104"/>
      <c r="J390" s="104"/>
      <c r="K390" s="103"/>
      <c r="L390" s="103"/>
      <c r="M390" s="121"/>
      <c r="N390" s="103"/>
      <c r="O390" s="104"/>
    </row>
    <row r="391" spans="1:15" s="105" customFormat="1" ht="15.75" x14ac:dyDescent="0.25">
      <c r="A391" s="113"/>
      <c r="B391" s="102"/>
      <c r="C391" s="25"/>
      <c r="D391" s="38"/>
      <c r="E391" s="13"/>
      <c r="F391" s="50"/>
      <c r="G391" s="107"/>
      <c r="H391" s="103"/>
      <c r="I391" s="104"/>
      <c r="J391" s="104"/>
      <c r="K391" s="103"/>
      <c r="L391" s="103"/>
      <c r="M391" s="121"/>
      <c r="N391" s="103"/>
      <c r="O391" s="104"/>
    </row>
    <row r="392" spans="1:15" s="105" customFormat="1" ht="15.75" x14ac:dyDescent="0.25">
      <c r="A392" s="113"/>
      <c r="B392" s="102"/>
      <c r="C392" s="25"/>
      <c r="D392" s="38"/>
      <c r="E392" s="13"/>
      <c r="F392" s="50"/>
      <c r="G392" s="107"/>
      <c r="H392" s="103"/>
      <c r="I392" s="104"/>
      <c r="J392" s="104"/>
      <c r="K392" s="103"/>
      <c r="L392" s="103">
        <f t="shared" si="45"/>
        <v>0</v>
      </c>
      <c r="M392" s="121"/>
      <c r="N392" s="103"/>
      <c r="O392" s="104">
        <f t="shared" si="41"/>
        <v>0</v>
      </c>
    </row>
    <row r="393" spans="1:15" x14ac:dyDescent="0.3">
      <c r="A393" s="69" t="s">
        <v>98</v>
      </c>
      <c r="B393" s="241"/>
      <c r="C393" s="242"/>
      <c r="D393" s="242"/>
      <c r="E393" s="243"/>
      <c r="F393" s="70">
        <f>SUM(F8:F378)</f>
        <v>1580249.4203600003</v>
      </c>
      <c r="G393" s="70"/>
      <c r="H393" s="70"/>
      <c r="I393" s="70">
        <f>SUM(I8:I378)</f>
        <v>98034.588666666663</v>
      </c>
      <c r="J393" s="70">
        <f>SUM(J8:J378)</f>
        <v>1471644.35</v>
      </c>
      <c r="K393" s="70"/>
      <c r="L393" s="70"/>
      <c r="M393" s="70">
        <f>SUM(M8:M378)</f>
        <v>0</v>
      </c>
      <c r="N393" s="70">
        <f>SUM(N8:N378)</f>
        <v>0</v>
      </c>
      <c r="O393" s="70">
        <f>SUM(O8:O392)</f>
        <v>3488413.3869033339</v>
      </c>
    </row>
    <row r="394" spans="1:15" x14ac:dyDescent="0.3">
      <c r="A394" s="2"/>
      <c r="B394" s="2"/>
      <c r="C394" s="43"/>
      <c r="D394" s="2"/>
      <c r="E394" s="2"/>
      <c r="F394" s="2"/>
      <c r="G394" s="2"/>
      <c r="H394" s="2"/>
      <c r="I394" s="65"/>
      <c r="J394" s="2"/>
      <c r="K394" s="2"/>
      <c r="L394" s="2"/>
      <c r="M394" s="2"/>
      <c r="N394" s="2"/>
      <c r="O394" s="2"/>
    </row>
    <row r="395" spans="1:15" x14ac:dyDescent="0.3">
      <c r="C395" s="96"/>
      <c r="F395" s="63"/>
      <c r="O395" s="50"/>
    </row>
    <row r="396" spans="1:15" x14ac:dyDescent="0.3">
      <c r="A396" s="85" t="s">
        <v>7</v>
      </c>
      <c r="C396" s="96"/>
    </row>
    <row r="397" spans="1:15" x14ac:dyDescent="0.3">
      <c r="C397" s="96"/>
    </row>
    <row r="398" spans="1:15" x14ac:dyDescent="0.3">
      <c r="B398" s="85" t="s">
        <v>531</v>
      </c>
      <c r="C398" s="96"/>
    </row>
    <row r="399" spans="1:15" x14ac:dyDescent="0.3">
      <c r="C399" s="96"/>
    </row>
    <row r="400" spans="1:15" x14ac:dyDescent="0.3">
      <c r="A400" s="97" t="s">
        <v>5</v>
      </c>
      <c r="C400" s="96"/>
    </row>
    <row r="401" spans="1:3" x14ac:dyDescent="0.3">
      <c r="C401" s="96"/>
    </row>
    <row r="402" spans="1:3" x14ac:dyDescent="0.3">
      <c r="A402" s="97"/>
      <c r="C402" s="96"/>
    </row>
    <row r="403" spans="1:3" x14ac:dyDescent="0.3">
      <c r="A403" s="98" t="s">
        <v>924</v>
      </c>
      <c r="C403" s="96"/>
    </row>
    <row r="404" spans="1:3" x14ac:dyDescent="0.3">
      <c r="A404" s="85" t="s">
        <v>925</v>
      </c>
      <c r="C404" s="96"/>
    </row>
    <row r="405" spans="1:3" x14ac:dyDescent="0.3">
      <c r="C405" s="96" t="s">
        <v>506</v>
      </c>
    </row>
    <row r="406" spans="1:3" x14ac:dyDescent="0.3">
      <c r="C406" s="96"/>
    </row>
    <row r="407" spans="1:3" x14ac:dyDescent="0.3">
      <c r="C407" s="96"/>
    </row>
    <row r="408" spans="1:3" x14ac:dyDescent="0.3">
      <c r="C408" s="96"/>
    </row>
    <row r="409" spans="1:3" x14ac:dyDescent="0.3">
      <c r="C409" s="96"/>
    </row>
    <row r="410" spans="1:3" x14ac:dyDescent="0.3">
      <c r="C410" s="96"/>
    </row>
    <row r="411" spans="1:3" x14ac:dyDescent="0.3">
      <c r="C411" s="96"/>
    </row>
    <row r="412" spans="1:3" x14ac:dyDescent="0.3">
      <c r="C412" s="96"/>
    </row>
  </sheetData>
  <mergeCells count="4">
    <mergeCell ref="A3:F3"/>
    <mergeCell ref="A4:F4"/>
    <mergeCell ref="A5:F5"/>
    <mergeCell ref="B393:E393"/>
  </mergeCells>
  <phoneticPr fontId="12" type="noConversion"/>
  <pageMargins left="0.7" right="0.7" top="0.75" bottom="0.75" header="0.3" footer="0.3"/>
  <pageSetup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4</vt:i4>
      </vt:variant>
    </vt:vector>
  </HeadingPairs>
  <TitlesOfParts>
    <vt:vector size="23" baseType="lpstr">
      <vt:lpstr>JULIO 2021 A SEPTIEMBRE 2021</vt:lpstr>
      <vt:lpstr>OCTUBRE 2021 A DICIEMBRE 2021</vt:lpstr>
      <vt:lpstr>ENERO 2022 A MARZO 2022</vt:lpstr>
      <vt:lpstr>Junio</vt:lpstr>
      <vt:lpstr>Julio</vt:lpstr>
      <vt:lpstr>Agosto</vt:lpstr>
      <vt:lpstr>Septiembre </vt:lpstr>
      <vt:lpstr>Octubre</vt:lpstr>
      <vt:lpstr>Noviembre </vt:lpstr>
      <vt:lpstr>Diciembre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'ENERO 2022 A MARZO 2022'!Área_de_impresión</vt:lpstr>
      <vt:lpstr>Julio!Área_de_impresión</vt:lpstr>
      <vt:lpstr>'JULIO 2021 A SEPTIEMBRE 2021'!Área_de_impresión</vt:lpstr>
      <vt:lpstr>'SEPTIEMBRE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Brunilda Brito Villa</dc:creator>
  <cp:lastModifiedBy>Josue Reinoso</cp:lastModifiedBy>
  <cp:lastPrinted>2023-10-13T14:07:37Z</cp:lastPrinted>
  <dcterms:created xsi:type="dcterms:W3CDTF">2018-10-09T19:04:37Z</dcterms:created>
  <dcterms:modified xsi:type="dcterms:W3CDTF">2023-10-13T14:08:01Z</dcterms:modified>
</cp:coreProperties>
</file>