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reinoso\Desktop\Portal de Transparencia\12_Finanzas\Inventario en Almacén\2023\datos abiertos\"/>
    </mc:Choice>
  </mc:AlternateContent>
  <bookViews>
    <workbookView xWindow="0" yWindow="0" windowWidth="28800" windowHeight="11700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470" i="1" l="1"/>
  <c r="L470" i="1"/>
  <c r="N431" i="1"/>
  <c r="Q431" i="1" s="1"/>
  <c r="N469" i="1"/>
  <c r="Q469" i="1" s="1"/>
  <c r="L469" i="1"/>
  <c r="N468" i="1"/>
  <c r="Q468" i="1" s="1"/>
  <c r="L468" i="1"/>
  <c r="N467" i="1"/>
  <c r="Q467" i="1" s="1"/>
  <c r="L467" i="1"/>
  <c r="N466" i="1"/>
  <c r="Q466" i="1" s="1"/>
  <c r="L466" i="1"/>
  <c r="N465" i="1"/>
  <c r="Q465" i="1" s="1"/>
  <c r="L465" i="1"/>
  <c r="N464" i="1"/>
  <c r="Q464" i="1" s="1"/>
  <c r="L464" i="1"/>
  <c r="N463" i="1"/>
  <c r="Q463" i="1" s="1"/>
  <c r="L463" i="1"/>
  <c r="N462" i="1"/>
  <c r="Q462" i="1" s="1"/>
  <c r="L462" i="1"/>
  <c r="N461" i="1"/>
  <c r="Q461" i="1" s="1"/>
  <c r="L461" i="1"/>
  <c r="N460" i="1"/>
  <c r="Q460" i="1" s="1"/>
  <c r="L460" i="1"/>
  <c r="N459" i="1"/>
  <c r="Q459" i="1" s="1"/>
  <c r="L459" i="1"/>
  <c r="N458" i="1"/>
  <c r="Q458" i="1" s="1"/>
  <c r="L458" i="1"/>
  <c r="N457" i="1"/>
  <c r="Q457" i="1" s="1"/>
  <c r="L457" i="1"/>
  <c r="N456" i="1"/>
  <c r="Q456" i="1" s="1"/>
  <c r="L456" i="1"/>
  <c r="N455" i="1"/>
  <c r="Q455" i="1" s="1"/>
  <c r="L455" i="1"/>
  <c r="N454" i="1"/>
  <c r="Q454" i="1" s="1"/>
  <c r="L454" i="1"/>
  <c r="Q453" i="1"/>
  <c r="L453" i="1"/>
  <c r="N452" i="1"/>
  <c r="Q452" i="1" s="1"/>
  <c r="N451" i="1"/>
  <c r="Q451" i="1" s="1"/>
  <c r="L451" i="1"/>
  <c r="M450" i="1"/>
  <c r="F450" i="1"/>
  <c r="N450" i="1" s="1"/>
  <c r="N449" i="1"/>
  <c r="N448" i="1"/>
  <c r="L448" i="1"/>
  <c r="N447" i="1"/>
  <c r="N446" i="1"/>
  <c r="N445" i="1"/>
  <c r="N444" i="1"/>
  <c r="M443" i="1"/>
  <c r="N443" i="1" s="1"/>
  <c r="N442" i="1"/>
  <c r="N441" i="1"/>
  <c r="N440" i="1"/>
  <c r="N439" i="1"/>
  <c r="Q439" i="1" s="1"/>
  <c r="L439" i="1"/>
  <c r="N438" i="1"/>
  <c r="Q438" i="1" s="1"/>
  <c r="L438" i="1"/>
  <c r="N437" i="1"/>
  <c r="Q437" i="1" s="1"/>
  <c r="L437" i="1"/>
  <c r="N436" i="1"/>
  <c r="Q436" i="1" s="1"/>
  <c r="L436" i="1"/>
  <c r="N435" i="1"/>
  <c r="Q435" i="1" s="1"/>
  <c r="L435" i="1"/>
  <c r="N434" i="1"/>
  <c r="Q434" i="1" s="1"/>
  <c r="L434" i="1"/>
  <c r="N433" i="1"/>
  <c r="Q433" i="1" s="1"/>
  <c r="L433" i="1"/>
  <c r="N432" i="1"/>
  <c r="Q432" i="1" s="1"/>
  <c r="L432" i="1"/>
  <c r="H432" i="1"/>
  <c r="L431" i="1"/>
  <c r="N430" i="1"/>
  <c r="Q430" i="1" s="1"/>
  <c r="L430" i="1"/>
  <c r="N429" i="1"/>
  <c r="Q429" i="1" s="1"/>
  <c r="L429" i="1"/>
  <c r="N428" i="1"/>
  <c r="Q428" i="1" s="1"/>
  <c r="L428" i="1"/>
  <c r="L427" i="1"/>
  <c r="F427" i="1"/>
  <c r="N427" i="1" s="1"/>
  <c r="Q427" i="1" s="1"/>
  <c r="M426" i="1"/>
  <c r="J426" i="1"/>
  <c r="N425" i="1"/>
  <c r="Q425" i="1" s="1"/>
  <c r="L425" i="1"/>
  <c r="N424" i="1"/>
  <c r="Q424" i="1" s="1"/>
  <c r="L424" i="1"/>
  <c r="N423" i="1"/>
  <c r="Q423" i="1" s="1"/>
  <c r="L423" i="1"/>
  <c r="N422" i="1"/>
  <c r="Q422" i="1" s="1"/>
  <c r="L422" i="1"/>
  <c r="N421" i="1"/>
  <c r="Q421" i="1" s="1"/>
  <c r="L421" i="1"/>
  <c r="N420" i="1"/>
  <c r="Q420" i="1" s="1"/>
  <c r="L420" i="1"/>
  <c r="N419" i="1"/>
  <c r="Q419" i="1" s="1"/>
  <c r="L419" i="1"/>
  <c r="N418" i="1"/>
  <c r="Q418" i="1" s="1"/>
  <c r="L418" i="1"/>
  <c r="N417" i="1"/>
  <c r="Q417" i="1" s="1"/>
  <c r="L417" i="1"/>
  <c r="N416" i="1"/>
  <c r="Q416" i="1" s="1"/>
  <c r="L416" i="1"/>
  <c r="N415" i="1"/>
  <c r="Q415" i="1" s="1"/>
  <c r="L415" i="1"/>
  <c r="N414" i="1"/>
  <c r="Q414" i="1" s="1"/>
  <c r="L414" i="1"/>
  <c r="N413" i="1"/>
  <c r="Q413" i="1" s="1"/>
  <c r="L413" i="1"/>
  <c r="N412" i="1"/>
  <c r="Q412" i="1" s="1"/>
  <c r="L412" i="1"/>
  <c r="N411" i="1"/>
  <c r="Q411" i="1" s="1"/>
  <c r="L411" i="1"/>
  <c r="N410" i="1"/>
  <c r="Q410" i="1" s="1"/>
  <c r="L410" i="1"/>
  <c r="N409" i="1"/>
  <c r="Q409" i="1" s="1"/>
  <c r="L409" i="1"/>
  <c r="N408" i="1"/>
  <c r="Q408" i="1" s="1"/>
  <c r="L408" i="1"/>
  <c r="N407" i="1"/>
  <c r="Q407" i="1" s="1"/>
  <c r="L407" i="1"/>
  <c r="Q406" i="1"/>
  <c r="L406" i="1"/>
  <c r="N405" i="1"/>
  <c r="Q405" i="1" s="1"/>
  <c r="L405" i="1"/>
  <c r="N404" i="1"/>
  <c r="Q404" i="1" s="1"/>
  <c r="L404" i="1"/>
  <c r="N403" i="1"/>
  <c r="Q403" i="1" s="1"/>
  <c r="L403" i="1"/>
  <c r="N402" i="1"/>
  <c r="Q402" i="1" s="1"/>
  <c r="L402" i="1"/>
  <c r="N401" i="1"/>
  <c r="Q401" i="1" s="1"/>
  <c r="L401" i="1"/>
  <c r="N400" i="1"/>
  <c r="Q400" i="1" s="1"/>
  <c r="L400" i="1"/>
  <c r="N399" i="1"/>
  <c r="Q399" i="1" s="1"/>
  <c r="L399" i="1"/>
  <c r="N398" i="1"/>
  <c r="Q398" i="1" s="1"/>
  <c r="L398" i="1"/>
  <c r="N397" i="1"/>
  <c r="Q397" i="1" s="1"/>
  <c r="L397" i="1"/>
  <c r="N396" i="1"/>
  <c r="Q396" i="1" s="1"/>
  <c r="L396" i="1"/>
  <c r="N395" i="1"/>
  <c r="Q395" i="1" s="1"/>
  <c r="L395" i="1"/>
  <c r="N394" i="1"/>
  <c r="Q394" i="1" s="1"/>
  <c r="L394" i="1"/>
  <c r="J393" i="1"/>
  <c r="N393" i="1" s="1"/>
  <c r="Q393" i="1" s="1"/>
  <c r="J392" i="1"/>
  <c r="N392" i="1" s="1"/>
  <c r="Q392" i="1" s="1"/>
  <c r="M391" i="1"/>
  <c r="J391" i="1"/>
  <c r="M390" i="1"/>
  <c r="J390" i="1"/>
  <c r="L390" i="1" s="1"/>
  <c r="M389" i="1"/>
  <c r="J389" i="1"/>
  <c r="N388" i="1"/>
  <c r="Q388" i="1" s="1"/>
  <c r="L388" i="1"/>
  <c r="N387" i="1"/>
  <c r="Q387" i="1" s="1"/>
  <c r="N386" i="1"/>
  <c r="Q386" i="1" s="1"/>
  <c r="N385" i="1"/>
  <c r="Q385" i="1" s="1"/>
  <c r="N384" i="1"/>
  <c r="Q384" i="1" s="1"/>
  <c r="L384" i="1"/>
  <c r="N383" i="1"/>
  <c r="Q383" i="1" s="1"/>
  <c r="L383" i="1"/>
  <c r="N382" i="1"/>
  <c r="Q382" i="1" s="1"/>
  <c r="L382" i="1"/>
  <c r="N381" i="1"/>
  <c r="Q381" i="1" s="1"/>
  <c r="L381" i="1"/>
  <c r="N380" i="1"/>
  <c r="Q380" i="1" s="1"/>
  <c r="L380" i="1"/>
  <c r="N379" i="1"/>
  <c r="Q379" i="1" s="1"/>
  <c r="L379" i="1"/>
  <c r="N378" i="1"/>
  <c r="Q378" i="1" s="1"/>
  <c r="L378" i="1"/>
  <c r="N377" i="1"/>
  <c r="Q377" i="1" s="1"/>
  <c r="L377" i="1"/>
  <c r="N376" i="1"/>
  <c r="Q376" i="1" s="1"/>
  <c r="L376" i="1"/>
  <c r="N375" i="1"/>
  <c r="Q375" i="1" s="1"/>
  <c r="L375" i="1"/>
  <c r="N374" i="1"/>
  <c r="Q374" i="1" s="1"/>
  <c r="L374" i="1"/>
  <c r="N373" i="1"/>
  <c r="Q373" i="1" s="1"/>
  <c r="L373" i="1"/>
  <c r="N372" i="1"/>
  <c r="Q372" i="1" s="1"/>
  <c r="L372" i="1"/>
  <c r="N371" i="1"/>
  <c r="Q371" i="1" s="1"/>
  <c r="L371" i="1"/>
  <c r="N370" i="1"/>
  <c r="Q370" i="1" s="1"/>
  <c r="L370" i="1"/>
  <c r="N369" i="1"/>
  <c r="Q369" i="1" s="1"/>
  <c r="L369" i="1"/>
  <c r="N368" i="1"/>
  <c r="Q368" i="1" s="1"/>
  <c r="L368" i="1"/>
  <c r="N367" i="1"/>
  <c r="Q367" i="1" s="1"/>
  <c r="L367" i="1"/>
  <c r="J366" i="1"/>
  <c r="L366" i="1" s="1"/>
  <c r="N365" i="1"/>
  <c r="Q365" i="1" s="1"/>
  <c r="L365" i="1"/>
  <c r="N364" i="1"/>
  <c r="Q364" i="1" s="1"/>
  <c r="L364" i="1"/>
  <c r="N363" i="1"/>
  <c r="Q363" i="1" s="1"/>
  <c r="L363" i="1"/>
  <c r="N362" i="1"/>
  <c r="Q362" i="1" s="1"/>
  <c r="L362" i="1"/>
  <c r="N361" i="1"/>
  <c r="Q361" i="1" s="1"/>
  <c r="L361" i="1"/>
  <c r="N360" i="1"/>
  <c r="Q360" i="1" s="1"/>
  <c r="L360" i="1"/>
  <c r="N359" i="1"/>
  <c r="Q359" i="1" s="1"/>
  <c r="L359" i="1"/>
  <c r="N358" i="1"/>
  <c r="Q358" i="1" s="1"/>
  <c r="L358" i="1"/>
  <c r="Q357" i="1"/>
  <c r="L357" i="1"/>
  <c r="N356" i="1"/>
  <c r="Q356" i="1" s="1"/>
  <c r="L356" i="1"/>
  <c r="N355" i="1"/>
  <c r="Q355" i="1" s="1"/>
  <c r="L355" i="1"/>
  <c r="N354" i="1"/>
  <c r="Q354" i="1" s="1"/>
  <c r="L354" i="1"/>
  <c r="N353" i="1"/>
  <c r="Q353" i="1" s="1"/>
  <c r="L353" i="1"/>
  <c r="N352" i="1"/>
  <c r="Q352" i="1" s="1"/>
  <c r="L352" i="1"/>
  <c r="N351" i="1"/>
  <c r="Q351" i="1" s="1"/>
  <c r="L351" i="1"/>
  <c r="N350" i="1"/>
  <c r="Q350" i="1" s="1"/>
  <c r="L350" i="1"/>
  <c r="N349" i="1"/>
  <c r="Q349" i="1" s="1"/>
  <c r="L349" i="1"/>
  <c r="N348" i="1"/>
  <c r="Q348" i="1" s="1"/>
  <c r="L348" i="1"/>
  <c r="N347" i="1"/>
  <c r="Q347" i="1" s="1"/>
  <c r="L347" i="1"/>
  <c r="N346" i="1"/>
  <c r="Q346" i="1" s="1"/>
  <c r="L346" i="1"/>
  <c r="N345" i="1"/>
  <c r="Q345" i="1" s="1"/>
  <c r="L345" i="1"/>
  <c r="M344" i="1"/>
  <c r="J344" i="1"/>
  <c r="L344" i="1" s="1"/>
  <c r="N343" i="1"/>
  <c r="Q343" i="1" s="1"/>
  <c r="L343" i="1"/>
  <c r="N342" i="1"/>
  <c r="Q342" i="1" s="1"/>
  <c r="L342" i="1"/>
  <c r="N341" i="1"/>
  <c r="K341" i="1"/>
  <c r="L341" i="1" s="1"/>
  <c r="G341" i="1"/>
  <c r="N340" i="1"/>
  <c r="K340" i="1"/>
  <c r="L340" i="1" s="1"/>
  <c r="G340" i="1"/>
  <c r="Q340" i="1" s="1"/>
  <c r="N339" i="1"/>
  <c r="K339" i="1"/>
  <c r="L339" i="1" s="1"/>
  <c r="G339" i="1"/>
  <c r="N338" i="1"/>
  <c r="K338" i="1"/>
  <c r="L338" i="1" s="1"/>
  <c r="G338" i="1"/>
  <c r="N337" i="1"/>
  <c r="Q337" i="1" s="1"/>
  <c r="K337" i="1"/>
  <c r="L337" i="1" s="1"/>
  <c r="M336" i="1"/>
  <c r="N336" i="1" s="1"/>
  <c r="Q336" i="1" s="1"/>
  <c r="K336" i="1"/>
  <c r="L336" i="1" s="1"/>
  <c r="N335" i="1"/>
  <c r="Q335" i="1" s="1"/>
  <c r="K335" i="1"/>
  <c r="L335" i="1" s="1"/>
  <c r="N334" i="1"/>
  <c r="Q334" i="1" s="1"/>
  <c r="K334" i="1"/>
  <c r="L334" i="1" s="1"/>
  <c r="N333" i="1"/>
  <c r="Q333" i="1" s="1"/>
  <c r="K333" i="1"/>
  <c r="L333" i="1" s="1"/>
  <c r="N332" i="1"/>
  <c r="Q332" i="1" s="1"/>
  <c r="K332" i="1"/>
  <c r="L332" i="1" s="1"/>
  <c r="N331" i="1"/>
  <c r="Q331" i="1" s="1"/>
  <c r="L331" i="1"/>
  <c r="N330" i="1"/>
  <c r="Q330" i="1" s="1"/>
  <c r="M329" i="1"/>
  <c r="N329" i="1" s="1"/>
  <c r="Q329" i="1" s="1"/>
  <c r="L329" i="1"/>
  <c r="N328" i="1"/>
  <c r="Q328" i="1" s="1"/>
  <c r="L328" i="1"/>
  <c r="M327" i="1"/>
  <c r="N327" i="1" s="1"/>
  <c r="Q327" i="1" s="1"/>
  <c r="L327" i="1"/>
  <c r="M326" i="1"/>
  <c r="J326" i="1"/>
  <c r="L326" i="1" s="1"/>
  <c r="N325" i="1"/>
  <c r="Q325" i="1" s="1"/>
  <c r="L325" i="1"/>
  <c r="N324" i="1"/>
  <c r="Q324" i="1" s="1"/>
  <c r="L324" i="1"/>
  <c r="M323" i="1"/>
  <c r="J323" i="1"/>
  <c r="N322" i="1"/>
  <c r="Q322" i="1" s="1"/>
  <c r="N321" i="1"/>
  <c r="Q321" i="1" s="1"/>
  <c r="N320" i="1"/>
  <c r="Q320" i="1" s="1"/>
  <c r="N319" i="1"/>
  <c r="Q319" i="1" s="1"/>
  <c r="H319" i="1"/>
  <c r="M318" i="1"/>
  <c r="N318" i="1" s="1"/>
  <c r="Q318" i="1" s="1"/>
  <c r="M317" i="1"/>
  <c r="N317" i="1" s="1"/>
  <c r="Q317" i="1" s="1"/>
  <c r="M316" i="1"/>
  <c r="N316" i="1" s="1"/>
  <c r="Q316" i="1" s="1"/>
  <c r="L316" i="1"/>
  <c r="N315" i="1"/>
  <c r="Q315" i="1" s="1"/>
  <c r="F314" i="1"/>
  <c r="N314" i="1" s="1"/>
  <c r="Q314" i="1" s="1"/>
  <c r="N313" i="1"/>
  <c r="Q313" i="1" s="1"/>
  <c r="N312" i="1"/>
  <c r="Q312" i="1" s="1"/>
  <c r="N311" i="1"/>
  <c r="Q311" i="1" s="1"/>
  <c r="H311" i="1"/>
  <c r="N310" i="1"/>
  <c r="Q310" i="1" s="1"/>
  <c r="H310" i="1"/>
  <c r="F309" i="1"/>
  <c r="N309" i="1" s="1"/>
  <c r="Q309" i="1" s="1"/>
  <c r="N308" i="1"/>
  <c r="Q308" i="1" s="1"/>
  <c r="H308" i="1"/>
  <c r="N307" i="1"/>
  <c r="Q307" i="1" s="1"/>
  <c r="H307" i="1"/>
  <c r="N306" i="1"/>
  <c r="Q306" i="1" s="1"/>
  <c r="H306" i="1"/>
  <c r="N305" i="1"/>
  <c r="Q305" i="1" s="1"/>
  <c r="H305" i="1"/>
  <c r="N304" i="1"/>
  <c r="Q304" i="1" s="1"/>
  <c r="H304" i="1"/>
  <c r="N303" i="1"/>
  <c r="Q303" i="1" s="1"/>
  <c r="L303" i="1"/>
  <c r="H303" i="1"/>
  <c r="N302" i="1"/>
  <c r="Q302" i="1" s="1"/>
  <c r="H302" i="1"/>
  <c r="N301" i="1"/>
  <c r="Q301" i="1" s="1"/>
  <c r="H301" i="1"/>
  <c r="N300" i="1"/>
  <c r="Q300" i="1" s="1"/>
  <c r="H300" i="1"/>
  <c r="N299" i="1"/>
  <c r="Q299" i="1" s="1"/>
  <c r="H299" i="1"/>
  <c r="N298" i="1"/>
  <c r="Q298" i="1" s="1"/>
  <c r="H298" i="1"/>
  <c r="N297" i="1"/>
  <c r="Q297" i="1" s="1"/>
  <c r="H297" i="1"/>
  <c r="F296" i="1"/>
  <c r="N296" i="1" s="1"/>
  <c r="Q296" i="1" s="1"/>
  <c r="N295" i="1"/>
  <c r="Q295" i="1" s="1"/>
  <c r="H295" i="1"/>
  <c r="N294" i="1"/>
  <c r="Q294" i="1" s="1"/>
  <c r="H294" i="1"/>
  <c r="F293" i="1"/>
  <c r="N293" i="1" s="1"/>
  <c r="Q293" i="1" s="1"/>
  <c r="N292" i="1"/>
  <c r="Q292" i="1" s="1"/>
  <c r="H292" i="1"/>
  <c r="M291" i="1"/>
  <c r="F291" i="1"/>
  <c r="H291" i="1" s="1"/>
  <c r="N290" i="1"/>
  <c r="Q290" i="1" s="1"/>
  <c r="H290" i="1"/>
  <c r="L289" i="1"/>
  <c r="F289" i="1"/>
  <c r="N289" i="1" s="1"/>
  <c r="Q289" i="1" s="1"/>
  <c r="N288" i="1"/>
  <c r="Q288" i="1" s="1"/>
  <c r="N287" i="1"/>
  <c r="Q287" i="1" s="1"/>
  <c r="N286" i="1"/>
  <c r="Q286" i="1" s="1"/>
  <c r="H286" i="1"/>
  <c r="N285" i="1"/>
  <c r="Q285" i="1" s="1"/>
  <c r="H285" i="1"/>
  <c r="N284" i="1"/>
  <c r="Q284" i="1" s="1"/>
  <c r="H284" i="1"/>
  <c r="N283" i="1"/>
  <c r="Q283" i="1" s="1"/>
  <c r="H283" i="1"/>
  <c r="N282" i="1"/>
  <c r="Q282" i="1" s="1"/>
  <c r="H282" i="1"/>
  <c r="N281" i="1"/>
  <c r="Q281" i="1" s="1"/>
  <c r="H281" i="1"/>
  <c r="N280" i="1"/>
  <c r="Q280" i="1" s="1"/>
  <c r="H280" i="1"/>
  <c r="N279" i="1"/>
  <c r="Q279" i="1" s="1"/>
  <c r="H279" i="1"/>
  <c r="N278" i="1"/>
  <c r="Q278" i="1" s="1"/>
  <c r="H278" i="1"/>
  <c r="N277" i="1"/>
  <c r="Q277" i="1" s="1"/>
  <c r="H277" i="1"/>
  <c r="N276" i="1"/>
  <c r="Q276" i="1" s="1"/>
  <c r="H276" i="1"/>
  <c r="N275" i="1"/>
  <c r="Q275" i="1" s="1"/>
  <c r="L275" i="1"/>
  <c r="H275" i="1"/>
  <c r="N274" i="1"/>
  <c r="Q274" i="1" s="1"/>
  <c r="H274" i="1"/>
  <c r="N273" i="1"/>
  <c r="Q273" i="1" s="1"/>
  <c r="N272" i="1"/>
  <c r="Q272" i="1" s="1"/>
  <c r="H272" i="1"/>
  <c r="N271" i="1"/>
  <c r="Q271" i="1" s="1"/>
  <c r="H271" i="1"/>
  <c r="M270" i="1"/>
  <c r="J270" i="1"/>
  <c r="L270" i="1" s="1"/>
  <c r="H270" i="1"/>
  <c r="N269" i="1"/>
  <c r="Q269" i="1" s="1"/>
  <c r="L269" i="1"/>
  <c r="H269" i="1"/>
  <c r="N268" i="1"/>
  <c r="Q268" i="1" s="1"/>
  <c r="L268" i="1"/>
  <c r="H268" i="1"/>
  <c r="N267" i="1"/>
  <c r="Q267" i="1" s="1"/>
  <c r="L267" i="1"/>
  <c r="H267" i="1"/>
  <c r="N266" i="1"/>
  <c r="Q266" i="1" s="1"/>
  <c r="H266" i="1"/>
  <c r="N265" i="1"/>
  <c r="Q265" i="1" s="1"/>
  <c r="H265" i="1"/>
  <c r="N264" i="1"/>
  <c r="Q264" i="1" s="1"/>
  <c r="H264" i="1"/>
  <c r="N263" i="1"/>
  <c r="Q263" i="1" s="1"/>
  <c r="H263" i="1"/>
  <c r="N262" i="1"/>
  <c r="Q262" i="1" s="1"/>
  <c r="H262" i="1"/>
  <c r="N261" i="1"/>
  <c r="Q261" i="1" s="1"/>
  <c r="H261" i="1"/>
  <c r="N260" i="1"/>
  <c r="Q260" i="1" s="1"/>
  <c r="H260" i="1"/>
  <c r="N259" i="1"/>
  <c r="Q259" i="1" s="1"/>
  <c r="H259" i="1"/>
  <c r="N258" i="1"/>
  <c r="Q258" i="1" s="1"/>
  <c r="H258" i="1"/>
  <c r="N257" i="1"/>
  <c r="Q257" i="1" s="1"/>
  <c r="H257" i="1"/>
  <c r="N256" i="1"/>
  <c r="Q256" i="1" s="1"/>
  <c r="H256" i="1"/>
  <c r="N255" i="1"/>
  <c r="Q255" i="1" s="1"/>
  <c r="H255" i="1"/>
  <c r="N254" i="1"/>
  <c r="Q254" i="1" s="1"/>
  <c r="H254" i="1"/>
  <c r="N253" i="1"/>
  <c r="Q253" i="1" s="1"/>
  <c r="H253" i="1"/>
  <c r="N252" i="1"/>
  <c r="Q252" i="1" s="1"/>
  <c r="H252" i="1"/>
  <c r="M251" i="1"/>
  <c r="L251" i="1"/>
  <c r="F251" i="1"/>
  <c r="M250" i="1"/>
  <c r="J250" i="1"/>
  <c r="H250" i="1"/>
  <c r="N249" i="1"/>
  <c r="Q249" i="1" s="1"/>
  <c r="L249" i="1"/>
  <c r="H249" i="1"/>
  <c r="N248" i="1"/>
  <c r="Q248" i="1" s="1"/>
  <c r="L248" i="1"/>
  <c r="H248" i="1"/>
  <c r="N247" i="1"/>
  <c r="Q247" i="1" s="1"/>
  <c r="L247" i="1"/>
  <c r="H247" i="1"/>
  <c r="N246" i="1"/>
  <c r="Q246" i="1" s="1"/>
  <c r="L246" i="1"/>
  <c r="H246" i="1"/>
  <c r="N245" i="1"/>
  <c r="Q245" i="1" s="1"/>
  <c r="L245" i="1"/>
  <c r="H245" i="1"/>
  <c r="M244" i="1"/>
  <c r="N244" i="1" s="1"/>
  <c r="Q244" i="1" s="1"/>
  <c r="L244" i="1"/>
  <c r="H244" i="1"/>
  <c r="N243" i="1"/>
  <c r="Q243" i="1" s="1"/>
  <c r="L243" i="1"/>
  <c r="H243" i="1"/>
  <c r="N242" i="1"/>
  <c r="Q242" i="1" s="1"/>
  <c r="L242" i="1"/>
  <c r="H242" i="1"/>
  <c r="J241" i="1"/>
  <c r="L241" i="1" s="1"/>
  <c r="H241" i="1"/>
  <c r="N240" i="1"/>
  <c r="Q240" i="1" s="1"/>
  <c r="L240" i="1"/>
  <c r="H240" i="1"/>
  <c r="M239" i="1"/>
  <c r="N239" i="1" s="1"/>
  <c r="Q239" i="1" s="1"/>
  <c r="L239" i="1"/>
  <c r="H239" i="1"/>
  <c r="N238" i="1"/>
  <c r="Q238" i="1" s="1"/>
  <c r="H238" i="1"/>
  <c r="N237" i="1"/>
  <c r="Q237" i="1" s="1"/>
  <c r="H237" i="1"/>
  <c r="N236" i="1"/>
  <c r="Q236" i="1" s="1"/>
  <c r="H236" i="1"/>
  <c r="N235" i="1"/>
  <c r="Q235" i="1" s="1"/>
  <c r="H235" i="1"/>
  <c r="N234" i="1"/>
  <c r="Q234" i="1" s="1"/>
  <c r="H234" i="1"/>
  <c r="M233" i="1"/>
  <c r="N233" i="1" s="1"/>
  <c r="Q233" i="1" s="1"/>
  <c r="L233" i="1"/>
  <c r="H233" i="1"/>
  <c r="N232" i="1"/>
  <c r="Q232" i="1" s="1"/>
  <c r="H232" i="1"/>
  <c r="N231" i="1"/>
  <c r="Q231" i="1" s="1"/>
  <c r="H231" i="1"/>
  <c r="N230" i="1"/>
  <c r="Q230" i="1" s="1"/>
  <c r="H230" i="1"/>
  <c r="N229" i="1"/>
  <c r="Q229" i="1" s="1"/>
  <c r="H229" i="1"/>
  <c r="N228" i="1"/>
  <c r="Q228" i="1" s="1"/>
  <c r="H228" i="1"/>
  <c r="N227" i="1"/>
  <c r="Q227" i="1" s="1"/>
  <c r="H227" i="1"/>
  <c r="N226" i="1"/>
  <c r="Q226" i="1" s="1"/>
  <c r="H226" i="1"/>
  <c r="N225" i="1"/>
  <c r="Q225" i="1" s="1"/>
  <c r="H225" i="1"/>
  <c r="N224" i="1"/>
  <c r="Q224" i="1" s="1"/>
  <c r="H224" i="1"/>
  <c r="N223" i="1"/>
  <c r="Q223" i="1" s="1"/>
  <c r="H223" i="1"/>
  <c r="N222" i="1"/>
  <c r="Q222" i="1" s="1"/>
  <c r="H222" i="1"/>
  <c r="N221" i="1"/>
  <c r="Q221" i="1" s="1"/>
  <c r="H221" i="1"/>
  <c r="N220" i="1"/>
  <c r="Q220" i="1" s="1"/>
  <c r="H220" i="1"/>
  <c r="F219" i="1"/>
  <c r="N219" i="1" s="1"/>
  <c r="Q219" i="1" s="1"/>
  <c r="F218" i="1"/>
  <c r="N218" i="1" s="1"/>
  <c r="Q218" i="1" s="1"/>
  <c r="N217" i="1"/>
  <c r="Q217" i="1" s="1"/>
  <c r="H217" i="1"/>
  <c r="N216" i="1"/>
  <c r="Q216" i="1" s="1"/>
  <c r="H216" i="1"/>
  <c r="N215" i="1"/>
  <c r="Q215" i="1" s="1"/>
  <c r="H215" i="1"/>
  <c r="N214" i="1"/>
  <c r="Q214" i="1" s="1"/>
  <c r="H214" i="1"/>
  <c r="N213" i="1"/>
  <c r="Q213" i="1" s="1"/>
  <c r="H213" i="1"/>
  <c r="N212" i="1"/>
  <c r="Q212" i="1" s="1"/>
  <c r="H212" i="1"/>
  <c r="N211" i="1"/>
  <c r="Q211" i="1" s="1"/>
  <c r="H211" i="1"/>
  <c r="N210" i="1"/>
  <c r="Q210" i="1" s="1"/>
  <c r="H210" i="1"/>
  <c r="N209" i="1"/>
  <c r="Q209" i="1" s="1"/>
  <c r="H209" i="1"/>
  <c r="N208" i="1"/>
  <c r="Q208" i="1" s="1"/>
  <c r="H208" i="1"/>
  <c r="N207" i="1"/>
  <c r="Q207" i="1" s="1"/>
  <c r="H207" i="1"/>
  <c r="N206" i="1"/>
  <c r="Q206" i="1" s="1"/>
  <c r="H206" i="1"/>
  <c r="N205" i="1"/>
  <c r="Q205" i="1" s="1"/>
  <c r="H205" i="1"/>
  <c r="N204" i="1"/>
  <c r="Q204" i="1" s="1"/>
  <c r="H204" i="1"/>
  <c r="N203" i="1"/>
  <c r="Q203" i="1" s="1"/>
  <c r="H203" i="1"/>
  <c r="N202" i="1"/>
  <c r="Q202" i="1" s="1"/>
  <c r="H202" i="1"/>
  <c r="N201" i="1"/>
  <c r="Q201" i="1" s="1"/>
  <c r="N200" i="1"/>
  <c r="Q200" i="1" s="1"/>
  <c r="L200" i="1"/>
  <c r="H200" i="1"/>
  <c r="N199" i="1"/>
  <c r="Q199" i="1" s="1"/>
  <c r="N198" i="1"/>
  <c r="Q198" i="1" s="1"/>
  <c r="L198" i="1"/>
  <c r="H198" i="1"/>
  <c r="N197" i="1"/>
  <c r="Q197" i="1" s="1"/>
  <c r="H197" i="1"/>
  <c r="M196" i="1"/>
  <c r="J196" i="1"/>
  <c r="L196" i="1" s="1"/>
  <c r="H196" i="1"/>
  <c r="F195" i="1"/>
  <c r="N195" i="1" s="1"/>
  <c r="Q195" i="1" s="1"/>
  <c r="N194" i="1"/>
  <c r="Q194" i="1" s="1"/>
  <c r="H194" i="1"/>
  <c r="M193" i="1"/>
  <c r="J193" i="1"/>
  <c r="F193" i="1"/>
  <c r="H193" i="1" s="1"/>
  <c r="N192" i="1"/>
  <c r="Q192" i="1" s="1"/>
  <c r="H192" i="1"/>
  <c r="N191" i="1"/>
  <c r="Q191" i="1" s="1"/>
  <c r="H191" i="1"/>
  <c r="N190" i="1"/>
  <c r="Q190" i="1" s="1"/>
  <c r="H190" i="1"/>
  <c r="N189" i="1"/>
  <c r="Q189" i="1" s="1"/>
  <c r="H189" i="1"/>
  <c r="N188" i="1"/>
  <c r="Q188" i="1" s="1"/>
  <c r="H188" i="1"/>
  <c r="N187" i="1"/>
  <c r="Q187" i="1" s="1"/>
  <c r="H187" i="1"/>
  <c r="N186" i="1"/>
  <c r="Q186" i="1" s="1"/>
  <c r="H186" i="1"/>
  <c r="N185" i="1"/>
  <c r="Q185" i="1" s="1"/>
  <c r="H185" i="1"/>
  <c r="N184" i="1"/>
  <c r="Q184" i="1" s="1"/>
  <c r="H184" i="1"/>
  <c r="F183" i="1"/>
  <c r="N183" i="1" s="1"/>
  <c r="Q183" i="1" s="1"/>
  <c r="F182" i="1"/>
  <c r="N182" i="1" s="1"/>
  <c r="Q182" i="1" s="1"/>
  <c r="N181" i="1"/>
  <c r="Q181" i="1" s="1"/>
  <c r="H181" i="1"/>
  <c r="M180" i="1"/>
  <c r="J180" i="1"/>
  <c r="L180" i="1" s="1"/>
  <c r="H180" i="1"/>
  <c r="M179" i="1"/>
  <c r="J179" i="1"/>
  <c r="H179" i="1"/>
  <c r="N178" i="1"/>
  <c r="Q178" i="1" s="1"/>
  <c r="H178" i="1"/>
  <c r="F177" i="1"/>
  <c r="N177" i="1" s="1"/>
  <c r="Q177" i="1" s="1"/>
  <c r="N176" i="1"/>
  <c r="Q176" i="1" s="1"/>
  <c r="H176" i="1"/>
  <c r="N175" i="1"/>
  <c r="Q175" i="1" s="1"/>
  <c r="H175" i="1"/>
  <c r="N174" i="1"/>
  <c r="Q174" i="1" s="1"/>
  <c r="H174" i="1"/>
  <c r="N173" i="1"/>
  <c r="Q173" i="1" s="1"/>
  <c r="L173" i="1"/>
  <c r="H173" i="1"/>
  <c r="L172" i="1"/>
  <c r="F172" i="1"/>
  <c r="N172" i="1" s="1"/>
  <c r="Q172" i="1" s="1"/>
  <c r="N171" i="1"/>
  <c r="Q171" i="1" s="1"/>
  <c r="L171" i="1"/>
  <c r="H171" i="1"/>
  <c r="M170" i="1"/>
  <c r="N170" i="1" s="1"/>
  <c r="Q170" i="1" s="1"/>
  <c r="L170" i="1"/>
  <c r="H170" i="1"/>
  <c r="N169" i="1"/>
  <c r="Q169" i="1" s="1"/>
  <c r="L169" i="1"/>
  <c r="H169" i="1"/>
  <c r="M168" i="1"/>
  <c r="N168" i="1" s="1"/>
  <c r="Q168" i="1" s="1"/>
  <c r="H168" i="1"/>
  <c r="N167" i="1"/>
  <c r="Q167" i="1" s="1"/>
  <c r="N166" i="1"/>
  <c r="Q166" i="1" s="1"/>
  <c r="L166" i="1"/>
  <c r="L165" i="1"/>
  <c r="F165" i="1"/>
  <c r="N165" i="1" s="1"/>
  <c r="Q165" i="1" s="1"/>
  <c r="J164" i="1"/>
  <c r="F164" i="1"/>
  <c r="H164" i="1" s="1"/>
  <c r="M163" i="1"/>
  <c r="L163" i="1"/>
  <c r="F163" i="1"/>
  <c r="J162" i="1"/>
  <c r="F162" i="1"/>
  <c r="H162" i="1" s="1"/>
  <c r="M161" i="1"/>
  <c r="N161" i="1" s="1"/>
  <c r="Q161" i="1" s="1"/>
  <c r="K161" i="1"/>
  <c r="L161" i="1" s="1"/>
  <c r="H161" i="1"/>
  <c r="F160" i="1"/>
  <c r="N160" i="1" s="1"/>
  <c r="Q160" i="1" s="1"/>
  <c r="N159" i="1"/>
  <c r="Q159" i="1" s="1"/>
  <c r="H159" i="1"/>
  <c r="N158" i="1"/>
  <c r="Q158" i="1" s="1"/>
  <c r="H158" i="1"/>
  <c r="M157" i="1"/>
  <c r="J157" i="1"/>
  <c r="L157" i="1" s="1"/>
  <c r="H157" i="1"/>
  <c r="N156" i="1"/>
  <c r="Q156" i="1" s="1"/>
  <c r="H156" i="1"/>
  <c r="Q155" i="1"/>
  <c r="N155" i="1"/>
  <c r="H155" i="1"/>
  <c r="N154" i="1"/>
  <c r="Q154" i="1" s="1"/>
  <c r="H154" i="1"/>
  <c r="N153" i="1"/>
  <c r="Q153" i="1" s="1"/>
  <c r="H153" i="1"/>
  <c r="N152" i="1"/>
  <c r="Q152" i="1" s="1"/>
  <c r="N151" i="1"/>
  <c r="Q151" i="1" s="1"/>
  <c r="H151" i="1"/>
  <c r="N150" i="1"/>
  <c r="Q150" i="1" s="1"/>
  <c r="H150" i="1"/>
  <c r="N149" i="1"/>
  <c r="Q149" i="1" s="1"/>
  <c r="F148" i="1"/>
  <c r="N148" i="1" s="1"/>
  <c r="Q148" i="1" s="1"/>
  <c r="N147" i="1"/>
  <c r="Q147" i="1" s="1"/>
  <c r="H147" i="1"/>
  <c r="N146" i="1"/>
  <c r="Q146" i="1" s="1"/>
  <c r="H146" i="1"/>
  <c r="N145" i="1"/>
  <c r="Q145" i="1" s="1"/>
  <c r="N144" i="1"/>
  <c r="Q144" i="1" s="1"/>
  <c r="N143" i="1"/>
  <c r="Q143" i="1" s="1"/>
  <c r="H143" i="1"/>
  <c r="N142" i="1"/>
  <c r="Q142" i="1" s="1"/>
  <c r="N141" i="1"/>
  <c r="Q141" i="1" s="1"/>
  <c r="H141" i="1"/>
  <c r="N140" i="1"/>
  <c r="Q140" i="1" s="1"/>
  <c r="H140" i="1"/>
  <c r="J139" i="1"/>
  <c r="N139" i="1" s="1"/>
  <c r="Q139" i="1" s="1"/>
  <c r="H139" i="1"/>
  <c r="F138" i="1"/>
  <c r="N138" i="1" s="1"/>
  <c r="Q138" i="1" s="1"/>
  <c r="N137" i="1"/>
  <c r="Q137" i="1" s="1"/>
  <c r="H137" i="1"/>
  <c r="N136" i="1"/>
  <c r="Q136" i="1" s="1"/>
  <c r="H136" i="1"/>
  <c r="F135" i="1"/>
  <c r="N135" i="1" s="1"/>
  <c r="Q135" i="1" s="1"/>
  <c r="N134" i="1"/>
  <c r="Q134" i="1" s="1"/>
  <c r="H134" i="1"/>
  <c r="F133" i="1"/>
  <c r="N133" i="1" s="1"/>
  <c r="Q133" i="1" s="1"/>
  <c r="N132" i="1"/>
  <c r="Q132" i="1" s="1"/>
  <c r="H132" i="1"/>
  <c r="N131" i="1"/>
  <c r="Q131" i="1" s="1"/>
  <c r="H131" i="1"/>
  <c r="M130" i="1"/>
  <c r="F130" i="1"/>
  <c r="H130" i="1" s="1"/>
  <c r="N129" i="1"/>
  <c r="Q129" i="1" s="1"/>
  <c r="H129" i="1"/>
  <c r="N128" i="1"/>
  <c r="Q128" i="1" s="1"/>
  <c r="H128" i="1"/>
  <c r="N127" i="1"/>
  <c r="Q127" i="1" s="1"/>
  <c r="H127" i="1"/>
  <c r="N126" i="1"/>
  <c r="Q126" i="1" s="1"/>
  <c r="H126" i="1"/>
  <c r="N125" i="1"/>
  <c r="Q125" i="1" s="1"/>
  <c r="H125" i="1"/>
  <c r="M124" i="1"/>
  <c r="N124" i="1" s="1"/>
  <c r="Q124" i="1" s="1"/>
  <c r="H124" i="1"/>
  <c r="N123" i="1"/>
  <c r="Q123" i="1" s="1"/>
  <c r="H123" i="1"/>
  <c r="N122" i="1"/>
  <c r="Q122" i="1" s="1"/>
  <c r="H122" i="1"/>
  <c r="N121" i="1"/>
  <c r="Q121" i="1" s="1"/>
  <c r="L121" i="1"/>
  <c r="H121" i="1"/>
  <c r="N120" i="1"/>
  <c r="Q120" i="1" s="1"/>
  <c r="H120" i="1"/>
  <c r="N119" i="1"/>
  <c r="Q119" i="1" s="1"/>
  <c r="H119" i="1"/>
  <c r="M118" i="1"/>
  <c r="N118" i="1" s="1"/>
  <c r="Q118" i="1" s="1"/>
  <c r="H118" i="1"/>
  <c r="F117" i="1"/>
  <c r="N117" i="1" s="1"/>
  <c r="Q117" i="1" s="1"/>
  <c r="N116" i="1"/>
  <c r="Q116" i="1" s="1"/>
  <c r="H116" i="1"/>
  <c r="N115" i="1"/>
  <c r="Q115" i="1" s="1"/>
  <c r="H115" i="1"/>
  <c r="N114" i="1"/>
  <c r="Q114" i="1" s="1"/>
  <c r="H114" i="1"/>
  <c r="N113" i="1"/>
  <c r="Q113" i="1" s="1"/>
  <c r="H113" i="1"/>
  <c r="N112" i="1"/>
  <c r="Q112" i="1" s="1"/>
  <c r="H112" i="1"/>
  <c r="N111" i="1"/>
  <c r="Q111" i="1" s="1"/>
  <c r="H111" i="1"/>
  <c r="N110" i="1"/>
  <c r="Q110" i="1" s="1"/>
  <c r="H110" i="1"/>
  <c r="N109" i="1"/>
  <c r="Q109" i="1" s="1"/>
  <c r="H109" i="1"/>
  <c r="N108" i="1"/>
  <c r="Q108" i="1" s="1"/>
  <c r="H108" i="1"/>
  <c r="N107" i="1"/>
  <c r="Q107" i="1" s="1"/>
  <c r="H107" i="1"/>
  <c r="F106" i="1"/>
  <c r="N106" i="1" s="1"/>
  <c r="Q106" i="1" s="1"/>
  <c r="N105" i="1"/>
  <c r="Q105" i="1" s="1"/>
  <c r="H105" i="1"/>
  <c r="N104" i="1"/>
  <c r="Q104" i="1" s="1"/>
  <c r="H104" i="1"/>
  <c r="F103" i="1"/>
  <c r="N103" i="1" s="1"/>
  <c r="Q103" i="1" s="1"/>
  <c r="N102" i="1"/>
  <c r="Q102" i="1" s="1"/>
  <c r="H102" i="1"/>
  <c r="N101" i="1"/>
  <c r="Q101" i="1" s="1"/>
  <c r="H101" i="1"/>
  <c r="N100" i="1"/>
  <c r="Q100" i="1" s="1"/>
  <c r="H100" i="1"/>
  <c r="N99" i="1"/>
  <c r="Q99" i="1" s="1"/>
  <c r="H99" i="1"/>
  <c r="N98" i="1"/>
  <c r="Q98" i="1" s="1"/>
  <c r="H98" i="1"/>
  <c r="N97" i="1"/>
  <c r="Q97" i="1" s="1"/>
  <c r="H97" i="1"/>
  <c r="N96" i="1"/>
  <c r="Q96" i="1" s="1"/>
  <c r="H96" i="1"/>
  <c r="F95" i="1"/>
  <c r="N95" i="1" s="1"/>
  <c r="Q95" i="1" s="1"/>
  <c r="F94" i="1"/>
  <c r="N94" i="1" s="1"/>
  <c r="Q94" i="1" s="1"/>
  <c r="N93" i="1"/>
  <c r="Q93" i="1" s="1"/>
  <c r="H93" i="1"/>
  <c r="M92" i="1"/>
  <c r="N92" i="1" s="1"/>
  <c r="Q92" i="1" s="1"/>
  <c r="H92" i="1"/>
  <c r="N91" i="1"/>
  <c r="Q91" i="1" s="1"/>
  <c r="H91" i="1"/>
  <c r="N90" i="1"/>
  <c r="Q90" i="1" s="1"/>
  <c r="H90" i="1"/>
  <c r="J89" i="1"/>
  <c r="N89" i="1" s="1"/>
  <c r="Q89" i="1" s="1"/>
  <c r="H89" i="1"/>
  <c r="N88" i="1"/>
  <c r="Q88" i="1" s="1"/>
  <c r="N87" i="1"/>
  <c r="Q87" i="1" s="1"/>
  <c r="L87" i="1"/>
  <c r="H87" i="1"/>
  <c r="N86" i="1"/>
  <c r="Q86" i="1" s="1"/>
  <c r="L86" i="1"/>
  <c r="H86" i="1"/>
  <c r="N85" i="1"/>
  <c r="Q85" i="1" s="1"/>
  <c r="H85" i="1"/>
  <c r="N84" i="1"/>
  <c r="Q84" i="1" s="1"/>
  <c r="H84" i="1"/>
  <c r="N83" i="1"/>
  <c r="Q83" i="1" s="1"/>
  <c r="H83" i="1"/>
  <c r="N82" i="1"/>
  <c r="Q82" i="1" s="1"/>
  <c r="H82" i="1"/>
  <c r="N81" i="1"/>
  <c r="Q81" i="1" s="1"/>
  <c r="H81" i="1"/>
  <c r="N80" i="1"/>
  <c r="Q80" i="1" s="1"/>
  <c r="L80" i="1"/>
  <c r="H80" i="1"/>
  <c r="N79" i="1"/>
  <c r="Q79" i="1" s="1"/>
  <c r="H79" i="1"/>
  <c r="N78" i="1"/>
  <c r="Q78" i="1" s="1"/>
  <c r="H78" i="1"/>
  <c r="N77" i="1"/>
  <c r="Q77" i="1" s="1"/>
  <c r="H77" i="1"/>
  <c r="M76" i="1"/>
  <c r="N76" i="1" s="1"/>
  <c r="Q76" i="1" s="1"/>
  <c r="H76" i="1"/>
  <c r="J75" i="1"/>
  <c r="N75" i="1" s="1"/>
  <c r="Q75" i="1" s="1"/>
  <c r="H75" i="1"/>
  <c r="N74" i="1"/>
  <c r="Q74" i="1" s="1"/>
  <c r="H74" i="1"/>
  <c r="N73" i="1"/>
  <c r="Q73" i="1" s="1"/>
  <c r="H73" i="1"/>
  <c r="N72" i="1"/>
  <c r="Q72" i="1" s="1"/>
  <c r="H72" i="1"/>
  <c r="N71" i="1"/>
  <c r="Q71" i="1" s="1"/>
  <c r="H71" i="1"/>
  <c r="N70" i="1"/>
  <c r="Q70" i="1" s="1"/>
  <c r="H70" i="1"/>
  <c r="N69" i="1"/>
  <c r="Q69" i="1" s="1"/>
  <c r="H69" i="1"/>
  <c r="N68" i="1"/>
  <c r="Q68" i="1" s="1"/>
  <c r="H68" i="1"/>
  <c r="N67" i="1"/>
  <c r="Q67" i="1" s="1"/>
  <c r="H67" i="1"/>
  <c r="N66" i="1"/>
  <c r="Q66" i="1" s="1"/>
  <c r="H66" i="1"/>
  <c r="N65" i="1"/>
  <c r="Q65" i="1" s="1"/>
  <c r="L65" i="1"/>
  <c r="H65" i="1"/>
  <c r="N64" i="1"/>
  <c r="Q64" i="1" s="1"/>
  <c r="L64" i="1"/>
  <c r="N63" i="1"/>
  <c r="Q63" i="1" s="1"/>
  <c r="L63" i="1"/>
  <c r="N62" i="1"/>
  <c r="Q62" i="1" s="1"/>
  <c r="L62" i="1"/>
  <c r="N61" i="1"/>
  <c r="Q61" i="1" s="1"/>
  <c r="L61" i="1"/>
  <c r="H61" i="1"/>
  <c r="N60" i="1"/>
  <c r="Q60" i="1" s="1"/>
  <c r="L60" i="1"/>
  <c r="H60" i="1"/>
  <c r="N59" i="1"/>
  <c r="Q59" i="1" s="1"/>
  <c r="L59" i="1"/>
  <c r="H59" i="1"/>
  <c r="N58" i="1"/>
  <c r="Q58" i="1" s="1"/>
  <c r="L58" i="1"/>
  <c r="H58" i="1"/>
  <c r="N57" i="1"/>
  <c r="Q57" i="1" s="1"/>
  <c r="L57" i="1"/>
  <c r="H57" i="1"/>
  <c r="N56" i="1"/>
  <c r="Q56" i="1" s="1"/>
  <c r="L56" i="1"/>
  <c r="H56" i="1"/>
  <c r="M55" i="1"/>
  <c r="N55" i="1" s="1"/>
  <c r="Q55" i="1" s="1"/>
  <c r="L55" i="1"/>
  <c r="H55" i="1"/>
  <c r="M54" i="1"/>
  <c r="N54" i="1" s="1"/>
  <c r="Q54" i="1" s="1"/>
  <c r="L54" i="1"/>
  <c r="H54" i="1"/>
  <c r="M53" i="1"/>
  <c r="F53" i="1"/>
  <c r="H53" i="1" s="1"/>
  <c r="N52" i="1"/>
  <c r="Q52" i="1" s="1"/>
  <c r="H52" i="1"/>
  <c r="N51" i="1"/>
  <c r="Q51" i="1" s="1"/>
  <c r="H51" i="1"/>
  <c r="N50" i="1"/>
  <c r="Q50" i="1" s="1"/>
  <c r="H50" i="1"/>
  <c r="N49" i="1"/>
  <c r="Q49" i="1" s="1"/>
  <c r="H49" i="1"/>
  <c r="N48" i="1"/>
  <c r="Q48" i="1" s="1"/>
  <c r="H48" i="1"/>
  <c r="N47" i="1"/>
  <c r="Q47" i="1" s="1"/>
  <c r="H47" i="1"/>
  <c r="N46" i="1"/>
  <c r="Q46" i="1" s="1"/>
  <c r="H46" i="1"/>
  <c r="N45" i="1"/>
  <c r="Q45" i="1" s="1"/>
  <c r="H45" i="1"/>
  <c r="N44" i="1"/>
  <c r="Q44" i="1" s="1"/>
  <c r="H44" i="1"/>
  <c r="M43" i="1"/>
  <c r="N43" i="1" s="1"/>
  <c r="Q43" i="1" s="1"/>
  <c r="H43" i="1"/>
  <c r="N42" i="1"/>
  <c r="Q42" i="1" s="1"/>
  <c r="H42" i="1"/>
  <c r="N41" i="1"/>
  <c r="Q41" i="1" s="1"/>
  <c r="L41" i="1"/>
  <c r="H41" i="1"/>
  <c r="N40" i="1"/>
  <c r="Q40" i="1" s="1"/>
  <c r="H40" i="1"/>
  <c r="N39" i="1"/>
  <c r="Q39" i="1" s="1"/>
  <c r="H39" i="1"/>
  <c r="N38" i="1"/>
  <c r="Q38" i="1" s="1"/>
  <c r="H38" i="1"/>
  <c r="N37" i="1"/>
  <c r="Q37" i="1" s="1"/>
  <c r="H37" i="1"/>
  <c r="N36" i="1"/>
  <c r="Q36" i="1" s="1"/>
  <c r="H36" i="1"/>
  <c r="N35" i="1"/>
  <c r="Q35" i="1" s="1"/>
  <c r="H35" i="1"/>
  <c r="F34" i="1"/>
  <c r="H34" i="1" s="1"/>
  <c r="N33" i="1"/>
  <c r="Q33" i="1" s="1"/>
  <c r="H33" i="1"/>
  <c r="N32" i="1"/>
  <c r="Q32" i="1" s="1"/>
  <c r="H32" i="1"/>
  <c r="N31" i="1"/>
  <c r="Q31" i="1" s="1"/>
  <c r="H31" i="1"/>
  <c r="N30" i="1"/>
  <c r="Q30" i="1" s="1"/>
  <c r="H30" i="1"/>
  <c r="N29" i="1"/>
  <c r="Q29" i="1" s="1"/>
  <c r="H29" i="1"/>
  <c r="N28" i="1"/>
  <c r="Q28" i="1" s="1"/>
  <c r="H28" i="1"/>
  <c r="N27" i="1"/>
  <c r="Q27" i="1" s="1"/>
  <c r="H27" i="1"/>
  <c r="N26" i="1"/>
  <c r="Q26" i="1" s="1"/>
  <c r="H26" i="1"/>
  <c r="N25" i="1"/>
  <c r="Q25" i="1" s="1"/>
  <c r="H25" i="1"/>
  <c r="M24" i="1"/>
  <c r="N24" i="1" s="1"/>
  <c r="Q24" i="1" s="1"/>
  <c r="H24" i="1"/>
  <c r="N23" i="1"/>
  <c r="Q23" i="1" s="1"/>
  <c r="H23" i="1"/>
  <c r="N22" i="1"/>
  <c r="Q22" i="1" s="1"/>
  <c r="H22" i="1"/>
  <c r="N21" i="1"/>
  <c r="Q21" i="1" s="1"/>
  <c r="H21" i="1"/>
  <c r="F20" i="1"/>
  <c r="N20" i="1" s="1"/>
  <c r="Q20" i="1" s="1"/>
  <c r="N19" i="1"/>
  <c r="Q19" i="1" s="1"/>
  <c r="H19" i="1"/>
  <c r="N18" i="1"/>
  <c r="Q18" i="1" s="1"/>
  <c r="H18" i="1"/>
  <c r="N17" i="1"/>
  <c r="Q17" i="1" s="1"/>
  <c r="H17" i="1"/>
  <c r="N16" i="1"/>
  <c r="Q16" i="1" s="1"/>
  <c r="H16" i="1"/>
  <c r="N15" i="1"/>
  <c r="Q15" i="1" s="1"/>
  <c r="H15" i="1"/>
  <c r="F14" i="1"/>
  <c r="H14" i="1" s="1"/>
  <c r="N13" i="1"/>
  <c r="Q13" i="1" s="1"/>
  <c r="H13" i="1"/>
  <c r="N12" i="1"/>
  <c r="Q12" i="1" s="1"/>
  <c r="H12" i="1"/>
  <c r="N11" i="1"/>
  <c r="Q11" i="1" s="1"/>
  <c r="H11" i="1"/>
  <c r="N10" i="1"/>
  <c r="Q10" i="1" s="1"/>
  <c r="H10" i="1"/>
  <c r="M9" i="1"/>
  <c r="H9" i="1"/>
  <c r="H8" i="1"/>
  <c r="F8" i="1"/>
  <c r="N8" i="1" s="1"/>
  <c r="N389" i="1" l="1"/>
  <c r="Q389" i="1" s="1"/>
  <c r="H293" i="1"/>
  <c r="N163" i="1"/>
  <c r="Q163" i="1" s="1"/>
  <c r="Q341" i="1"/>
  <c r="N34" i="1"/>
  <c r="Q34" i="1" s="1"/>
  <c r="N164" i="1"/>
  <c r="Q164" i="1" s="1"/>
  <c r="N180" i="1"/>
  <c r="Q180" i="1" s="1"/>
  <c r="N162" i="1"/>
  <c r="Q162" i="1" s="1"/>
  <c r="N426" i="1"/>
  <c r="Q426" i="1" s="1"/>
  <c r="N130" i="1"/>
  <c r="Q130" i="1" s="1"/>
  <c r="N250" i="1"/>
  <c r="Q250" i="1" s="1"/>
  <c r="Q338" i="1"/>
  <c r="N251" i="1"/>
  <c r="Q251" i="1" s="1"/>
  <c r="N241" i="1"/>
  <c r="Q241" i="1" s="1"/>
  <c r="H309" i="1"/>
  <c r="N344" i="1"/>
  <c r="Q344" i="1" s="1"/>
  <c r="H106" i="1"/>
  <c r="H195" i="1"/>
  <c r="L89" i="1"/>
  <c r="H183" i="1"/>
  <c r="N291" i="1"/>
  <c r="Q291" i="1" s="1"/>
  <c r="Q339" i="1"/>
  <c r="H135" i="1"/>
  <c r="L139" i="1"/>
  <c r="L162" i="1"/>
  <c r="N391" i="1"/>
  <c r="Q391" i="1" s="1"/>
  <c r="H103" i="1"/>
  <c r="H160" i="1"/>
  <c r="N179" i="1"/>
  <c r="Q179" i="1" s="1"/>
  <c r="H289" i="1"/>
  <c r="N53" i="1"/>
  <c r="Q53" i="1" s="1"/>
  <c r="N193" i="1"/>
  <c r="Q193" i="1" s="1"/>
  <c r="N196" i="1"/>
  <c r="Q196" i="1" s="1"/>
  <c r="N326" i="1"/>
  <c r="Q326" i="1" s="1"/>
  <c r="K471" i="1"/>
  <c r="L193" i="1"/>
  <c r="N14" i="1"/>
  <c r="Q14" i="1" s="1"/>
  <c r="H94" i="1"/>
  <c r="L426" i="1"/>
  <c r="N157" i="1"/>
  <c r="Q157" i="1" s="1"/>
  <c r="H133" i="1"/>
  <c r="L164" i="1"/>
  <c r="H172" i="1"/>
  <c r="N323" i="1"/>
  <c r="Q323" i="1" s="1"/>
  <c r="N366" i="1"/>
  <c r="Q366" i="1" s="1"/>
  <c r="N270" i="1"/>
  <c r="Q270" i="1" s="1"/>
  <c r="M471" i="1"/>
  <c r="H138" i="1"/>
  <c r="N390" i="1"/>
  <c r="Q390" i="1" s="1"/>
  <c r="Q8" i="1"/>
  <c r="H163" i="1"/>
  <c r="H165" i="1"/>
  <c r="L250" i="1"/>
  <c r="L393" i="1"/>
  <c r="H117" i="1"/>
  <c r="L323" i="1"/>
  <c r="L391" i="1"/>
  <c r="H20" i="1"/>
  <c r="H95" i="1"/>
  <c r="L179" i="1"/>
  <c r="H218" i="1"/>
  <c r="H251" i="1"/>
  <c r="L389" i="1"/>
  <c r="H182" i="1"/>
  <c r="N9" i="1"/>
  <c r="Q9" i="1" s="1"/>
  <c r="H296" i="1"/>
  <c r="L392" i="1"/>
  <c r="L75" i="1"/>
  <c r="H177" i="1"/>
  <c r="H219" i="1"/>
  <c r="Q471" i="1" l="1"/>
  <c r="L471" i="1"/>
  <c r="H471" i="1"/>
  <c r="N471" i="1"/>
</calcChain>
</file>

<file path=xl/sharedStrings.xml><?xml version="1.0" encoding="utf-8"?>
<sst xmlns="http://schemas.openxmlformats.org/spreadsheetml/2006/main" count="1977" uniqueCount="966">
  <si>
    <t>ACUARIO NACIONAL</t>
  </si>
  <si>
    <t>"Educando para la Conservación"</t>
  </si>
  <si>
    <t>RELACIÓN DE INVENTARIOS DE MATERIALES GASTABLES  AL 30/06/2023</t>
  </si>
  <si>
    <t>CÓDIGO INSTITUCIONAL</t>
  </si>
  <si>
    <t>FECHA DE ADQUISICIÓN / REGISTRO</t>
  </si>
  <si>
    <t>BREVE DESCRIPCIÓN DEL BIEN</t>
  </si>
  <si>
    <t>Unidad de Medida</t>
  </si>
  <si>
    <t>EXISTENCIA</t>
  </si>
  <si>
    <t>PRECIO UNITARIO</t>
  </si>
  <si>
    <t>VALORES RD$</t>
  </si>
  <si>
    <t>FECHA DE ADQUISICIÓN/REGISTRO</t>
  </si>
  <si>
    <t>COMPRA</t>
  </si>
  <si>
    <t>Salida</t>
  </si>
  <si>
    <t>Existencia</t>
  </si>
  <si>
    <t>Proveedor</t>
  </si>
  <si>
    <t>Categoria</t>
  </si>
  <si>
    <t>AN2</t>
  </si>
  <si>
    <t>Ace  Saco</t>
  </si>
  <si>
    <t>Libra</t>
  </si>
  <si>
    <t>Limpieza</t>
  </si>
  <si>
    <t>AN3</t>
  </si>
  <si>
    <t xml:space="preserve">Aceite De 2 Tiempo </t>
  </si>
  <si>
    <t>Unidad</t>
  </si>
  <si>
    <t>Ferreteria</t>
  </si>
  <si>
    <t>AN4</t>
  </si>
  <si>
    <t>Aceite Para Compresores Iso 100</t>
  </si>
  <si>
    <t>AN5</t>
  </si>
  <si>
    <t xml:space="preserve">Acero Plastico </t>
  </si>
  <si>
    <t>AN6</t>
  </si>
  <si>
    <t>Adaptador Universal de 3</t>
  </si>
  <si>
    <t>AN7</t>
  </si>
  <si>
    <t xml:space="preserve">Adaptadore Hembra  1/2 </t>
  </si>
  <si>
    <t>AN8</t>
  </si>
  <si>
    <t xml:space="preserve">Adaptadore Hembra 1 </t>
  </si>
  <si>
    <t>AN9</t>
  </si>
  <si>
    <t xml:space="preserve">Adaptadore Hembra 1 1/2 </t>
  </si>
  <si>
    <t>AN10</t>
  </si>
  <si>
    <t xml:space="preserve">Adaptadores Hembra 2 </t>
  </si>
  <si>
    <t>AN11</t>
  </si>
  <si>
    <t xml:space="preserve">Adaptadores Hembra 3/4 </t>
  </si>
  <si>
    <t>AN12</t>
  </si>
  <si>
    <t>17/12/2018</t>
  </si>
  <si>
    <t>Adaptadores Macho 1</t>
  </si>
  <si>
    <t>AN13</t>
  </si>
  <si>
    <t xml:space="preserve">Adaptadores Macho 1 1/2 </t>
  </si>
  <si>
    <t>AN14</t>
  </si>
  <si>
    <t xml:space="preserve">Adaptadores Macho 1/2 </t>
  </si>
  <si>
    <t>AN15</t>
  </si>
  <si>
    <t>Adaptadores Macho 2</t>
  </si>
  <si>
    <t>AN16</t>
  </si>
  <si>
    <t>Adaptadores Macho 3</t>
  </si>
  <si>
    <t>AN17</t>
  </si>
  <si>
    <t xml:space="preserve">Adaptadores Macho 3/4 </t>
  </si>
  <si>
    <t>AN19</t>
  </si>
  <si>
    <t>Aditivo de aceite Bardahl No. 2, antifriccionante para motor 450 ML</t>
  </si>
  <si>
    <t>AN20</t>
  </si>
  <si>
    <t xml:space="preserve">Aditivo Marvel Mysterio oil </t>
  </si>
  <si>
    <t>AN21</t>
  </si>
  <si>
    <t>Agenda De Anotacion Diaria 2022</t>
  </si>
  <si>
    <t>Material de oficina</t>
  </si>
  <si>
    <t>AN22</t>
  </si>
  <si>
    <t xml:space="preserve">Agua De Bateria </t>
  </si>
  <si>
    <t>AN23</t>
  </si>
  <si>
    <t>Agua Oxigenada 3%</t>
  </si>
  <si>
    <t>AN24</t>
  </si>
  <si>
    <t>Alambre de Goma 12-3, Pies</t>
  </si>
  <si>
    <t>AN25</t>
  </si>
  <si>
    <t>Alambre Duplox Rollo No. 16</t>
  </si>
  <si>
    <t>AN26</t>
  </si>
  <si>
    <t>Alambre Galv. 16</t>
  </si>
  <si>
    <t>AN27</t>
  </si>
  <si>
    <t>Alambre No. 8, Rollos 500 pies</t>
  </si>
  <si>
    <t>AN28</t>
  </si>
  <si>
    <t>Alcohol Isoprolico 70</t>
  </si>
  <si>
    <t>AN29</t>
  </si>
  <si>
    <t>Almohadilla De Mouse</t>
  </si>
  <si>
    <t>AN30</t>
  </si>
  <si>
    <t xml:space="preserve">Almohadilla De Sellos </t>
  </si>
  <si>
    <t>AN31</t>
  </si>
  <si>
    <t xml:space="preserve">Ambientador Refrescante De Aire </t>
  </si>
  <si>
    <t>AN32</t>
  </si>
  <si>
    <t>Arandela Plana D 1/2</t>
  </si>
  <si>
    <t>AN33</t>
  </si>
  <si>
    <t>Arandela Plana De 3/8</t>
  </si>
  <si>
    <t>AN34</t>
  </si>
  <si>
    <t>Balastra S Transformador Para Tubo T-8</t>
  </si>
  <si>
    <t>AN35</t>
  </si>
  <si>
    <t>Balastras Transformadoe 480 A 220</t>
  </si>
  <si>
    <t>AN36</t>
  </si>
  <si>
    <t xml:space="preserve">Bandita Gomitas </t>
  </si>
  <si>
    <t>AN37</t>
  </si>
  <si>
    <t>Bisagra Libro 31/2 X 31/2 Fm</t>
  </si>
  <si>
    <t>AN38</t>
  </si>
  <si>
    <t>Boligrafo Negro  BIC</t>
  </si>
  <si>
    <t>AN39</t>
  </si>
  <si>
    <t xml:space="preserve">Bombillo Led 60w </t>
  </si>
  <si>
    <t>AN40</t>
  </si>
  <si>
    <t>Borrador  De Pizara</t>
  </si>
  <si>
    <t>AN41</t>
  </si>
  <si>
    <t>Botas Plasticas Pares Size. 11/44</t>
  </si>
  <si>
    <t>AN42</t>
  </si>
  <si>
    <t xml:space="preserve">Breakers De 125 Amperes </t>
  </si>
  <si>
    <t>AN43</t>
  </si>
  <si>
    <t xml:space="preserve">Breakers De 20 Amperes Ge Grueso </t>
  </si>
  <si>
    <t>AN44</t>
  </si>
  <si>
    <t xml:space="preserve">Breakers De 30 Amperes Ge Grueso </t>
  </si>
  <si>
    <t>AN45</t>
  </si>
  <si>
    <t>Breakers Triple Grueso De 100 Ampere</t>
  </si>
  <si>
    <t>AN46</t>
  </si>
  <si>
    <t xml:space="preserve">Breakers trofasico De 225 Amperes </t>
  </si>
  <si>
    <t>AN47</t>
  </si>
  <si>
    <t>Brillo Fino P/Piso PAQ.</t>
  </si>
  <si>
    <t>AN48</t>
  </si>
  <si>
    <t>Brillo Negro De 3</t>
  </si>
  <si>
    <t>AN49</t>
  </si>
  <si>
    <t>Brillo Verde SCOTT Brite 10 x 15.5</t>
  </si>
  <si>
    <t>AN50</t>
  </si>
  <si>
    <t xml:space="preserve">Brochas Home Run  De 2" </t>
  </si>
  <si>
    <t>AN51</t>
  </si>
  <si>
    <t>Brochas Home Run  De 4´´</t>
  </si>
  <si>
    <t>AN52</t>
  </si>
  <si>
    <t>Brochas Home Run De 11/2</t>
  </si>
  <si>
    <t>AN53</t>
  </si>
  <si>
    <t>Brochas Home Run De 2 1/2</t>
  </si>
  <si>
    <t>AN54</t>
  </si>
  <si>
    <t>Brochas Home Run De 3</t>
  </si>
  <si>
    <t>AN55</t>
  </si>
  <si>
    <t>Cabezal Universal Para Dremel M 43</t>
  </si>
  <si>
    <t>AN56</t>
  </si>
  <si>
    <t>Cadena Galv 6mm</t>
  </si>
  <si>
    <t>AN57</t>
  </si>
  <si>
    <t>Caja de bola 62052Z C3</t>
  </si>
  <si>
    <t>AN58</t>
  </si>
  <si>
    <t>Caja de bola 6206.2ZR, C3</t>
  </si>
  <si>
    <t>AN59</t>
  </si>
  <si>
    <t>Caja de bola 6306 2RSR. C3</t>
  </si>
  <si>
    <t>AN60</t>
  </si>
  <si>
    <t>18/12/2019</t>
  </si>
  <si>
    <t>Caja De Papel Bond 20 8 1/2 X 14 10/1</t>
  </si>
  <si>
    <t>AN61</t>
  </si>
  <si>
    <t xml:space="preserve">Caja Plastica 2x4 </t>
  </si>
  <si>
    <t>AN62</t>
  </si>
  <si>
    <t>Carbesota, galon</t>
  </si>
  <si>
    <t>AN63</t>
  </si>
  <si>
    <t xml:space="preserve">Carpeta  De Pendaflex </t>
  </si>
  <si>
    <t>AN64</t>
  </si>
  <si>
    <t xml:space="preserve">Carpeta Ejecutiva Rojo </t>
  </si>
  <si>
    <t>AN65</t>
  </si>
  <si>
    <t>Cd</t>
  </si>
  <si>
    <t>AN66</t>
  </si>
  <si>
    <t xml:space="preserve">Cemento Contacto Caribe </t>
  </si>
  <si>
    <t>AN67</t>
  </si>
  <si>
    <t xml:space="preserve">Cemento Pvc 32 Onz Azul </t>
  </si>
  <si>
    <t>AN68</t>
  </si>
  <si>
    <t xml:space="preserve">Cemento Pvc 8 Onza Azul </t>
  </si>
  <si>
    <t>AN69</t>
  </si>
  <si>
    <t>Centrimetro</t>
  </si>
  <si>
    <t>AN70</t>
  </si>
  <si>
    <t>Cepillos De Alambres Y Mango</t>
  </si>
  <si>
    <t>AN71</t>
  </si>
  <si>
    <t>29/03/2019</t>
  </si>
  <si>
    <t>Cepillos Plasticos Linda</t>
  </si>
  <si>
    <t>AN72</t>
  </si>
  <si>
    <t xml:space="preserve">Cera Liquida P/Brillar </t>
  </si>
  <si>
    <t>AN73</t>
  </si>
  <si>
    <t xml:space="preserve">Chicharra 1/2 Pretul </t>
  </si>
  <si>
    <t>AN74</t>
  </si>
  <si>
    <t xml:space="preserve">Chinchetas Plasticas </t>
  </si>
  <si>
    <t>AN75</t>
  </si>
  <si>
    <t>Cinta Adhesiva Scoth, Highland</t>
  </si>
  <si>
    <t>OFFITEK</t>
  </si>
  <si>
    <t>AN76</t>
  </si>
  <si>
    <t xml:space="preserve">Cinta Antideslizante Negra 60 Pies </t>
  </si>
  <si>
    <t>AN77</t>
  </si>
  <si>
    <t xml:space="preserve">Cinta Doble Cara 3/4 X 38 Yardas </t>
  </si>
  <si>
    <t>AN78</t>
  </si>
  <si>
    <t xml:space="preserve">Cinta Metrica 5 Mt Pretul </t>
  </si>
  <si>
    <t>AN79</t>
  </si>
  <si>
    <t xml:space="preserve">Cintas De Embalaje Tranporte Rollo </t>
  </si>
  <si>
    <t>AN80</t>
  </si>
  <si>
    <t xml:space="preserve">Cintas De Precaucion </t>
  </si>
  <si>
    <t>AN81</t>
  </si>
  <si>
    <t>Cintas P/ Maquina De Escribir</t>
  </si>
  <si>
    <t>AN82</t>
  </si>
  <si>
    <t xml:space="preserve">Cintas P/ Maquina Sumadora </t>
  </si>
  <si>
    <t>AN83</t>
  </si>
  <si>
    <t xml:space="preserve">Clan de 3 x 2 </t>
  </si>
  <si>
    <t xml:space="preserve"> </t>
  </si>
  <si>
    <t>AN84</t>
  </si>
  <si>
    <t>Clips Billetero Negros 41 Mm 12/1, caja</t>
  </si>
  <si>
    <t>AN85</t>
  </si>
  <si>
    <t>Clips Billetero Negros 51 Mm, caja</t>
  </si>
  <si>
    <t>AN86</t>
  </si>
  <si>
    <t xml:space="preserve">Cloro Granulado </t>
  </si>
  <si>
    <t>AN87</t>
  </si>
  <si>
    <t>Cloro Limar</t>
  </si>
  <si>
    <t>AN88</t>
  </si>
  <si>
    <t>Codo 1/2</t>
  </si>
  <si>
    <t>AN89</t>
  </si>
  <si>
    <t>Codo 3/4</t>
  </si>
  <si>
    <t>AN90</t>
  </si>
  <si>
    <t>Codo de 1</t>
  </si>
  <si>
    <t>AN91</t>
  </si>
  <si>
    <t>Codo Pvc A 45.  De 1/2</t>
  </si>
  <si>
    <t>AN92</t>
  </si>
  <si>
    <t>Codo Pvc A 45.  De 3/4</t>
  </si>
  <si>
    <t>AN93</t>
  </si>
  <si>
    <t>Codo Pvc A 45. De 1</t>
  </si>
  <si>
    <t>AN94</t>
  </si>
  <si>
    <t>Codo Pvc A 45. De 2</t>
  </si>
  <si>
    <t>AN95</t>
  </si>
  <si>
    <t>Codo Pvc A 45. De 3</t>
  </si>
  <si>
    <t>AN96</t>
  </si>
  <si>
    <t>Codo Semi Presion A 45 De 3</t>
  </si>
  <si>
    <t>AN97</t>
  </si>
  <si>
    <t xml:space="preserve">Cola C/ Boquilla Pvc 11/2 X 8 </t>
  </si>
  <si>
    <t>AN98</t>
  </si>
  <si>
    <t>Complin  1/2</t>
  </si>
  <si>
    <t>AN99</t>
  </si>
  <si>
    <t>Complin 1 1/2</t>
  </si>
  <si>
    <t>AN100</t>
  </si>
  <si>
    <t>Complin 1¨</t>
  </si>
  <si>
    <t>AN101</t>
  </si>
  <si>
    <t>Complin 3/4</t>
  </si>
  <si>
    <t>AN102</t>
  </si>
  <si>
    <t>Complin 4</t>
  </si>
  <si>
    <t>AN103</t>
  </si>
  <si>
    <t>Conectores curvo 1 pulgada</t>
  </si>
  <si>
    <t>AN104</t>
  </si>
  <si>
    <t>Conectores De Sillita  E 809</t>
  </si>
  <si>
    <t>AN105</t>
  </si>
  <si>
    <t>Conectores recto de 1 pulgada</t>
  </si>
  <si>
    <t>AN106</t>
  </si>
  <si>
    <t>Conectores recto de 3/4</t>
  </si>
  <si>
    <t>AN107</t>
  </si>
  <si>
    <t>Contactores 150 amperes</t>
  </si>
  <si>
    <t>AN108</t>
  </si>
  <si>
    <t>Contactores 32 amperes</t>
  </si>
  <si>
    <t>AN109</t>
  </si>
  <si>
    <t>Contactores De 220 V 60 hz 65 amperes</t>
  </si>
  <si>
    <t>AN110</t>
  </si>
  <si>
    <t xml:space="preserve">Coolant </t>
  </si>
  <si>
    <t>AN111</t>
  </si>
  <si>
    <t>Coplin 2</t>
  </si>
  <si>
    <t>AN112</t>
  </si>
  <si>
    <t xml:space="preserve">Corrector  Liq. Paper </t>
  </si>
  <si>
    <t>AN113</t>
  </si>
  <si>
    <t xml:space="preserve">Decalin Bio Arana </t>
  </si>
  <si>
    <t>AN114</t>
  </si>
  <si>
    <t xml:space="preserve">Desinfectante Klinaccion </t>
  </si>
  <si>
    <t>AN115</t>
  </si>
  <si>
    <t>Disco Corte Metal 7 Metabo</t>
  </si>
  <si>
    <t>AN116</t>
  </si>
  <si>
    <t xml:space="preserve">Disolvente Epoxy </t>
  </si>
  <si>
    <t>AN117</t>
  </si>
  <si>
    <t xml:space="preserve">Dispensador Fijo De Mano </t>
  </si>
  <si>
    <t>AN118</t>
  </si>
  <si>
    <t xml:space="preserve">Dispensador Gel </t>
  </si>
  <si>
    <t>AN119</t>
  </si>
  <si>
    <t>Dispensadores De Papel Toalla</t>
  </si>
  <si>
    <t>AN120</t>
  </si>
  <si>
    <t xml:space="preserve">Dispensadores Para Papel De Baño </t>
  </si>
  <si>
    <t>AN121</t>
  </si>
  <si>
    <t>Dvd</t>
  </si>
  <si>
    <t>AN122</t>
  </si>
  <si>
    <t>29/08/2019</t>
  </si>
  <si>
    <t>Enchufe 110</t>
  </si>
  <si>
    <t>AN123</t>
  </si>
  <si>
    <t>Engrapadora De Piezas Metalica</t>
  </si>
  <si>
    <t>AN124</t>
  </si>
  <si>
    <t xml:space="preserve">Envases 8 Onza </t>
  </si>
  <si>
    <t>AN125</t>
  </si>
  <si>
    <t>Escobas Plasticas   Kika</t>
  </si>
  <si>
    <t>AN126</t>
  </si>
  <si>
    <t>Escobas Plasticas No. 32</t>
  </si>
  <si>
    <t>AN127</t>
  </si>
  <si>
    <t xml:space="preserve">Escurridor De Agua De Piso </t>
  </si>
  <si>
    <t>AN128</t>
  </si>
  <si>
    <t>ESPIRAL P/ ENCUADERNAR 10 MM</t>
  </si>
  <si>
    <t>AN129</t>
  </si>
  <si>
    <t>ESPIRAL P/ ENCUADERNAR 11 MM</t>
  </si>
  <si>
    <t>AN130</t>
  </si>
  <si>
    <t>ESPIRAL P/ ENCUADERNAR 19 MM</t>
  </si>
  <si>
    <t>AN131</t>
  </si>
  <si>
    <t>ESPIRAL P/ ENCUADERNAR 32 MM</t>
  </si>
  <si>
    <t>AN132</t>
  </si>
  <si>
    <t>ESPIRAL P/ ENCUADERNAR 38 MM</t>
  </si>
  <si>
    <t>AN133</t>
  </si>
  <si>
    <t>ESPIRAL P/ ENCUADERNAR 51 MM</t>
  </si>
  <si>
    <t>AN134</t>
  </si>
  <si>
    <t>Faldo De Papel Jumbo 12/1</t>
  </si>
  <si>
    <t>AN135</t>
  </si>
  <si>
    <t>Filtro BT 259</t>
  </si>
  <si>
    <t>AN136</t>
  </si>
  <si>
    <t>Filtro De Aceite Bd-103</t>
  </si>
  <si>
    <t>AN137</t>
  </si>
  <si>
    <t>Filtro de Aceite BT230</t>
  </si>
  <si>
    <t>AN138</t>
  </si>
  <si>
    <t>Filtro De Aceite Lf 364</t>
  </si>
  <si>
    <t>AN139</t>
  </si>
  <si>
    <t>Filtro De Aire A 5513</t>
  </si>
  <si>
    <t>AN140</t>
  </si>
  <si>
    <t>Filtro de Aire AF 148</t>
  </si>
  <si>
    <t>AN141</t>
  </si>
  <si>
    <t>Filtro De Aire Da-7802</t>
  </si>
  <si>
    <t>AN142</t>
  </si>
  <si>
    <t xml:space="preserve">Filtro De Aire De Compresor </t>
  </si>
  <si>
    <t>AN143</t>
  </si>
  <si>
    <t>Filtro de aire PA 1712</t>
  </si>
  <si>
    <t>AN144</t>
  </si>
  <si>
    <t>Filtro de elemento FF/FFL/10</t>
  </si>
  <si>
    <t>AN145</t>
  </si>
  <si>
    <t>Filtro De Elemento Gasoil FF 211</t>
  </si>
  <si>
    <t>AN146</t>
  </si>
  <si>
    <t>Filtro De Elemento Gasoil Ff 410</t>
  </si>
  <si>
    <t>AN147</t>
  </si>
  <si>
    <t>Filtro de Gasoil BF 584</t>
  </si>
  <si>
    <t>AN148</t>
  </si>
  <si>
    <t>Filtros B99</t>
  </si>
  <si>
    <t>AN149</t>
  </si>
  <si>
    <t xml:space="preserve">Filtros De Gasoil Bf 957-D </t>
  </si>
  <si>
    <t>AN150</t>
  </si>
  <si>
    <t>Filtros Ff 996</t>
  </si>
  <si>
    <t>AN151</t>
  </si>
  <si>
    <t>Filtros P1103 BF892</t>
  </si>
  <si>
    <t>AN152</t>
  </si>
  <si>
    <t>Folder Interior Amarillo 8 1/2 X 11</t>
  </si>
  <si>
    <t>AN153</t>
  </si>
  <si>
    <t xml:space="preserve">Folder Rojo </t>
  </si>
  <si>
    <t>AN154</t>
  </si>
  <si>
    <t xml:space="preserve">Folder Variado </t>
  </si>
  <si>
    <t>AN155</t>
  </si>
  <si>
    <t xml:space="preserve">Fundas P/ Basura De 28 x 35 Galones </t>
  </si>
  <si>
    <t>AN156</t>
  </si>
  <si>
    <t xml:space="preserve">Fundas P/ Basura De 30 Galones </t>
  </si>
  <si>
    <t>AN157</t>
  </si>
  <si>
    <t xml:space="preserve">Fundas P/ Basura De 36 x 54 Galones </t>
  </si>
  <si>
    <t>GTG Industrial</t>
  </si>
  <si>
    <t>AN158</t>
  </si>
  <si>
    <t xml:space="preserve">Fundas P/ Basura De 60 Galones </t>
  </si>
  <si>
    <t>AN159</t>
  </si>
  <si>
    <t xml:space="preserve">Fundas P/ Basura De 65 Galones </t>
  </si>
  <si>
    <t>AN160</t>
  </si>
  <si>
    <t>Ganchos Para Archivar, caja</t>
  </si>
  <si>
    <t>AN161</t>
  </si>
  <si>
    <t>Gasoil BF 892</t>
  </si>
  <si>
    <t>AN162</t>
  </si>
  <si>
    <t>Gasoil P1112</t>
  </si>
  <si>
    <t>AN163</t>
  </si>
  <si>
    <t xml:space="preserve">Gel Desinfectante </t>
  </si>
  <si>
    <t>AN164</t>
  </si>
  <si>
    <t xml:space="preserve">Gomas De Borrar Blancas </t>
  </si>
  <si>
    <t>AN165</t>
  </si>
  <si>
    <t xml:space="preserve">Grapadora Para 20 Hojas </t>
  </si>
  <si>
    <t>AN166</t>
  </si>
  <si>
    <t>Grapas 5/8</t>
  </si>
  <si>
    <t>AN167</t>
  </si>
  <si>
    <t xml:space="preserve">Grapas Estandar </t>
  </si>
  <si>
    <t>AN168</t>
  </si>
  <si>
    <t xml:space="preserve">Guantes Desechables L </t>
  </si>
  <si>
    <t>AN169</t>
  </si>
  <si>
    <t>Guantes Negro Plastico Xl</t>
  </si>
  <si>
    <t>AN170</t>
  </si>
  <si>
    <t>Guantes Plasticos M</t>
  </si>
  <si>
    <t>AN171</t>
  </si>
  <si>
    <t xml:space="preserve">Guantes Plasticos S </t>
  </si>
  <si>
    <t>AN172</t>
  </si>
  <si>
    <t>Interruptores Sencillo Levinton</t>
  </si>
  <si>
    <t>AN173</t>
  </si>
  <si>
    <t xml:space="preserve">Interruptores Unipolar </t>
  </si>
  <si>
    <t>AN174</t>
  </si>
  <si>
    <t>Jabon De Mano ACEL</t>
  </si>
  <si>
    <t>AN175</t>
  </si>
  <si>
    <t>Jabon Liquido Lava Platos, Acel</t>
  </si>
  <si>
    <t>Galon</t>
  </si>
  <si>
    <t>AN176</t>
  </si>
  <si>
    <t>Juego de Llaves GROZ</t>
  </si>
  <si>
    <t>AN177</t>
  </si>
  <si>
    <t xml:space="preserve">Junta 1/2 </t>
  </si>
  <si>
    <t>AN178</t>
  </si>
  <si>
    <t>Junta 3/4</t>
  </si>
  <si>
    <t>AN179</t>
  </si>
  <si>
    <t xml:space="preserve">Junta De Entroque Gruesa </t>
  </si>
  <si>
    <t>AN180</t>
  </si>
  <si>
    <t>Labels Cd Y Dvd</t>
  </si>
  <si>
    <t>AN181</t>
  </si>
  <si>
    <t xml:space="preserve">Laber Redondo </t>
  </si>
  <si>
    <t>AN182</t>
  </si>
  <si>
    <t>Labers Laser</t>
  </si>
  <si>
    <t>AN183</t>
  </si>
  <si>
    <t>Lamina Filmica Para Plastificar 8 1/2 X 11</t>
  </si>
  <si>
    <t>AN184</t>
  </si>
  <si>
    <t>Laminas P/Plastificar Carnet Caja 1/100</t>
  </si>
  <si>
    <t>AN185</t>
  </si>
  <si>
    <t xml:space="preserve">Lamparas Led 200 Watts </t>
  </si>
  <si>
    <t>AN186</t>
  </si>
  <si>
    <t xml:space="preserve">Lamparas Led 300 Watts </t>
  </si>
  <si>
    <t>AN187</t>
  </si>
  <si>
    <t xml:space="preserve">Lapicero Gel Retractable </t>
  </si>
  <si>
    <t>AN188</t>
  </si>
  <si>
    <t>Lapiceros Azul,</t>
  </si>
  <si>
    <t>AN189</t>
  </si>
  <si>
    <t xml:space="preserve">Lapiceros Negros, Saraza </t>
  </si>
  <si>
    <t>AN190</t>
  </si>
  <si>
    <t>Lapiceros Rojos</t>
  </si>
  <si>
    <t>AN191</t>
  </si>
  <si>
    <t>Lapiz  No. 2 Amarillo</t>
  </si>
  <si>
    <t>AN192</t>
  </si>
  <si>
    <t xml:space="preserve">Lentes De Proteccion Transparente </t>
  </si>
  <si>
    <t>AN193</t>
  </si>
  <si>
    <t>Libretas De Apuntes Grande, 8 1/2 x 11</t>
  </si>
  <si>
    <t>AN194</t>
  </si>
  <si>
    <t>Libretas pequeña ( Legal Pad) 8 x 5, blanca</t>
  </si>
  <si>
    <t>AN195</t>
  </si>
  <si>
    <t>Libros De Record 500 Paginas</t>
  </si>
  <si>
    <t>AN196</t>
  </si>
  <si>
    <t>Librteas pequeñas Red Star</t>
  </si>
  <si>
    <t>AN197</t>
  </si>
  <si>
    <t xml:space="preserve">Limpiador Pizarra </t>
  </si>
  <si>
    <t>AN198</t>
  </si>
  <si>
    <t xml:space="preserve">Llave A Chorro Metal </t>
  </si>
  <si>
    <t>AN199</t>
  </si>
  <si>
    <t>Llave Bola Pvc 1 1/2</t>
  </si>
  <si>
    <t>AN200</t>
  </si>
  <si>
    <t>Llave Bola Pvc 2</t>
  </si>
  <si>
    <t>AN201</t>
  </si>
  <si>
    <t>Llave Bola Pvc 3/4¨</t>
  </si>
  <si>
    <t>AN202</t>
  </si>
  <si>
    <t>Llave De Bola De 1´´</t>
  </si>
  <si>
    <t>AN203</t>
  </si>
  <si>
    <t xml:space="preserve">Llave De Paso 1 Pulgadas </t>
  </si>
  <si>
    <t>AN204</t>
  </si>
  <si>
    <t xml:space="preserve">Llave De Paso 2 Pulgadas </t>
  </si>
  <si>
    <t>AN205</t>
  </si>
  <si>
    <t xml:space="preserve">Llave Mezcladora P/ Lava Manos 2 Puños </t>
  </si>
  <si>
    <t>AN206</t>
  </si>
  <si>
    <t>Llave P/ Lava Mano</t>
  </si>
  <si>
    <t>AN207</t>
  </si>
  <si>
    <t xml:space="preserve">Llave Universal De 1 </t>
  </si>
  <si>
    <t>AN208</t>
  </si>
  <si>
    <t>Llave Universal De 1/2</t>
  </si>
  <si>
    <t>AN209</t>
  </si>
  <si>
    <t>Luz piloto de contar 220</t>
  </si>
  <si>
    <t>AN210</t>
  </si>
  <si>
    <t xml:space="preserve">Lysol Desinfectante </t>
  </si>
  <si>
    <t>AN211</t>
  </si>
  <si>
    <t xml:space="preserve">Mapos Para Suape </t>
  </si>
  <si>
    <t>AN212</t>
  </si>
  <si>
    <t xml:space="preserve">Maquina Sumadora </t>
  </si>
  <si>
    <t>AN213</t>
  </si>
  <si>
    <t xml:space="preserve">Marcador Permanente Azul </t>
  </si>
  <si>
    <t>AN214</t>
  </si>
  <si>
    <t xml:space="preserve">Marcador Permanente Negro </t>
  </si>
  <si>
    <t>AN215</t>
  </si>
  <si>
    <t xml:space="preserve">Marcador Permanente Rojo </t>
  </si>
  <si>
    <t>AN216</t>
  </si>
  <si>
    <t>Marcador Permanente Verde</t>
  </si>
  <si>
    <t>AN217</t>
  </si>
  <si>
    <t xml:space="preserve">Mascarilla Caja 50 Unidades </t>
  </si>
  <si>
    <t>AN218</t>
  </si>
  <si>
    <t xml:space="preserve">Masilla Para Interior </t>
  </si>
  <si>
    <t>AN219</t>
  </si>
  <si>
    <t xml:space="preserve">Mause </t>
  </si>
  <si>
    <t>AN220</t>
  </si>
  <si>
    <t>Memoria 16 Gb</t>
  </si>
  <si>
    <t>AN221</t>
  </si>
  <si>
    <t>Memoria USB Dangle 3 times</t>
  </si>
  <si>
    <t>AN222</t>
  </si>
  <si>
    <t>Mistolin Tanque</t>
  </si>
  <si>
    <t>AN223</t>
  </si>
  <si>
    <t>16/09/2019</t>
  </si>
  <si>
    <t xml:space="preserve">Monitor De Fase 450 V </t>
  </si>
  <si>
    <t>AN224</t>
  </si>
  <si>
    <t xml:space="preserve">Mopa Insdustrial 48 pulg. </t>
  </si>
  <si>
    <t>AN225</t>
  </si>
  <si>
    <t xml:space="preserve">Mota 9 X 11/4 Lanco </t>
  </si>
  <si>
    <t>AN226</t>
  </si>
  <si>
    <t xml:space="preserve">Mota 9 X 3/4 Lanco </t>
  </si>
  <si>
    <t>AN227</t>
  </si>
  <si>
    <t>Mota de 2/12</t>
  </si>
  <si>
    <t>AN228</t>
  </si>
  <si>
    <t xml:space="preserve">Motas P/ Rolos Anti Gotas </t>
  </si>
  <si>
    <t>AN229</t>
  </si>
  <si>
    <t xml:space="preserve">Pala Recogedora </t>
  </si>
  <si>
    <t>AN230</t>
  </si>
  <si>
    <t xml:space="preserve">Palas De Hierro </t>
  </si>
  <si>
    <t>AN231</t>
  </si>
  <si>
    <t>06/0/2021</t>
  </si>
  <si>
    <t xml:space="preserve">Palas Plast. P/ Basura Con Palo </t>
  </si>
  <si>
    <t>AN232</t>
  </si>
  <si>
    <t>Panel De Breaker De 8 A 16</t>
  </si>
  <si>
    <t>AN233</t>
  </si>
  <si>
    <t xml:space="preserve"> Papel Hilo Blanco 8 1/2 x 11</t>
  </si>
  <si>
    <t>AN234</t>
  </si>
  <si>
    <t>Resma de papel 8 1/2*11</t>
  </si>
  <si>
    <t>AN235</t>
  </si>
  <si>
    <t xml:space="preserve">Papel Carbon Azul </t>
  </si>
  <si>
    <t>AN236</t>
  </si>
  <si>
    <t xml:space="preserve">Papel Bond 8 1/2 X 14  </t>
  </si>
  <si>
    <t>AN237</t>
  </si>
  <si>
    <t>Papel Para Sumadora</t>
  </si>
  <si>
    <t xml:space="preserve"> Papel Hilo cema 8 1/2 x 11</t>
  </si>
  <si>
    <t>AN239</t>
  </si>
  <si>
    <t>Papel Toalla Higienico</t>
  </si>
  <si>
    <t>AN240</t>
  </si>
  <si>
    <t>14/09/2019</t>
  </si>
  <si>
    <t xml:space="preserve">Pegamento Instantaneo Liquido 125 Coqui </t>
  </si>
  <si>
    <t>AN241</t>
  </si>
  <si>
    <t>Pegamento Uhu</t>
  </si>
  <si>
    <t>AN242</t>
  </si>
  <si>
    <t>Pendaflex 8 1/2 X 11</t>
  </si>
  <si>
    <t>AN243</t>
  </si>
  <si>
    <t>Perforadora 2 Hoyo</t>
  </si>
  <si>
    <t>AN244</t>
  </si>
  <si>
    <t>Photo control (foto celda) 50/60 H2</t>
  </si>
  <si>
    <t>AN245</t>
  </si>
  <si>
    <t xml:space="preserve">Piedra De Olores P/ Orinales </t>
  </si>
  <si>
    <t>Distribuidora Bacesmos</t>
  </si>
  <si>
    <t>AN246</t>
  </si>
  <si>
    <t>Pilas AAA</t>
  </si>
  <si>
    <t>AN247</t>
  </si>
  <si>
    <t>Pintura Amarilla Tropical</t>
  </si>
  <si>
    <t>AN248</t>
  </si>
  <si>
    <t>Pintura Bronce Claro 502</t>
  </si>
  <si>
    <t>AN249</t>
  </si>
  <si>
    <t>Pintura Bronce Oscura</t>
  </si>
  <si>
    <t>AN250</t>
  </si>
  <si>
    <t xml:space="preserve">Pintura Epoxica Amarilla </t>
  </si>
  <si>
    <t>AN251</t>
  </si>
  <si>
    <t xml:space="preserve">Pintura Epoxica Azul Claro </t>
  </si>
  <si>
    <t>AN252</t>
  </si>
  <si>
    <t xml:space="preserve">Pintura Epoxica Azul Oscuro </t>
  </si>
  <si>
    <t>AN253</t>
  </si>
  <si>
    <t xml:space="preserve">Pintura Epoxica Verde Claro </t>
  </si>
  <si>
    <t>AN254</t>
  </si>
  <si>
    <t xml:space="preserve">Pintura Side Walk Base Tint 3072 Roja </t>
  </si>
  <si>
    <t>AN255</t>
  </si>
  <si>
    <t>Pistola de silicon</t>
  </si>
  <si>
    <t>AN256</t>
  </si>
  <si>
    <t xml:space="preserve">Plasticos P/ Pendaflex </t>
  </si>
  <si>
    <t>AN257</t>
  </si>
  <si>
    <t xml:space="preserve">Plasticos P/Encuadernacion </t>
  </si>
  <si>
    <t>AN258</t>
  </si>
  <si>
    <t>Polo bateria</t>
  </si>
  <si>
    <t>AN259</t>
  </si>
  <si>
    <t>Porta Carnet Cuelda Para Colgar</t>
  </si>
  <si>
    <t>AN260</t>
  </si>
  <si>
    <t>Porta Carnet Plasticos Negro</t>
  </si>
  <si>
    <t>AN261</t>
  </si>
  <si>
    <t xml:space="preserve">Porta Cd </t>
  </si>
  <si>
    <t>AN262</t>
  </si>
  <si>
    <t xml:space="preserve">Porta Lapiz </t>
  </si>
  <si>
    <t>AN263</t>
  </si>
  <si>
    <t xml:space="preserve">Porta Rolos </t>
  </si>
  <si>
    <t>AN264</t>
  </si>
  <si>
    <t xml:space="preserve">Post-It 2x3 Colores </t>
  </si>
  <si>
    <t>AN265</t>
  </si>
  <si>
    <t xml:space="preserve">Post-It 3x3 Colores </t>
  </si>
  <si>
    <t>AN266</t>
  </si>
  <si>
    <t>Post-it colores</t>
  </si>
  <si>
    <t>AN267</t>
  </si>
  <si>
    <t>14/03/2019</t>
  </si>
  <si>
    <t>Post-It Grande</t>
  </si>
  <si>
    <t>AN268</t>
  </si>
  <si>
    <t>Pulsadora de Control</t>
  </si>
  <si>
    <t>AN269</t>
  </si>
  <si>
    <t xml:space="preserve">Rastrillo De Hierro Jardineria </t>
  </si>
  <si>
    <t>AN270</t>
  </si>
  <si>
    <t>Rastrillos Plasticos, Bellota</t>
  </si>
  <si>
    <t>AN271</t>
  </si>
  <si>
    <t xml:space="preserve">Reducciones  1 A 1 1/2 </t>
  </si>
  <si>
    <t>AN272</t>
  </si>
  <si>
    <t>Reducciones  1 A 1/2</t>
  </si>
  <si>
    <t>AN273</t>
  </si>
  <si>
    <t>Reducciones 2 A 1</t>
  </si>
  <si>
    <t>AN274</t>
  </si>
  <si>
    <t>Reducciones 3 A 2</t>
  </si>
  <si>
    <t>AN275</t>
  </si>
  <si>
    <t>Reducciones 4 A 1 1/2</t>
  </si>
  <si>
    <t>AN276</t>
  </si>
  <si>
    <t>Reducciones 4 A 2</t>
  </si>
  <si>
    <t>AN277</t>
  </si>
  <si>
    <t xml:space="preserve">Reducciones De 1 1/2 A 1 </t>
  </si>
  <si>
    <t>AN278</t>
  </si>
  <si>
    <t>Reducciones De 2 A 2 1/2</t>
  </si>
  <si>
    <t>AN279</t>
  </si>
  <si>
    <t>Registro Electrico Plast. 4x4x2</t>
  </si>
  <si>
    <t>AN280</t>
  </si>
  <si>
    <t>Registro Electrico Plast. 8x6x4</t>
  </si>
  <si>
    <t>AN281</t>
  </si>
  <si>
    <t xml:space="preserve">Reglas </t>
  </si>
  <si>
    <t>AN282</t>
  </si>
  <si>
    <t>Repsal litros</t>
  </si>
  <si>
    <t>AN283</t>
  </si>
  <si>
    <t>Riley termico de 7/10 amperes</t>
  </si>
  <si>
    <t>AN284</t>
  </si>
  <si>
    <t>Saca Grapa</t>
  </si>
  <si>
    <t>AN285</t>
  </si>
  <si>
    <t>Sellador silicona Dowsil 795 12/1 color negro</t>
  </si>
  <si>
    <t>AN286</t>
  </si>
  <si>
    <t>Suaper #36 Reyna</t>
  </si>
  <si>
    <t>AN287</t>
  </si>
  <si>
    <t>Suapers # 36 JUMBO</t>
  </si>
  <si>
    <t>AN288</t>
  </si>
  <si>
    <t>Suape Linda No. 32</t>
  </si>
  <si>
    <t>AN289</t>
  </si>
  <si>
    <t xml:space="preserve">T de 1 </t>
  </si>
  <si>
    <t>AN290</t>
  </si>
  <si>
    <t>T de 1/2</t>
  </si>
  <si>
    <t>AN291</t>
  </si>
  <si>
    <t>T de 2</t>
  </si>
  <si>
    <t>AN292</t>
  </si>
  <si>
    <t>T de 3</t>
  </si>
  <si>
    <t>AN293</t>
  </si>
  <si>
    <t>T de 3/4</t>
  </si>
  <si>
    <t>AN294</t>
  </si>
  <si>
    <t>Tapon de 1</t>
  </si>
  <si>
    <t>AN295</t>
  </si>
  <si>
    <t>Tapones macho de 1/2</t>
  </si>
  <si>
    <t>AN296</t>
  </si>
  <si>
    <t>Tijera</t>
  </si>
  <si>
    <t>AN297</t>
  </si>
  <si>
    <t>Timbre de campana Round Bell</t>
  </si>
  <si>
    <t>AN298</t>
  </si>
  <si>
    <t>Toallitas Micro Fibra Amarilla</t>
  </si>
  <si>
    <t>AN299</t>
  </si>
  <si>
    <t>Tornillo 5/16 para tarugo de plomo</t>
  </si>
  <si>
    <t>AN300</t>
  </si>
  <si>
    <t>Transformadores B3 x 32 T8UNIV</t>
  </si>
  <si>
    <t>AN301</t>
  </si>
  <si>
    <t>Unio Universal de 1/2</t>
  </si>
  <si>
    <t>AN302</t>
  </si>
  <si>
    <t>Union dreser fresser 1</t>
  </si>
  <si>
    <t>AN303</t>
  </si>
  <si>
    <t>Union dreser fresser 1/2</t>
  </si>
  <si>
    <t>AN304</t>
  </si>
  <si>
    <t xml:space="preserve">Union dreser fresser 3/4 </t>
  </si>
  <si>
    <t>AN305</t>
  </si>
  <si>
    <t>Union Universal de 1</t>
  </si>
  <si>
    <t>AN306</t>
  </si>
  <si>
    <t>WD - 40</t>
  </si>
  <si>
    <t>AN307</t>
  </si>
  <si>
    <t>AN308</t>
  </si>
  <si>
    <t>Cloro Polvo, envase</t>
  </si>
  <si>
    <t>AN309</t>
  </si>
  <si>
    <t>Suaper  MOP</t>
  </si>
  <si>
    <t>AN310</t>
  </si>
  <si>
    <t>Safacon Grande</t>
  </si>
  <si>
    <t>AN311</t>
  </si>
  <si>
    <t>Glade Spray</t>
  </si>
  <si>
    <t>AN312</t>
  </si>
  <si>
    <t>Toner Lasert 30 A CF230A</t>
  </si>
  <si>
    <t>AN313</t>
  </si>
  <si>
    <t>Bombillo Led 65 W</t>
  </si>
  <si>
    <t>AN314</t>
  </si>
  <si>
    <t>AN315</t>
  </si>
  <si>
    <t>Reduccion 3/4</t>
  </si>
  <si>
    <t>AN316</t>
  </si>
  <si>
    <t>Bombilla Jefferson 1000 WE40</t>
  </si>
  <si>
    <t>AN317</t>
  </si>
  <si>
    <t>Sensor de calidad de agua</t>
  </si>
  <si>
    <t>AN318</t>
  </si>
  <si>
    <t xml:space="preserve">Papel Higienico jumbo </t>
  </si>
  <si>
    <t>AN319</t>
  </si>
  <si>
    <t>Codonde No. 3</t>
  </si>
  <si>
    <t>AN320</t>
  </si>
  <si>
    <t>Jabon de Tork</t>
  </si>
  <si>
    <t>AN321</t>
  </si>
  <si>
    <t>Lanilla Verde</t>
  </si>
  <si>
    <t>AN322</t>
  </si>
  <si>
    <t>Resaltador negro</t>
  </si>
  <si>
    <t>AN323</t>
  </si>
  <si>
    <t>Clips pequeño</t>
  </si>
  <si>
    <t>AN324</t>
  </si>
  <si>
    <t>Tabla 81 / 2x11</t>
  </si>
  <si>
    <t>AN325</t>
  </si>
  <si>
    <t>Pintura Azul Royal 69</t>
  </si>
  <si>
    <t>AN326</t>
  </si>
  <si>
    <t>Galon Thiner</t>
  </si>
  <si>
    <t>AN327</t>
  </si>
  <si>
    <t>Pintura amarillo Canario</t>
  </si>
  <si>
    <t>AN328</t>
  </si>
  <si>
    <t xml:space="preserve">Pintura Azul alba </t>
  </si>
  <si>
    <t>AN329</t>
  </si>
  <si>
    <t xml:space="preserve">Pintura blanca expoxy </t>
  </si>
  <si>
    <t>AN330</t>
  </si>
  <si>
    <t>Pintura bronce oscuro</t>
  </si>
  <si>
    <t>AN331</t>
  </si>
  <si>
    <t xml:space="preserve">Pintura expoxy azul claro </t>
  </si>
  <si>
    <t>AN332</t>
  </si>
  <si>
    <t>Pintura verde fresco</t>
  </si>
  <si>
    <t>AN333</t>
  </si>
  <si>
    <t xml:space="preserve">Pintura blanco acrilica </t>
  </si>
  <si>
    <t>AN334</t>
  </si>
  <si>
    <t>Pintura negro expoxy galones</t>
  </si>
  <si>
    <t>AN335</t>
  </si>
  <si>
    <t>Pintura arena 74 satinada cubeta</t>
  </si>
  <si>
    <t>AN336</t>
  </si>
  <si>
    <t>Pintura Gris oscura satinada golones</t>
  </si>
  <si>
    <t>AN337</t>
  </si>
  <si>
    <t>Segueta</t>
  </si>
  <si>
    <t>AN338</t>
  </si>
  <si>
    <t>Manguera de 100 pies</t>
  </si>
  <si>
    <t>AN339</t>
  </si>
  <si>
    <t>Cuchillos de buseo</t>
  </si>
  <si>
    <t>AN340</t>
  </si>
  <si>
    <t>Brocha de cuatro pulgadas</t>
  </si>
  <si>
    <t>AN341</t>
  </si>
  <si>
    <t>Espatula plastica</t>
  </si>
  <si>
    <t>AN342</t>
  </si>
  <si>
    <t>Espatula metal</t>
  </si>
  <si>
    <t>AN343</t>
  </si>
  <si>
    <t>Masilla PLYROCK</t>
  </si>
  <si>
    <t>AN344</t>
  </si>
  <si>
    <t>Trementina</t>
  </si>
  <si>
    <t>AN345</t>
  </si>
  <si>
    <t>Flexre</t>
  </si>
  <si>
    <t>AN346</t>
  </si>
  <si>
    <t>Oleo</t>
  </si>
  <si>
    <t>AN347</t>
  </si>
  <si>
    <t>Vara telescopica para pintar de 12 pies</t>
  </si>
  <si>
    <t>AN348</t>
  </si>
  <si>
    <t>Vara telescopica para pintar de 15 pies</t>
  </si>
  <si>
    <t>AN349</t>
  </si>
  <si>
    <t>Vara telescopica para pintar de 20 pies</t>
  </si>
  <si>
    <t>AN350</t>
  </si>
  <si>
    <t>Pintura Azul Glacial Cubeta</t>
  </si>
  <si>
    <t>AN351</t>
  </si>
  <si>
    <t>Pintura Azul oscuro galones</t>
  </si>
  <si>
    <t>AN352</t>
  </si>
  <si>
    <t>Pintura Azul positivo  galones</t>
  </si>
  <si>
    <t>AN353</t>
  </si>
  <si>
    <t>Pintura crema expositiva galones</t>
  </si>
  <si>
    <t>AN354</t>
  </si>
  <si>
    <t>Pintura rojo expositiva galones</t>
  </si>
  <si>
    <t>AN355</t>
  </si>
  <si>
    <t>Pintura verde expositiva galones</t>
  </si>
  <si>
    <t>AN356</t>
  </si>
  <si>
    <t>Pintura terracota</t>
  </si>
  <si>
    <t>AN357</t>
  </si>
  <si>
    <t>Brocha de 1/2 pulgadas</t>
  </si>
  <si>
    <t>AN358</t>
  </si>
  <si>
    <t>Libreta Rayada 5x8</t>
  </si>
  <si>
    <t>AN359</t>
  </si>
  <si>
    <t>Pila AA</t>
  </si>
  <si>
    <t>AN360</t>
  </si>
  <si>
    <t xml:space="preserve">Cinta Doble Cara 12 X 36 Yardas </t>
  </si>
  <si>
    <t>AN361</t>
  </si>
  <si>
    <t>Clip billetero 3/4 19 MM</t>
  </si>
  <si>
    <t>AN362</t>
  </si>
  <si>
    <t>Clip billetero 1 25 MM</t>
  </si>
  <si>
    <t>AN363</t>
  </si>
  <si>
    <t>Clip billetero 1 1/4 32 MM</t>
  </si>
  <si>
    <t>AN364</t>
  </si>
  <si>
    <t xml:space="preserve">Clip billetero 51MM </t>
  </si>
  <si>
    <t>AN365</t>
  </si>
  <si>
    <t>Toner HP CF230A (30A)</t>
  </si>
  <si>
    <t>AN366</t>
  </si>
  <si>
    <t>Toner HP Q2612A Black</t>
  </si>
  <si>
    <t>AN367</t>
  </si>
  <si>
    <t>Cartucho HP 662 Negro</t>
  </si>
  <si>
    <t>AN368</t>
  </si>
  <si>
    <t>Cartucho HP 662 color</t>
  </si>
  <si>
    <t>AN369</t>
  </si>
  <si>
    <t>Botella tinta Epson 664 CYAN</t>
  </si>
  <si>
    <t>AN370</t>
  </si>
  <si>
    <t>Botella tinta Epson 664 Negro</t>
  </si>
  <si>
    <t>AN371</t>
  </si>
  <si>
    <t>Botella tinta Epson 664 Magneto</t>
  </si>
  <si>
    <t>AN372</t>
  </si>
  <si>
    <t>Botella tinta Epson 664 Amarillo</t>
  </si>
  <si>
    <t>AN373</t>
  </si>
  <si>
    <t>Saca Puntas</t>
  </si>
  <si>
    <t>AN374</t>
  </si>
  <si>
    <t>Cinta de empaque / embalaje 2x90</t>
  </si>
  <si>
    <t>AN375</t>
  </si>
  <si>
    <t>Toner HP Q5949A</t>
  </si>
  <si>
    <t>Oficentro</t>
  </si>
  <si>
    <t>AN376</t>
  </si>
  <si>
    <t>Toner HP CE505A</t>
  </si>
  <si>
    <t>AN377</t>
  </si>
  <si>
    <t>Toner Canon GPR-22</t>
  </si>
  <si>
    <t>AN378</t>
  </si>
  <si>
    <t>Pintura exposica azul royal, galones</t>
  </si>
  <si>
    <t>AN379</t>
  </si>
  <si>
    <t>Teclado</t>
  </si>
  <si>
    <t>AN380</t>
  </si>
  <si>
    <t>Jabon liquido Almendra</t>
  </si>
  <si>
    <t>AN381</t>
  </si>
  <si>
    <t>Bombillo Spiral 110-130W</t>
  </si>
  <si>
    <t>AN382</t>
  </si>
  <si>
    <t>Papel Higienico</t>
  </si>
  <si>
    <t>AN383</t>
  </si>
  <si>
    <t>Papel toalla 1 hoja</t>
  </si>
  <si>
    <t>AN384</t>
  </si>
  <si>
    <t>Cloro acel</t>
  </si>
  <si>
    <t>AN385</t>
  </si>
  <si>
    <t>desinfectante olor</t>
  </si>
  <si>
    <t>AN386</t>
  </si>
  <si>
    <t xml:space="preserve">Cubiertos de acero </t>
  </si>
  <si>
    <t>AN387</t>
  </si>
  <si>
    <t>Cuchillo mesa</t>
  </si>
  <si>
    <t>AN388</t>
  </si>
  <si>
    <t>Cuchara de mesa</t>
  </si>
  <si>
    <t>AN389</t>
  </si>
  <si>
    <t>Cuchara de café</t>
  </si>
  <si>
    <t>AN390</t>
  </si>
  <si>
    <t>Copas de agua 16 onz</t>
  </si>
  <si>
    <t>AN391</t>
  </si>
  <si>
    <t>Copas de agua 13 onz</t>
  </si>
  <si>
    <t>AN392</t>
  </si>
  <si>
    <t>Vasos uniglass 11 oz</t>
  </si>
  <si>
    <t>AN393</t>
  </si>
  <si>
    <t>Bandejas de metal</t>
  </si>
  <si>
    <t>AN394</t>
  </si>
  <si>
    <t>Tazas de café blanca 6oz</t>
  </si>
  <si>
    <t>AN395</t>
  </si>
  <si>
    <t>Tazas de café blanca 3.05oz</t>
  </si>
  <si>
    <t>AN396</t>
  </si>
  <si>
    <t xml:space="preserve">Abrelatas ILKO </t>
  </si>
  <si>
    <t>AN397</t>
  </si>
  <si>
    <t>Sellador de techo lancon</t>
  </si>
  <si>
    <t>AN398</t>
  </si>
  <si>
    <t>Toma corriente blanco</t>
  </si>
  <si>
    <t>Inversiones Mateo</t>
  </si>
  <si>
    <t>AN399</t>
  </si>
  <si>
    <t>Tubo florecente de 32 watts T8</t>
  </si>
  <si>
    <t>AN400</t>
  </si>
  <si>
    <t>Tapa de intereruptor sencillo</t>
  </si>
  <si>
    <t>AN401</t>
  </si>
  <si>
    <t>Selector de control de 2 posiciones</t>
  </si>
  <si>
    <t>AN402</t>
  </si>
  <si>
    <t>Limpiador de contacto electrico</t>
  </si>
  <si>
    <t>AN403</t>
  </si>
  <si>
    <t>Registro plastico 12 x 12</t>
  </si>
  <si>
    <t>AN404</t>
  </si>
  <si>
    <t>Tairra de 20 pulgadas blanco 100/1</t>
  </si>
  <si>
    <t>AN405</t>
  </si>
  <si>
    <t>Contactor de 32 Amp</t>
  </si>
  <si>
    <t>AN406</t>
  </si>
  <si>
    <t>Armario electrico de metal 24 x 16</t>
  </si>
  <si>
    <t>AN407</t>
  </si>
  <si>
    <t>Reguilete plastico</t>
  </si>
  <si>
    <t>AN408</t>
  </si>
  <si>
    <t>Manguera de agua reforzada 3/4 x 100 pies</t>
  </si>
  <si>
    <t>AN409</t>
  </si>
  <si>
    <t>Selector de control de 3 posiciones</t>
  </si>
  <si>
    <t>AN410</t>
  </si>
  <si>
    <t>Riel din</t>
  </si>
  <si>
    <t>AN411</t>
  </si>
  <si>
    <t xml:space="preserve">Filtro de Gasoil </t>
  </si>
  <si>
    <t>AN412</t>
  </si>
  <si>
    <t>Anticongelante Quaker coolant 50/50 55 gls</t>
  </si>
  <si>
    <t>AN413</t>
  </si>
  <si>
    <t>Aceite Shell R5 SAE 10W 55GLS</t>
  </si>
  <si>
    <t>AN414</t>
  </si>
  <si>
    <t>Aditivo estabilizador para aceite de motor 450 ML</t>
  </si>
  <si>
    <t>AN415</t>
  </si>
  <si>
    <t>Silicon transparente 305 ML</t>
  </si>
  <si>
    <t>AN416</t>
  </si>
  <si>
    <t>Tarugo Plasticos Mamey</t>
  </si>
  <si>
    <t>AN417</t>
  </si>
  <si>
    <t>Cerrojo de seguridad con seguro interno/cilindro ext.</t>
  </si>
  <si>
    <t>AN418</t>
  </si>
  <si>
    <t>Llavin de doble puño acero inoxidable</t>
  </si>
  <si>
    <t>AN419</t>
  </si>
  <si>
    <t>Jabon liquido para manos Botella 1,000ML</t>
  </si>
  <si>
    <t>Botellas</t>
  </si>
  <si>
    <t>AN420</t>
  </si>
  <si>
    <t>Decalin P/suelo ceramica Acel</t>
  </si>
  <si>
    <t>AN421</t>
  </si>
  <si>
    <t xml:space="preserve">Escoba con palo No.34 Kika </t>
  </si>
  <si>
    <t>unidad</t>
  </si>
  <si>
    <t>AN422</t>
  </si>
  <si>
    <t>Suape 32 Fibra Kika Plus</t>
  </si>
  <si>
    <t>AN423</t>
  </si>
  <si>
    <t>Suape 34 Fibra Kika Plus</t>
  </si>
  <si>
    <t>AN424</t>
  </si>
  <si>
    <t>Suape 36 Fibra Kika Plus</t>
  </si>
  <si>
    <t>AN425</t>
  </si>
  <si>
    <t xml:space="preserve">Fundas P/ Basura De 55 Galones </t>
  </si>
  <si>
    <t>AN426</t>
  </si>
  <si>
    <t>Cepillo de pared T/planca linda</t>
  </si>
  <si>
    <t>AN427</t>
  </si>
  <si>
    <t>Platillo PVC gris 8</t>
  </si>
  <si>
    <t>AN428</t>
  </si>
  <si>
    <t>Cemento PVC 4 ONZ</t>
  </si>
  <si>
    <t>AN429</t>
  </si>
  <si>
    <t>Barra roscada acero inoxidable 3/4 dutil 3/16</t>
  </si>
  <si>
    <t>AN430</t>
  </si>
  <si>
    <t>Tuerca hexagonal inoxidable 3/4</t>
  </si>
  <si>
    <t>AN431</t>
  </si>
  <si>
    <t>arandela inoxidable</t>
  </si>
  <si>
    <t>AN432</t>
  </si>
  <si>
    <t>Valvula mariposa</t>
  </si>
  <si>
    <t>AN433</t>
  </si>
  <si>
    <t>Agendas personalizadas</t>
  </si>
  <si>
    <t>AN434</t>
  </si>
  <si>
    <t>Clips billetero 32 MM 1 1/4</t>
  </si>
  <si>
    <t>AN435</t>
  </si>
  <si>
    <t>Sobre manila pequeño 8 1/2 x 11</t>
  </si>
  <si>
    <t>AN436</t>
  </si>
  <si>
    <t>Sobre manila  8 1/2 x 14 Amarillo</t>
  </si>
  <si>
    <t>AN437</t>
  </si>
  <si>
    <t>Sobre manila  8 1/2 x 14 Blanco</t>
  </si>
  <si>
    <t>AN438</t>
  </si>
  <si>
    <t>Folders rosado</t>
  </si>
  <si>
    <t>AN439</t>
  </si>
  <si>
    <t>Folders Verde</t>
  </si>
  <si>
    <t>AN440</t>
  </si>
  <si>
    <t>Union dreser fresser 8 pulgadas</t>
  </si>
  <si>
    <t>AN441</t>
  </si>
  <si>
    <t>Llave angula</t>
  </si>
  <si>
    <t>AN442</t>
  </si>
  <si>
    <t>Safacones negro</t>
  </si>
  <si>
    <t>AN443</t>
  </si>
  <si>
    <t>Libretas 8 x5 amarillas</t>
  </si>
  <si>
    <t>AN444</t>
  </si>
  <si>
    <t>Printerk correction pen</t>
  </si>
  <si>
    <t>AN445</t>
  </si>
  <si>
    <t>Juego Geometrico</t>
  </si>
  <si>
    <t>AN446</t>
  </si>
  <si>
    <t>Folder marron</t>
  </si>
  <si>
    <t>AN447</t>
  </si>
  <si>
    <t>Silicon liquido Facela, Liquido</t>
  </si>
  <si>
    <t>AN448</t>
  </si>
  <si>
    <t>Clips Jumbo</t>
  </si>
  <si>
    <t>cajas</t>
  </si>
  <si>
    <t>AN449</t>
  </si>
  <si>
    <t>Post-It 2x3 Amarillo</t>
  </si>
  <si>
    <t>AN450</t>
  </si>
  <si>
    <t>Botella tinta Epson 544 CYAN</t>
  </si>
  <si>
    <t>AN451</t>
  </si>
  <si>
    <t>Botella tinta Epson 544 Negro</t>
  </si>
  <si>
    <t>AN452</t>
  </si>
  <si>
    <t>Botella tinta Epson 544 Amarillo</t>
  </si>
  <si>
    <t>AN453</t>
  </si>
  <si>
    <t>Sobre manila Blanco Timbrado</t>
  </si>
  <si>
    <t>AN454</t>
  </si>
  <si>
    <t>Clips mariposa</t>
  </si>
  <si>
    <t>AN455</t>
  </si>
  <si>
    <t>Silicon liquido 60 ML</t>
  </si>
  <si>
    <t>AN456</t>
  </si>
  <si>
    <t>Silicon en barra gruesa</t>
  </si>
  <si>
    <t>AN457</t>
  </si>
  <si>
    <t>Cintas adhesivas banderita</t>
  </si>
  <si>
    <t>AN458</t>
  </si>
  <si>
    <t>Marcadores permanentes surtido</t>
  </si>
  <si>
    <t>AN459</t>
  </si>
  <si>
    <t>Toner Negro (206A)</t>
  </si>
  <si>
    <t>AN460</t>
  </si>
  <si>
    <t>Toner CYAN (206A)</t>
  </si>
  <si>
    <t>AN461</t>
  </si>
  <si>
    <t>Toner Magneta (206A)</t>
  </si>
  <si>
    <t>AN462</t>
  </si>
  <si>
    <t>Toner Yelloow (206A)</t>
  </si>
  <si>
    <t>AN463</t>
  </si>
  <si>
    <t>Guantes electricos 3M</t>
  </si>
  <si>
    <t>TOTAL</t>
  </si>
  <si>
    <t>************OBSERVACIÓN**********</t>
  </si>
  <si>
    <t>Los codigos , tantos de Bienes Nacionales, no aplican para está relación de materiales de oficinas.</t>
  </si>
  <si>
    <t>REALIZADO POR :</t>
  </si>
  <si>
    <t>Licda. Diana Mejia Rymer</t>
  </si>
  <si>
    <t>Enc. Division de Contabilidad</t>
  </si>
  <si>
    <t>Combustibles y Lubricantes</t>
  </si>
  <si>
    <t>AN464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</si>
</sst>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name val="Arial"/>
      <family val="2"/>
    </font>
    <font>
      <sz val="14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5"/>
      <name val="Arial"/>
      <family val="2"/>
    </font>
    <font>
      <sz val="14"/>
      <name val="Arial"/>
      <family val="2"/>
    </font>
    <font>
      <sz val="14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4">
    <xf numFmtId="0" fontId="0" fillId="0" borderId="0" xfId="0"/>
    <xf numFmtId="0" fontId="0" fillId="2" borderId="0" xfId="0" applyFill="1"/>
    <xf numFmtId="164" fontId="0" fillId="2" borderId="0" xfId="1" applyFont="1" applyFill="1"/>
    <xf numFmtId="0" fontId="4" fillId="2" borderId="0" xfId="0" applyFont="1" applyFill="1"/>
    <xf numFmtId="0" fontId="4" fillId="0" borderId="0" xfId="0" applyFont="1"/>
    <xf numFmtId="0" fontId="7" fillId="3" borderId="1" xfId="0" applyFont="1" applyFill="1" applyBorder="1" applyAlignment="1">
      <alignment vertical="center" wrapText="1"/>
    </xf>
    <xf numFmtId="0" fontId="8" fillId="0" borderId="0" xfId="0" applyFont="1" applyAlignment="1">
      <alignment wrapText="1"/>
    </xf>
    <xf numFmtId="0" fontId="9" fillId="2" borderId="1" xfId="0" applyFont="1" applyFill="1" applyBorder="1" applyAlignment="1">
      <alignment horizontal="left"/>
    </xf>
    <xf numFmtId="14" fontId="9" fillId="2" borderId="1" xfId="0" applyNumberFormat="1" applyFont="1" applyFill="1" applyBorder="1" applyAlignment="1">
      <alignment horizontal="left"/>
    </xf>
    <xf numFmtId="0" fontId="10" fillId="0" borderId="1" xfId="0" applyFont="1" applyBorder="1" applyAlignment="1">
      <alignment horizontal="left"/>
    </xf>
    <xf numFmtId="0" fontId="10" fillId="2" borderId="1" xfId="0" applyFont="1" applyFill="1" applyBorder="1" applyAlignment="1">
      <alignment horizontal="left"/>
    </xf>
    <xf numFmtId="0" fontId="8" fillId="2" borderId="1" xfId="0" applyFont="1" applyFill="1" applyBorder="1" applyAlignment="1">
      <alignment horizontal="left"/>
    </xf>
    <xf numFmtId="164" fontId="9" fillId="2" borderId="1" xfId="1" applyFont="1" applyFill="1" applyBorder="1" applyAlignment="1">
      <alignment horizontal="right"/>
    </xf>
    <xf numFmtId="4" fontId="9" fillId="2" borderId="1" xfId="0" applyNumberFormat="1" applyFont="1" applyFill="1" applyBorder="1"/>
    <xf numFmtId="0" fontId="9" fillId="2" borderId="1" xfId="0" applyFont="1" applyFill="1" applyBorder="1"/>
    <xf numFmtId="164" fontId="9" fillId="2" borderId="1" xfId="1" applyFont="1" applyFill="1" applyBorder="1"/>
    <xf numFmtId="0" fontId="11" fillId="0" borderId="0" xfId="0" applyFont="1"/>
    <xf numFmtId="0" fontId="2" fillId="0" borderId="0" xfId="0" applyFont="1"/>
    <xf numFmtId="0" fontId="8" fillId="2" borderId="1" xfId="1" applyNumberFormat="1" applyFont="1" applyFill="1" applyBorder="1" applyAlignment="1">
      <alignment horizontal="left"/>
    </xf>
    <xf numFmtId="2" fontId="9" fillId="2" borderId="1" xfId="0" applyNumberFormat="1" applyFont="1" applyFill="1" applyBorder="1" applyAlignment="1">
      <alignment horizontal="right"/>
    </xf>
    <xf numFmtId="0" fontId="9" fillId="2" borderId="1" xfId="1" applyNumberFormat="1" applyFont="1" applyFill="1" applyBorder="1" applyAlignment="1">
      <alignment horizontal="left"/>
    </xf>
    <xf numFmtId="164" fontId="9" fillId="2" borderId="1" xfId="0" applyNumberFormat="1" applyFont="1" applyFill="1" applyBorder="1"/>
    <xf numFmtId="14" fontId="9" fillId="0" borderId="1" xfId="0" applyNumberFormat="1" applyFont="1" applyBorder="1" applyAlignment="1">
      <alignment horizontal="left"/>
    </xf>
    <xf numFmtId="14" fontId="9" fillId="2" borderId="1" xfId="0" applyNumberFormat="1" applyFont="1" applyFill="1" applyBorder="1"/>
    <xf numFmtId="0" fontId="12" fillId="0" borderId="0" xfId="0" applyFont="1"/>
    <xf numFmtId="0" fontId="12" fillId="2" borderId="1" xfId="0" applyFont="1" applyFill="1" applyBorder="1" applyAlignment="1">
      <alignment horizontal="left"/>
    </xf>
    <xf numFmtId="0" fontId="10" fillId="2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/>
    </xf>
    <xf numFmtId="165" fontId="9" fillId="2" borderId="1" xfId="1" applyNumberFormat="1" applyFont="1" applyFill="1" applyBorder="1"/>
    <xf numFmtId="165" fontId="9" fillId="2" borderId="1" xfId="0" applyNumberFormat="1" applyFont="1" applyFill="1" applyBorder="1"/>
    <xf numFmtId="0" fontId="12" fillId="2" borderId="1" xfId="1" applyNumberFormat="1" applyFont="1" applyFill="1" applyBorder="1" applyAlignment="1">
      <alignment horizontal="left"/>
    </xf>
    <xf numFmtId="0" fontId="9" fillId="2" borderId="1" xfId="0" applyFont="1" applyFill="1" applyBorder="1" applyAlignment="1">
      <alignment horizontal="left" wrapText="1"/>
    </xf>
    <xf numFmtId="0" fontId="9" fillId="2" borderId="1" xfId="1" applyNumberFormat="1" applyFont="1" applyFill="1" applyBorder="1" applyAlignment="1">
      <alignment horizontal="center"/>
    </xf>
    <xf numFmtId="0" fontId="9" fillId="0" borderId="1" xfId="0" applyFont="1" applyBorder="1" applyAlignment="1">
      <alignment horizontal="left"/>
    </xf>
    <xf numFmtId="0" fontId="0" fillId="4" borderId="0" xfId="0" applyFill="1"/>
    <xf numFmtId="164" fontId="9" fillId="2" borderId="1" xfId="1" applyFont="1" applyFill="1" applyBorder="1" applyAlignment="1"/>
    <xf numFmtId="0" fontId="0" fillId="2" borderId="0" xfId="0" applyFill="1" applyAlignment="1">
      <alignment horizontal="right"/>
    </xf>
    <xf numFmtId="0" fontId="14" fillId="2" borderId="0" xfId="0" applyFont="1" applyFill="1" applyAlignment="1">
      <alignment horizontal="left"/>
    </xf>
    <xf numFmtId="0" fontId="15" fillId="0" borderId="0" xfId="0" applyFont="1"/>
    <xf numFmtId="0" fontId="6" fillId="0" borderId="0" xfId="0" applyFont="1"/>
    <xf numFmtId="164" fontId="4" fillId="0" borderId="0" xfId="1" applyFont="1"/>
    <xf numFmtId="164" fontId="4" fillId="2" borderId="0" xfId="1" applyFont="1" applyFill="1"/>
    <xf numFmtId="164" fontId="4" fillId="0" borderId="0" xfId="0" applyNumberFormat="1" applyFont="1"/>
    <xf numFmtId="0" fontId="13" fillId="2" borderId="1" xfId="0" applyFont="1" applyFill="1" applyBorder="1"/>
    <xf numFmtId="0" fontId="0" fillId="3" borderId="1" xfId="0" applyFill="1" applyBorder="1"/>
    <xf numFmtId="4" fontId="3" fillId="2" borderId="1" xfId="0" applyNumberFormat="1" applyFont="1" applyFill="1" applyBorder="1"/>
    <xf numFmtId="164" fontId="3" fillId="2" borderId="1" xfId="1" applyFont="1" applyFill="1" applyBorder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6" fillId="0" borderId="0" xfId="0" applyFont="1" applyAlignment="1">
      <alignment horizontal="center"/>
    </xf>
    <xf numFmtId="0" fontId="0" fillId="3" borderId="1" xfId="0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3</xdr:rowOff>
    </xdr:from>
    <xdr:to>
      <xdr:col>2</xdr:col>
      <xdr:colOff>457200</xdr:colOff>
      <xdr:row>3</xdr:row>
      <xdr:rowOff>66676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E8EF95C-8E3B-440C-8886-804B3494AE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"/>
          <a:ext cx="1609725" cy="876298"/>
        </a:xfrm>
        <a:prstGeom prst="rect">
          <a:avLst/>
        </a:prstGeom>
      </xdr:spPr>
    </xdr:pic>
    <xdr:clientData/>
  </xdr:twoCellAnchor>
  <xdr:twoCellAnchor>
    <xdr:from>
      <xdr:col>6</xdr:col>
      <xdr:colOff>1123950</xdr:colOff>
      <xdr:row>0</xdr:row>
      <xdr:rowOff>99342</xdr:rowOff>
    </xdr:from>
    <xdr:to>
      <xdr:col>7</xdr:col>
      <xdr:colOff>1419225</xdr:colOff>
      <xdr:row>4</xdr:row>
      <xdr:rowOff>108867</xdr:rowOff>
    </xdr:to>
    <xdr:pic>
      <xdr:nvPicPr>
        <xdr:cNvPr id="3" name="Picture 4">
          <a:extLst>
            <a:ext uri="{FF2B5EF4-FFF2-40B4-BE49-F238E27FC236}">
              <a16:creationId xmlns:a16="http://schemas.microsoft.com/office/drawing/2014/main" id="{D7453747-ACDE-4CF1-ACD8-94F014A066E8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981700" y="99342"/>
          <a:ext cx="0" cy="1057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304800</xdr:colOff>
      <xdr:row>1</xdr:row>
      <xdr:rowOff>123825</xdr:rowOff>
    </xdr:to>
    <xdr:sp macro="" textlink="">
      <xdr:nvSpPr>
        <xdr:cNvPr id="4" name="xbZev7KmDZ0lMM:" descr="Resultado de imagen para logo ministerio de medio ambiente republica dominicana">
          <a:extLst>
            <a:ext uri="{FF2B5EF4-FFF2-40B4-BE49-F238E27FC236}">
              <a16:creationId xmlns:a16="http://schemas.microsoft.com/office/drawing/2014/main" id="{ED41C252-62C7-42D6-BCBC-D5A657F03DE4}"/>
            </a:ext>
          </a:extLst>
        </xdr:cNvPr>
        <xdr:cNvSpPr>
          <a:spLocks noChangeAspect="1" noChangeArrowheads="1"/>
        </xdr:cNvSpPr>
      </xdr:nvSpPr>
      <xdr:spPr bwMode="auto">
        <a:xfrm>
          <a:off x="5981700" y="0"/>
          <a:ext cx="304800" cy="361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17</xdr:col>
      <xdr:colOff>602586</xdr:colOff>
      <xdr:row>23</xdr:row>
      <xdr:rowOff>57150</xdr:rowOff>
    </xdr:to>
    <xdr:sp macro="" textlink="">
      <xdr:nvSpPr>
        <xdr:cNvPr id="5" name="dimg_1" descr="Resultado de imagen para logo ministerio de medio ambiente republica dominicana">
          <a:extLst>
            <a:ext uri="{FF2B5EF4-FFF2-40B4-BE49-F238E27FC236}">
              <a16:creationId xmlns:a16="http://schemas.microsoft.com/office/drawing/2014/main" id="{29E31AD6-7DFC-4BEE-8DA3-E2A315620489}"/>
            </a:ext>
          </a:extLst>
        </xdr:cNvPr>
        <xdr:cNvSpPr>
          <a:spLocks noChangeAspect="1" noChangeArrowheads="1"/>
        </xdr:cNvSpPr>
      </xdr:nvSpPr>
      <xdr:spPr bwMode="auto">
        <a:xfrm>
          <a:off x="5981700" y="2124075"/>
          <a:ext cx="2259936" cy="3105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10</xdr:row>
      <xdr:rowOff>0</xdr:rowOff>
    </xdr:from>
    <xdr:to>
      <xdr:col>13</xdr:col>
      <xdr:colOff>304800</xdr:colOff>
      <xdr:row>13</xdr:row>
      <xdr:rowOff>66675</xdr:rowOff>
    </xdr:to>
    <xdr:sp macro="" textlink="">
      <xdr:nvSpPr>
        <xdr:cNvPr id="6" name="xbZev7KmDZ0lMM:" descr="Resultado de imagen para logo ministerio de medio ambiente republica dominicana">
          <a:extLst>
            <a:ext uri="{FF2B5EF4-FFF2-40B4-BE49-F238E27FC236}">
              <a16:creationId xmlns:a16="http://schemas.microsoft.com/office/drawing/2014/main" id="{FCA31B06-142D-4BB2-92A3-2B5E5ACF0E2A}"/>
            </a:ext>
          </a:extLst>
        </xdr:cNvPr>
        <xdr:cNvSpPr>
          <a:spLocks noChangeAspect="1" noChangeArrowheads="1"/>
        </xdr:cNvSpPr>
      </xdr:nvSpPr>
      <xdr:spPr bwMode="auto">
        <a:xfrm>
          <a:off x="5981700" y="2743200"/>
          <a:ext cx="304800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1123950</xdr:colOff>
      <xdr:row>0</xdr:row>
      <xdr:rowOff>99342</xdr:rowOff>
    </xdr:from>
    <xdr:to>
      <xdr:col>7</xdr:col>
      <xdr:colOff>1419225</xdr:colOff>
      <xdr:row>4</xdr:row>
      <xdr:rowOff>108867</xdr:rowOff>
    </xdr:to>
    <xdr:pic>
      <xdr:nvPicPr>
        <xdr:cNvPr id="7" name="Picture 4">
          <a:extLst>
            <a:ext uri="{FF2B5EF4-FFF2-40B4-BE49-F238E27FC236}">
              <a16:creationId xmlns:a16="http://schemas.microsoft.com/office/drawing/2014/main" id="{1D8FCEF1-CE3A-4B2D-BCEF-C6873485DC93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981700" y="99342"/>
          <a:ext cx="0" cy="1057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180975</xdr:colOff>
      <xdr:row>0</xdr:row>
      <xdr:rowOff>146967</xdr:rowOff>
    </xdr:from>
    <xdr:to>
      <xdr:col>16</xdr:col>
      <xdr:colOff>180975</xdr:colOff>
      <xdr:row>4</xdr:row>
      <xdr:rowOff>156492</xdr:rowOff>
    </xdr:to>
    <xdr:pic>
      <xdr:nvPicPr>
        <xdr:cNvPr id="8" name="Picture 4">
          <a:extLst>
            <a:ext uri="{FF2B5EF4-FFF2-40B4-BE49-F238E27FC236}">
              <a16:creationId xmlns:a16="http://schemas.microsoft.com/office/drawing/2014/main" id="{F9BC733A-CBFE-450A-9419-C2F0EB24656B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7105650" y="146967"/>
          <a:ext cx="0" cy="1057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304800</xdr:colOff>
      <xdr:row>1</xdr:row>
      <xdr:rowOff>123825</xdr:rowOff>
    </xdr:to>
    <xdr:sp macro="" textlink="">
      <xdr:nvSpPr>
        <xdr:cNvPr id="9" name="xbZev7KmDZ0lMM:" descr="Resultado de imagen para logo ministerio de medio ambiente republica dominicana">
          <a:extLst>
            <a:ext uri="{FF2B5EF4-FFF2-40B4-BE49-F238E27FC236}">
              <a16:creationId xmlns:a16="http://schemas.microsoft.com/office/drawing/2014/main" id="{5DB11DC8-1CF7-4447-A634-DF2B67CCFDD8}"/>
            </a:ext>
          </a:extLst>
        </xdr:cNvPr>
        <xdr:cNvSpPr>
          <a:spLocks noChangeAspect="1" noChangeArrowheads="1"/>
        </xdr:cNvSpPr>
      </xdr:nvSpPr>
      <xdr:spPr bwMode="auto">
        <a:xfrm>
          <a:off x="5981700" y="0"/>
          <a:ext cx="304800" cy="361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17</xdr:col>
      <xdr:colOff>602586</xdr:colOff>
      <xdr:row>20</xdr:row>
      <xdr:rowOff>142875</xdr:rowOff>
    </xdr:to>
    <xdr:sp macro="" textlink="">
      <xdr:nvSpPr>
        <xdr:cNvPr id="10" name="dimg_1" descr="Resultado de imagen para logo ministerio de medio ambiente republica dominicana">
          <a:extLst>
            <a:ext uri="{FF2B5EF4-FFF2-40B4-BE49-F238E27FC236}">
              <a16:creationId xmlns:a16="http://schemas.microsoft.com/office/drawing/2014/main" id="{97C18092-8602-4E10-87D6-8D1101BED013}"/>
            </a:ext>
          </a:extLst>
        </xdr:cNvPr>
        <xdr:cNvSpPr>
          <a:spLocks noChangeAspect="1" noChangeArrowheads="1"/>
        </xdr:cNvSpPr>
      </xdr:nvSpPr>
      <xdr:spPr bwMode="auto">
        <a:xfrm>
          <a:off x="5981700" y="2124075"/>
          <a:ext cx="2259936" cy="2619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10</xdr:row>
      <xdr:rowOff>0</xdr:rowOff>
    </xdr:from>
    <xdr:to>
      <xdr:col>13</xdr:col>
      <xdr:colOff>304800</xdr:colOff>
      <xdr:row>12</xdr:row>
      <xdr:rowOff>134905</xdr:rowOff>
    </xdr:to>
    <xdr:sp macro="" textlink="">
      <xdr:nvSpPr>
        <xdr:cNvPr id="11" name="xbZev7KmDZ0lMM:" descr="Resultado de imagen para logo ministerio de medio ambiente republica dominicana">
          <a:extLst>
            <a:ext uri="{FF2B5EF4-FFF2-40B4-BE49-F238E27FC236}">
              <a16:creationId xmlns:a16="http://schemas.microsoft.com/office/drawing/2014/main" id="{87D1E219-BB6C-4E73-B3B8-8E6108EC77F3}"/>
            </a:ext>
          </a:extLst>
        </xdr:cNvPr>
        <xdr:cNvSpPr>
          <a:spLocks noChangeAspect="1" noChangeArrowheads="1"/>
        </xdr:cNvSpPr>
      </xdr:nvSpPr>
      <xdr:spPr bwMode="auto">
        <a:xfrm>
          <a:off x="5981700" y="2743200"/>
          <a:ext cx="304800" cy="5159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873125</xdr:colOff>
      <xdr:row>1</xdr:row>
      <xdr:rowOff>210467</xdr:rowOff>
    </xdr:from>
    <xdr:to>
      <xdr:col>17</xdr:col>
      <xdr:colOff>873125</xdr:colOff>
      <xdr:row>5</xdr:row>
      <xdr:rowOff>219992</xdr:rowOff>
    </xdr:to>
    <xdr:pic>
      <xdr:nvPicPr>
        <xdr:cNvPr id="12" name="Picture 4">
          <a:extLst>
            <a:ext uri="{FF2B5EF4-FFF2-40B4-BE49-F238E27FC236}">
              <a16:creationId xmlns:a16="http://schemas.microsoft.com/office/drawing/2014/main" id="{167D7A33-1317-4298-B158-F25FEE5D05E7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8731250" y="448592"/>
          <a:ext cx="0" cy="1057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0</xdr:colOff>
      <xdr:row>7</xdr:row>
      <xdr:rowOff>0</xdr:rowOff>
    </xdr:from>
    <xdr:to>
      <xdr:col>17</xdr:col>
      <xdr:colOff>602586</xdr:colOff>
      <xdr:row>18</xdr:row>
      <xdr:rowOff>85725</xdr:rowOff>
    </xdr:to>
    <xdr:sp macro="" textlink="">
      <xdr:nvSpPr>
        <xdr:cNvPr id="14" name="dimg_1" descr="Resultado de imagen para logo ministerio de medio ambiente republica dominicana">
          <a:extLst>
            <a:ext uri="{FF2B5EF4-FFF2-40B4-BE49-F238E27FC236}">
              <a16:creationId xmlns:a16="http://schemas.microsoft.com/office/drawing/2014/main" id="{5CD265B3-C4B4-497F-850A-A57431239077}"/>
            </a:ext>
          </a:extLst>
        </xdr:cNvPr>
        <xdr:cNvSpPr>
          <a:spLocks noChangeAspect="1" noChangeArrowheads="1"/>
        </xdr:cNvSpPr>
      </xdr:nvSpPr>
      <xdr:spPr bwMode="auto">
        <a:xfrm>
          <a:off x="5981700" y="2124075"/>
          <a:ext cx="2259936" cy="2181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10</xdr:row>
      <xdr:rowOff>0</xdr:rowOff>
    </xdr:from>
    <xdr:to>
      <xdr:col>13</xdr:col>
      <xdr:colOff>304800</xdr:colOff>
      <xdr:row>12</xdr:row>
      <xdr:rowOff>76200</xdr:rowOff>
    </xdr:to>
    <xdr:sp macro="" textlink="">
      <xdr:nvSpPr>
        <xdr:cNvPr id="15" name="xbZev7KmDZ0lMM:" descr="Resultado de imagen para logo ministerio de medio ambiente republica dominicana">
          <a:extLst>
            <a:ext uri="{FF2B5EF4-FFF2-40B4-BE49-F238E27FC236}">
              <a16:creationId xmlns:a16="http://schemas.microsoft.com/office/drawing/2014/main" id="{E6C77787-161F-420C-B026-7574E7BB8956}"/>
            </a:ext>
          </a:extLst>
        </xdr:cNvPr>
        <xdr:cNvSpPr>
          <a:spLocks noChangeAspect="1" noChangeArrowheads="1"/>
        </xdr:cNvSpPr>
      </xdr:nvSpPr>
      <xdr:spPr bwMode="auto">
        <a:xfrm>
          <a:off x="5981700" y="2743200"/>
          <a:ext cx="304800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11</xdr:col>
      <xdr:colOff>0</xdr:colOff>
      <xdr:row>11</xdr:row>
      <xdr:rowOff>0</xdr:rowOff>
    </xdr:from>
    <xdr:ext cx="304800" cy="496855"/>
    <xdr:sp macro="" textlink="">
      <xdr:nvSpPr>
        <xdr:cNvPr id="16" name="xbZev7KmDZ0lMM:" descr="Resultado de imagen para logo ministerio de medio ambiente republica dominicana">
          <a:extLst>
            <a:ext uri="{FF2B5EF4-FFF2-40B4-BE49-F238E27FC236}">
              <a16:creationId xmlns:a16="http://schemas.microsoft.com/office/drawing/2014/main" id="{20772E39-81C1-4047-B4F8-C5ABB8EC7559}"/>
            </a:ext>
          </a:extLst>
        </xdr:cNvPr>
        <xdr:cNvSpPr>
          <a:spLocks noChangeAspect="1" noChangeArrowheads="1"/>
        </xdr:cNvSpPr>
      </xdr:nvSpPr>
      <xdr:spPr bwMode="auto">
        <a:xfrm>
          <a:off x="5981700" y="2943225"/>
          <a:ext cx="304800" cy="4968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889000</xdr:colOff>
      <xdr:row>11</xdr:row>
      <xdr:rowOff>142875</xdr:rowOff>
    </xdr:from>
    <xdr:ext cx="304800" cy="438150"/>
    <xdr:sp macro="" textlink="">
      <xdr:nvSpPr>
        <xdr:cNvPr id="17" name="xbZev7KmDZ0lMM:" descr="Resultado de imagen para logo ministerio de medio ambiente republica dominicana">
          <a:extLst>
            <a:ext uri="{FF2B5EF4-FFF2-40B4-BE49-F238E27FC236}">
              <a16:creationId xmlns:a16="http://schemas.microsoft.com/office/drawing/2014/main" id="{4E20B226-12D0-4040-92CA-B484097EF546}"/>
            </a:ext>
          </a:extLst>
        </xdr:cNvPr>
        <xdr:cNvSpPr>
          <a:spLocks noChangeAspect="1" noChangeArrowheads="1"/>
        </xdr:cNvSpPr>
      </xdr:nvSpPr>
      <xdr:spPr bwMode="auto">
        <a:xfrm>
          <a:off x="7810500" y="3095625"/>
          <a:ext cx="304800" cy="438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R489"/>
  <sheetViews>
    <sheetView tabSelected="1" view="pageBreakPreview" topLeftCell="A462" zoomScaleNormal="100" zoomScaleSheetLayoutView="100" workbookViewId="0">
      <selection activeCell="N480" sqref="N480"/>
    </sheetView>
  </sheetViews>
  <sheetFormatPr baseColWidth="10" defaultColWidth="14.140625" defaultRowHeight="18.75" x14ac:dyDescent="0.3"/>
  <cols>
    <col min="1" max="1" width="6.28515625" style="4" customWidth="1"/>
    <col min="2" max="2" width="17.28515625" style="4" customWidth="1"/>
    <col min="3" max="3" width="17.42578125" style="4" customWidth="1"/>
    <col min="4" max="4" width="43.5703125" style="4" customWidth="1"/>
    <col min="5" max="5" width="15.42578125" style="3" hidden="1" customWidth="1"/>
    <col min="6" max="6" width="0" style="1" hidden="1" customWidth="1"/>
    <col min="7" max="7" width="14.42578125" style="36" bestFit="1" customWidth="1"/>
    <col min="8" max="8" width="0" style="1" hidden="1" customWidth="1"/>
    <col min="9" max="9" width="16.28515625" style="1" hidden="1" customWidth="1"/>
    <col min="10" max="10" width="11.28515625" style="1" hidden="1" customWidth="1"/>
    <col min="11" max="11" width="0" style="2" hidden="1" customWidth="1"/>
    <col min="12" max="13" width="0" style="1" hidden="1" customWidth="1"/>
    <col min="14" max="14" width="14.140625" style="3"/>
    <col min="15" max="15" width="0" style="1" hidden="1" customWidth="1"/>
    <col min="16" max="16" width="0" style="3" hidden="1" customWidth="1"/>
    <col min="17" max="17" width="16.140625" style="3" customWidth="1"/>
    <col min="18" max="16384" width="14.140625" style="4"/>
  </cols>
  <sheetData>
    <row r="3" spans="2:17" ht="26.25" x14ac:dyDescent="0.4">
      <c r="B3" s="47" t="s">
        <v>0</v>
      </c>
      <c r="C3" s="47"/>
      <c r="D3" s="47"/>
      <c r="E3" s="47"/>
      <c r="F3" s="48"/>
      <c r="G3" s="48"/>
      <c r="H3" s="48"/>
      <c r="L3" s="2"/>
      <c r="M3" s="2"/>
    </row>
    <row r="4" spans="2:17" x14ac:dyDescent="0.3">
      <c r="B4" s="49" t="s">
        <v>1</v>
      </c>
      <c r="C4" s="50"/>
      <c r="D4" s="50"/>
      <c r="E4" s="50"/>
      <c r="F4" s="51"/>
      <c r="G4" s="51"/>
      <c r="H4" s="51"/>
    </row>
    <row r="5" spans="2:17" x14ac:dyDescent="0.3">
      <c r="B5" s="52" t="s">
        <v>2</v>
      </c>
      <c r="C5" s="52"/>
      <c r="D5" s="52"/>
      <c r="E5" s="52"/>
      <c r="F5" s="52"/>
      <c r="G5" s="52"/>
      <c r="H5" s="52"/>
    </row>
    <row r="7" spans="2:17" s="6" customFormat="1" ht="47.25" x14ac:dyDescent="0.25">
      <c r="B7" s="5" t="s">
        <v>3</v>
      </c>
      <c r="C7" s="5" t="s">
        <v>4</v>
      </c>
      <c r="D7" s="5" t="s">
        <v>5</v>
      </c>
      <c r="E7" s="5" t="s">
        <v>6</v>
      </c>
      <c r="F7" s="5" t="s">
        <v>7</v>
      </c>
      <c r="G7" s="5" t="s">
        <v>8</v>
      </c>
      <c r="H7" s="5" t="s">
        <v>9</v>
      </c>
      <c r="I7" s="5" t="s">
        <v>10</v>
      </c>
      <c r="J7" s="5" t="s">
        <v>11</v>
      </c>
      <c r="K7" s="5" t="s">
        <v>8</v>
      </c>
      <c r="L7" s="5" t="s">
        <v>9</v>
      </c>
      <c r="M7" s="5" t="s">
        <v>12</v>
      </c>
      <c r="N7" s="5" t="s">
        <v>13</v>
      </c>
      <c r="O7" s="5" t="s">
        <v>14</v>
      </c>
      <c r="P7" s="5" t="s">
        <v>15</v>
      </c>
      <c r="Q7" s="5" t="s">
        <v>9</v>
      </c>
    </row>
    <row r="8" spans="2:17" s="16" customFormat="1" x14ac:dyDescent="0.3">
      <c r="B8" s="7" t="s">
        <v>16</v>
      </c>
      <c r="C8" s="8">
        <v>44652</v>
      </c>
      <c r="D8" s="9" t="s">
        <v>17</v>
      </c>
      <c r="E8" s="10" t="s">
        <v>18</v>
      </c>
      <c r="F8" s="11">
        <f>18*30</f>
        <v>540</v>
      </c>
      <c r="G8" s="12">
        <v>33.799999999999997</v>
      </c>
      <c r="H8" s="13">
        <f>+G8*18</f>
        <v>608.4</v>
      </c>
      <c r="I8" s="14"/>
      <c r="J8" s="14"/>
      <c r="K8" s="15"/>
      <c r="L8" s="14"/>
      <c r="M8" s="14">
        <v>150</v>
      </c>
      <c r="N8" s="14">
        <f>+F8+J8-M8</f>
        <v>390</v>
      </c>
      <c r="O8" s="14"/>
      <c r="P8" s="14" t="s">
        <v>19</v>
      </c>
      <c r="Q8" s="15">
        <f>+G8*N8</f>
        <v>13181.999999999998</v>
      </c>
    </row>
    <row r="9" spans="2:17" s="17" customFormat="1" ht="15.75" x14ac:dyDescent="0.25">
      <c r="B9" s="7" t="s">
        <v>20</v>
      </c>
      <c r="C9" s="8">
        <v>44193</v>
      </c>
      <c r="D9" s="9" t="s">
        <v>21</v>
      </c>
      <c r="E9" s="10" t="s">
        <v>22</v>
      </c>
      <c r="F9" s="11">
        <v>43</v>
      </c>
      <c r="G9" s="12">
        <v>215</v>
      </c>
      <c r="H9" s="13">
        <f>F9*G9</f>
        <v>9245</v>
      </c>
      <c r="I9" s="14"/>
      <c r="J9" s="14"/>
      <c r="K9" s="15"/>
      <c r="L9" s="14"/>
      <c r="M9" s="14">
        <f>1+1+1</f>
        <v>3</v>
      </c>
      <c r="N9" s="14">
        <f t="shared" ref="N9:N72" si="0">+F9+J9-M9</f>
        <v>40</v>
      </c>
      <c r="O9" s="14"/>
      <c r="P9" s="14" t="s">
        <v>23</v>
      </c>
      <c r="Q9" s="15">
        <f t="shared" ref="Q9:Q23" si="1">+G9*N9</f>
        <v>8600</v>
      </c>
    </row>
    <row r="10" spans="2:17" s="17" customFormat="1" ht="14.25" customHeight="1" x14ac:dyDescent="0.25">
      <c r="B10" s="7" t="s">
        <v>24</v>
      </c>
      <c r="C10" s="8">
        <v>45020</v>
      </c>
      <c r="D10" s="9" t="s">
        <v>25</v>
      </c>
      <c r="E10" s="10" t="s">
        <v>22</v>
      </c>
      <c r="F10" s="11">
        <v>12</v>
      </c>
      <c r="G10" s="12">
        <v>3540</v>
      </c>
      <c r="H10" s="13">
        <f>F10*G10</f>
        <v>42480</v>
      </c>
      <c r="I10" s="14"/>
      <c r="J10" s="14"/>
      <c r="K10" s="15"/>
      <c r="L10" s="14"/>
      <c r="M10" s="14"/>
      <c r="N10" s="14">
        <f t="shared" si="0"/>
        <v>12</v>
      </c>
      <c r="O10" s="14"/>
      <c r="P10" s="14" t="s">
        <v>23</v>
      </c>
      <c r="Q10" s="15">
        <f t="shared" si="1"/>
        <v>42480</v>
      </c>
    </row>
    <row r="11" spans="2:17" s="17" customFormat="1" ht="15.75" x14ac:dyDescent="0.25">
      <c r="B11" s="7" t="s">
        <v>26</v>
      </c>
      <c r="C11" s="8">
        <v>44193</v>
      </c>
      <c r="D11" s="9" t="s">
        <v>27</v>
      </c>
      <c r="E11" s="10" t="s">
        <v>22</v>
      </c>
      <c r="F11" s="18">
        <v>0</v>
      </c>
      <c r="G11" s="12">
        <v>127.12</v>
      </c>
      <c r="H11" s="13">
        <f t="shared" ref="H11:H25" si="2">F11*G11</f>
        <v>0</v>
      </c>
      <c r="I11" s="14"/>
      <c r="J11" s="14"/>
      <c r="K11" s="15"/>
      <c r="L11" s="14"/>
      <c r="M11" s="14"/>
      <c r="N11" s="14">
        <f t="shared" si="0"/>
        <v>0</v>
      </c>
      <c r="O11" s="14"/>
      <c r="P11" s="14" t="s">
        <v>23</v>
      </c>
      <c r="Q11" s="15">
        <f t="shared" si="1"/>
        <v>0</v>
      </c>
    </row>
    <row r="12" spans="2:17" s="17" customFormat="1" ht="15.75" x14ac:dyDescent="0.25">
      <c r="B12" s="7" t="s">
        <v>28</v>
      </c>
      <c r="C12" s="8">
        <v>44193</v>
      </c>
      <c r="D12" s="9" t="s">
        <v>29</v>
      </c>
      <c r="E12" s="10" t="s">
        <v>22</v>
      </c>
      <c r="F12" s="18">
        <v>1</v>
      </c>
      <c r="G12" s="12">
        <v>30</v>
      </c>
      <c r="H12" s="13">
        <f t="shared" si="2"/>
        <v>30</v>
      </c>
      <c r="I12" s="14"/>
      <c r="J12" s="14"/>
      <c r="K12" s="15"/>
      <c r="L12" s="14"/>
      <c r="M12" s="14"/>
      <c r="N12" s="14">
        <f t="shared" si="0"/>
        <v>1</v>
      </c>
      <c r="O12" s="14"/>
      <c r="P12" s="14" t="s">
        <v>23</v>
      </c>
      <c r="Q12" s="15">
        <f t="shared" si="1"/>
        <v>30</v>
      </c>
    </row>
    <row r="13" spans="2:17" s="17" customFormat="1" ht="15.75" x14ac:dyDescent="0.25">
      <c r="B13" s="7" t="s">
        <v>30</v>
      </c>
      <c r="C13" s="8">
        <v>44193</v>
      </c>
      <c r="D13" s="9" t="s">
        <v>31</v>
      </c>
      <c r="E13" s="10" t="s">
        <v>22</v>
      </c>
      <c r="F13" s="11">
        <v>10</v>
      </c>
      <c r="G13" s="12">
        <v>11</v>
      </c>
      <c r="H13" s="13">
        <f t="shared" si="2"/>
        <v>110</v>
      </c>
      <c r="I13" s="14"/>
      <c r="J13" s="14"/>
      <c r="K13" s="15"/>
      <c r="L13" s="14"/>
      <c r="M13" s="14"/>
      <c r="N13" s="14">
        <f t="shared" si="0"/>
        <v>10</v>
      </c>
      <c r="O13" s="14"/>
      <c r="P13" s="14" t="s">
        <v>23</v>
      </c>
      <c r="Q13" s="15">
        <f t="shared" si="1"/>
        <v>110</v>
      </c>
    </row>
    <row r="14" spans="2:17" s="17" customFormat="1" ht="15.75" x14ac:dyDescent="0.25">
      <c r="B14" s="7" t="s">
        <v>32</v>
      </c>
      <c r="C14" s="8">
        <v>44193</v>
      </c>
      <c r="D14" s="9" t="s">
        <v>33</v>
      </c>
      <c r="E14" s="10" t="s">
        <v>22</v>
      </c>
      <c r="F14" s="11">
        <f>49+60+2</f>
        <v>111</v>
      </c>
      <c r="G14" s="12">
        <v>15.84</v>
      </c>
      <c r="H14" s="13">
        <f t="shared" si="2"/>
        <v>1758.24</v>
      </c>
      <c r="I14" s="14"/>
      <c r="J14" s="14"/>
      <c r="K14" s="15"/>
      <c r="L14" s="14"/>
      <c r="M14" s="14"/>
      <c r="N14" s="14">
        <f t="shared" si="0"/>
        <v>111</v>
      </c>
      <c r="O14" s="14"/>
      <c r="P14" s="14" t="s">
        <v>23</v>
      </c>
      <c r="Q14" s="15">
        <f t="shared" si="1"/>
        <v>1758.24</v>
      </c>
    </row>
    <row r="15" spans="2:17" s="17" customFormat="1" ht="15.75" x14ac:dyDescent="0.25">
      <c r="B15" s="7" t="s">
        <v>34</v>
      </c>
      <c r="C15" s="8">
        <v>44193</v>
      </c>
      <c r="D15" s="9" t="s">
        <v>35</v>
      </c>
      <c r="E15" s="10" t="s">
        <v>22</v>
      </c>
      <c r="F15" s="11">
        <v>52</v>
      </c>
      <c r="G15" s="12">
        <v>22.41</v>
      </c>
      <c r="H15" s="13">
        <f t="shared" si="2"/>
        <v>1165.32</v>
      </c>
      <c r="I15" s="14"/>
      <c r="J15" s="14"/>
      <c r="K15" s="15"/>
      <c r="L15" s="14"/>
      <c r="M15" s="14"/>
      <c r="N15" s="14">
        <f t="shared" si="0"/>
        <v>52</v>
      </c>
      <c r="O15" s="14"/>
      <c r="P15" s="14" t="s">
        <v>23</v>
      </c>
      <c r="Q15" s="15">
        <f t="shared" si="1"/>
        <v>1165.32</v>
      </c>
    </row>
    <row r="16" spans="2:17" s="17" customFormat="1" ht="15.75" x14ac:dyDescent="0.25">
      <c r="B16" s="7" t="s">
        <v>36</v>
      </c>
      <c r="C16" s="8">
        <v>44193</v>
      </c>
      <c r="D16" s="9" t="s">
        <v>37</v>
      </c>
      <c r="E16" s="10" t="s">
        <v>22</v>
      </c>
      <c r="F16" s="11">
        <v>42</v>
      </c>
      <c r="G16" s="12">
        <v>5.5</v>
      </c>
      <c r="H16" s="13">
        <f t="shared" si="2"/>
        <v>231</v>
      </c>
      <c r="I16" s="14"/>
      <c r="J16" s="14"/>
      <c r="K16" s="15"/>
      <c r="L16" s="14"/>
      <c r="M16" s="14"/>
      <c r="N16" s="14">
        <f t="shared" si="0"/>
        <v>42</v>
      </c>
      <c r="O16" s="14"/>
      <c r="P16" s="14" t="s">
        <v>23</v>
      </c>
      <c r="Q16" s="15">
        <f t="shared" si="1"/>
        <v>231</v>
      </c>
    </row>
    <row r="17" spans="2:17" s="17" customFormat="1" ht="15.75" x14ac:dyDescent="0.25">
      <c r="B17" s="7" t="s">
        <v>38</v>
      </c>
      <c r="C17" s="8">
        <v>44193</v>
      </c>
      <c r="D17" s="9" t="s">
        <v>39</v>
      </c>
      <c r="E17" s="10" t="s">
        <v>22</v>
      </c>
      <c r="F17" s="11">
        <v>32</v>
      </c>
      <c r="G17" s="12">
        <v>78.099999999999994</v>
      </c>
      <c r="H17" s="13">
        <f t="shared" si="2"/>
        <v>2499.1999999999998</v>
      </c>
      <c r="I17" s="14"/>
      <c r="J17" s="14"/>
      <c r="K17" s="15"/>
      <c r="L17" s="14"/>
      <c r="M17" s="14">
        <v>2</v>
      </c>
      <c r="N17" s="14">
        <f t="shared" si="0"/>
        <v>30</v>
      </c>
      <c r="O17" s="14"/>
      <c r="P17" s="14" t="s">
        <v>23</v>
      </c>
      <c r="Q17" s="15">
        <f t="shared" si="1"/>
        <v>2343</v>
      </c>
    </row>
    <row r="18" spans="2:17" s="17" customFormat="1" ht="15.75" x14ac:dyDescent="0.25">
      <c r="B18" s="7" t="s">
        <v>40</v>
      </c>
      <c r="C18" s="8" t="s">
        <v>41</v>
      </c>
      <c r="D18" s="9" t="s">
        <v>42</v>
      </c>
      <c r="E18" s="10" t="s">
        <v>22</v>
      </c>
      <c r="F18" s="11">
        <v>131</v>
      </c>
      <c r="G18" s="12">
        <v>5.17</v>
      </c>
      <c r="H18" s="13">
        <f t="shared" si="2"/>
        <v>677.27</v>
      </c>
      <c r="I18" s="14"/>
      <c r="J18" s="14"/>
      <c r="K18" s="15"/>
      <c r="L18" s="14"/>
      <c r="M18" s="14"/>
      <c r="N18" s="14">
        <f t="shared" si="0"/>
        <v>131</v>
      </c>
      <c r="O18" s="14"/>
      <c r="P18" s="14" t="s">
        <v>23</v>
      </c>
      <c r="Q18" s="15">
        <f t="shared" si="1"/>
        <v>677.27</v>
      </c>
    </row>
    <row r="19" spans="2:17" s="17" customFormat="1" ht="15.75" x14ac:dyDescent="0.25">
      <c r="B19" s="7" t="s">
        <v>43</v>
      </c>
      <c r="C19" s="8" t="s">
        <v>41</v>
      </c>
      <c r="D19" s="9" t="s">
        <v>44</v>
      </c>
      <c r="E19" s="10" t="s">
        <v>22</v>
      </c>
      <c r="F19" s="11">
        <v>10</v>
      </c>
      <c r="G19" s="19">
        <v>15</v>
      </c>
      <c r="H19" s="13">
        <f t="shared" si="2"/>
        <v>150</v>
      </c>
      <c r="I19" s="14"/>
      <c r="J19" s="14"/>
      <c r="K19" s="15"/>
      <c r="L19" s="14"/>
      <c r="M19" s="14"/>
      <c r="N19" s="14">
        <f t="shared" si="0"/>
        <v>10</v>
      </c>
      <c r="O19" s="14"/>
      <c r="P19" s="14" t="s">
        <v>23</v>
      </c>
      <c r="Q19" s="15">
        <f t="shared" si="1"/>
        <v>150</v>
      </c>
    </row>
    <row r="20" spans="2:17" s="17" customFormat="1" ht="15.75" x14ac:dyDescent="0.25">
      <c r="B20" s="7" t="s">
        <v>45</v>
      </c>
      <c r="C20" s="8">
        <v>44193</v>
      </c>
      <c r="D20" s="9" t="s">
        <v>46</v>
      </c>
      <c r="E20" s="10" t="s">
        <v>22</v>
      </c>
      <c r="F20" s="18">
        <f>4+7+1</f>
        <v>12</v>
      </c>
      <c r="G20" s="12">
        <v>15</v>
      </c>
      <c r="H20" s="13">
        <f t="shared" si="2"/>
        <v>180</v>
      </c>
      <c r="I20" s="14"/>
      <c r="J20" s="14"/>
      <c r="K20" s="15"/>
      <c r="L20" s="14"/>
      <c r="M20" s="14"/>
      <c r="N20" s="14">
        <f t="shared" si="0"/>
        <v>12</v>
      </c>
      <c r="O20" s="14"/>
      <c r="P20" s="14" t="s">
        <v>23</v>
      </c>
      <c r="Q20" s="15">
        <f t="shared" si="1"/>
        <v>180</v>
      </c>
    </row>
    <row r="21" spans="2:17" s="17" customFormat="1" ht="15.75" x14ac:dyDescent="0.25">
      <c r="B21" s="7" t="s">
        <v>47</v>
      </c>
      <c r="C21" s="8">
        <v>44193</v>
      </c>
      <c r="D21" s="9" t="s">
        <v>48</v>
      </c>
      <c r="E21" s="10" t="s">
        <v>22</v>
      </c>
      <c r="F21" s="18">
        <v>8</v>
      </c>
      <c r="G21" s="12">
        <v>15</v>
      </c>
      <c r="H21" s="13">
        <f t="shared" si="2"/>
        <v>120</v>
      </c>
      <c r="I21" s="14"/>
      <c r="J21" s="14"/>
      <c r="K21" s="15"/>
      <c r="L21" s="14"/>
      <c r="M21" s="14"/>
      <c r="N21" s="14">
        <f t="shared" si="0"/>
        <v>8</v>
      </c>
      <c r="O21" s="14"/>
      <c r="P21" s="14" t="s">
        <v>23</v>
      </c>
      <c r="Q21" s="15">
        <f t="shared" si="1"/>
        <v>120</v>
      </c>
    </row>
    <row r="22" spans="2:17" s="17" customFormat="1" ht="15.75" x14ac:dyDescent="0.25">
      <c r="B22" s="7" t="s">
        <v>49</v>
      </c>
      <c r="C22" s="8">
        <v>44193</v>
      </c>
      <c r="D22" s="9" t="s">
        <v>50</v>
      </c>
      <c r="E22" s="10" t="s">
        <v>22</v>
      </c>
      <c r="F22" s="18">
        <v>1</v>
      </c>
      <c r="G22" s="12">
        <v>15</v>
      </c>
      <c r="H22" s="13">
        <f t="shared" si="2"/>
        <v>15</v>
      </c>
      <c r="I22" s="14"/>
      <c r="J22" s="14"/>
      <c r="K22" s="15"/>
      <c r="L22" s="14"/>
      <c r="M22" s="14"/>
      <c r="N22" s="14">
        <f t="shared" si="0"/>
        <v>1</v>
      </c>
      <c r="O22" s="14"/>
      <c r="P22" s="14" t="s">
        <v>23</v>
      </c>
      <c r="Q22" s="15">
        <f t="shared" si="1"/>
        <v>15</v>
      </c>
    </row>
    <row r="23" spans="2:17" s="17" customFormat="1" ht="15.75" x14ac:dyDescent="0.25">
      <c r="B23" s="7" t="s">
        <v>51</v>
      </c>
      <c r="C23" s="8" t="s">
        <v>41</v>
      </c>
      <c r="D23" s="9" t="s">
        <v>52</v>
      </c>
      <c r="E23" s="10" t="s">
        <v>22</v>
      </c>
      <c r="F23" s="18">
        <v>32</v>
      </c>
      <c r="G23" s="19">
        <v>15</v>
      </c>
      <c r="H23" s="13">
        <f t="shared" si="2"/>
        <v>480</v>
      </c>
      <c r="I23" s="14"/>
      <c r="J23" s="14"/>
      <c r="K23" s="15"/>
      <c r="L23" s="14"/>
      <c r="M23" s="14"/>
      <c r="N23" s="14">
        <f t="shared" si="0"/>
        <v>32</v>
      </c>
      <c r="O23" s="14"/>
      <c r="P23" s="14" t="s">
        <v>23</v>
      </c>
      <c r="Q23" s="15">
        <f t="shared" si="1"/>
        <v>480</v>
      </c>
    </row>
    <row r="24" spans="2:17" s="17" customFormat="1" ht="15.75" x14ac:dyDescent="0.25">
      <c r="B24" s="7" t="s">
        <v>53</v>
      </c>
      <c r="C24" s="8">
        <v>45020</v>
      </c>
      <c r="D24" s="9" t="s">
        <v>54</v>
      </c>
      <c r="E24" s="10" t="s">
        <v>22</v>
      </c>
      <c r="F24" s="18">
        <v>20</v>
      </c>
      <c r="G24" s="19">
        <v>804.76</v>
      </c>
      <c r="H24" s="13">
        <f t="shared" si="2"/>
        <v>16095.2</v>
      </c>
      <c r="I24" s="14"/>
      <c r="J24" s="14"/>
      <c r="K24" s="15"/>
      <c r="L24" s="14"/>
      <c r="M24" s="14">
        <f>1+3+3+3</f>
        <v>10</v>
      </c>
      <c r="N24" s="14">
        <f t="shared" si="0"/>
        <v>10</v>
      </c>
      <c r="O24" s="14"/>
      <c r="P24" s="14" t="s">
        <v>23</v>
      </c>
      <c r="Q24" s="15">
        <f>+G24*N24</f>
        <v>8047.6</v>
      </c>
    </row>
    <row r="25" spans="2:17" s="17" customFormat="1" ht="15.75" x14ac:dyDescent="0.25">
      <c r="B25" s="7" t="s">
        <v>55</v>
      </c>
      <c r="C25" s="8">
        <v>44193</v>
      </c>
      <c r="D25" s="9" t="s">
        <v>56</v>
      </c>
      <c r="E25" s="10" t="s">
        <v>22</v>
      </c>
      <c r="F25" s="18">
        <v>12</v>
      </c>
      <c r="G25" s="19"/>
      <c r="H25" s="13">
        <f t="shared" si="2"/>
        <v>0</v>
      </c>
      <c r="I25" s="14"/>
      <c r="J25" s="14"/>
      <c r="K25" s="15"/>
      <c r="L25" s="14"/>
      <c r="M25" s="14"/>
      <c r="N25" s="14">
        <f t="shared" si="0"/>
        <v>12</v>
      </c>
      <c r="O25" s="14"/>
      <c r="P25" s="14" t="s">
        <v>23</v>
      </c>
      <c r="Q25" s="15">
        <f t="shared" ref="Q25:Q88" si="3">+G25*N25</f>
        <v>0</v>
      </c>
    </row>
    <row r="26" spans="2:17" s="16" customFormat="1" x14ac:dyDescent="0.3">
      <c r="B26" s="7" t="s">
        <v>57</v>
      </c>
      <c r="C26" s="8">
        <v>44193</v>
      </c>
      <c r="D26" s="10" t="s">
        <v>58</v>
      </c>
      <c r="E26" s="10" t="s">
        <v>22</v>
      </c>
      <c r="F26" s="20">
        <v>10</v>
      </c>
      <c r="G26" s="12">
        <v>225</v>
      </c>
      <c r="H26" s="13">
        <f>F26*G26</f>
        <v>2250</v>
      </c>
      <c r="I26" s="14"/>
      <c r="J26" s="14"/>
      <c r="K26" s="15"/>
      <c r="L26" s="14"/>
      <c r="M26" s="14"/>
      <c r="N26" s="14">
        <f t="shared" si="0"/>
        <v>10</v>
      </c>
      <c r="O26" s="14"/>
      <c r="P26" s="14" t="s">
        <v>59</v>
      </c>
      <c r="Q26" s="15">
        <f t="shared" si="3"/>
        <v>2250</v>
      </c>
    </row>
    <row r="27" spans="2:17" s="17" customFormat="1" ht="15.75" x14ac:dyDescent="0.25">
      <c r="B27" s="7" t="s">
        <v>60</v>
      </c>
      <c r="C27" s="8">
        <v>44193</v>
      </c>
      <c r="D27" s="9" t="s">
        <v>61</v>
      </c>
      <c r="E27" s="10" t="s">
        <v>22</v>
      </c>
      <c r="F27" s="18">
        <v>0</v>
      </c>
      <c r="G27" s="12">
        <v>68</v>
      </c>
      <c r="H27" s="13">
        <f>F27*G27</f>
        <v>0</v>
      </c>
      <c r="I27" s="14"/>
      <c r="J27" s="14"/>
      <c r="K27" s="15"/>
      <c r="L27" s="14"/>
      <c r="M27" s="14"/>
      <c r="N27" s="14">
        <f t="shared" si="0"/>
        <v>0</v>
      </c>
      <c r="O27" s="14"/>
      <c r="P27" s="14" t="s">
        <v>23</v>
      </c>
      <c r="Q27" s="15">
        <f t="shared" si="3"/>
        <v>0</v>
      </c>
    </row>
    <row r="28" spans="2:17" s="16" customFormat="1" x14ac:dyDescent="0.3">
      <c r="B28" s="7" t="s">
        <v>62</v>
      </c>
      <c r="C28" s="8">
        <v>44193</v>
      </c>
      <c r="D28" s="9" t="s">
        <v>63</v>
      </c>
      <c r="E28" s="10" t="s">
        <v>22</v>
      </c>
      <c r="F28" s="18">
        <v>4</v>
      </c>
      <c r="G28" s="12">
        <v>470</v>
      </c>
      <c r="H28" s="13">
        <f>F28*G28</f>
        <v>1880</v>
      </c>
      <c r="I28" s="14"/>
      <c r="J28" s="14"/>
      <c r="K28" s="15"/>
      <c r="L28" s="14"/>
      <c r="M28" s="14"/>
      <c r="N28" s="14">
        <f t="shared" si="0"/>
        <v>4</v>
      </c>
      <c r="O28" s="14"/>
      <c r="P28" s="14" t="s">
        <v>19</v>
      </c>
      <c r="Q28" s="15">
        <f t="shared" si="3"/>
        <v>1880</v>
      </c>
    </row>
    <row r="29" spans="2:17" s="17" customFormat="1" ht="15.75" x14ac:dyDescent="0.25">
      <c r="B29" s="7" t="s">
        <v>64</v>
      </c>
      <c r="C29" s="8" t="s">
        <v>41</v>
      </c>
      <c r="D29" s="9" t="s">
        <v>65</v>
      </c>
      <c r="E29" s="10" t="s">
        <v>22</v>
      </c>
      <c r="F29" s="18">
        <v>70</v>
      </c>
      <c r="G29" s="12">
        <v>16.46</v>
      </c>
      <c r="H29" s="13">
        <f>+F29*G29</f>
        <v>1152.2</v>
      </c>
      <c r="I29" s="14"/>
      <c r="J29" s="14"/>
      <c r="K29" s="15"/>
      <c r="L29" s="14"/>
      <c r="M29" s="14"/>
      <c r="N29" s="14">
        <f t="shared" si="0"/>
        <v>70</v>
      </c>
      <c r="O29" s="14"/>
      <c r="P29" s="14" t="s">
        <v>23</v>
      </c>
      <c r="Q29" s="15">
        <f t="shared" si="3"/>
        <v>1152.2</v>
      </c>
    </row>
    <row r="30" spans="2:17" s="17" customFormat="1" ht="15.75" x14ac:dyDescent="0.25">
      <c r="B30" s="7" t="s">
        <v>66</v>
      </c>
      <c r="C30" s="8" t="s">
        <v>41</v>
      </c>
      <c r="D30" s="9" t="s">
        <v>67</v>
      </c>
      <c r="E30" s="10" t="s">
        <v>22</v>
      </c>
      <c r="F30" s="18">
        <v>0</v>
      </c>
      <c r="G30" s="19">
        <v>6.4</v>
      </c>
      <c r="H30" s="13">
        <f>F30*G30</f>
        <v>0</v>
      </c>
      <c r="I30" s="14"/>
      <c r="J30" s="14"/>
      <c r="K30" s="15"/>
      <c r="L30" s="14"/>
      <c r="M30" s="14"/>
      <c r="N30" s="14">
        <f t="shared" si="0"/>
        <v>0</v>
      </c>
      <c r="O30" s="14"/>
      <c r="P30" s="14" t="s">
        <v>23</v>
      </c>
      <c r="Q30" s="15">
        <f t="shared" si="3"/>
        <v>0</v>
      </c>
    </row>
    <row r="31" spans="2:17" s="17" customFormat="1" ht="15.75" x14ac:dyDescent="0.25">
      <c r="B31" s="7" t="s">
        <v>68</v>
      </c>
      <c r="C31" s="8">
        <v>44193</v>
      </c>
      <c r="D31" s="9" t="s">
        <v>69</v>
      </c>
      <c r="E31" s="10" t="s">
        <v>22</v>
      </c>
      <c r="F31" s="18">
        <v>0</v>
      </c>
      <c r="G31" s="12">
        <v>105.93</v>
      </c>
      <c r="H31" s="13">
        <f>F31*G31</f>
        <v>0</v>
      </c>
      <c r="I31" s="14"/>
      <c r="J31" s="14"/>
      <c r="K31" s="15"/>
      <c r="L31" s="14"/>
      <c r="M31" s="14"/>
      <c r="N31" s="14">
        <f t="shared" si="0"/>
        <v>0</v>
      </c>
      <c r="O31" s="14"/>
      <c r="P31" s="14" t="s">
        <v>23</v>
      </c>
      <c r="Q31" s="15">
        <f t="shared" si="3"/>
        <v>0</v>
      </c>
    </row>
    <row r="32" spans="2:17" s="17" customFormat="1" ht="15.75" x14ac:dyDescent="0.25">
      <c r="B32" s="7" t="s">
        <v>70</v>
      </c>
      <c r="C32" s="8">
        <v>44193</v>
      </c>
      <c r="D32" s="9" t="s">
        <v>71</v>
      </c>
      <c r="E32" s="10" t="s">
        <v>22</v>
      </c>
      <c r="F32" s="18">
        <v>2</v>
      </c>
      <c r="G32" s="12">
        <v>160</v>
      </c>
      <c r="H32" s="13">
        <f>F32*G32</f>
        <v>320</v>
      </c>
      <c r="I32" s="14"/>
      <c r="J32" s="14"/>
      <c r="K32" s="15"/>
      <c r="L32" s="14"/>
      <c r="M32" s="14">
        <v>1</v>
      </c>
      <c r="N32" s="14">
        <f t="shared" si="0"/>
        <v>1</v>
      </c>
      <c r="O32" s="14"/>
      <c r="P32" s="14" t="s">
        <v>23</v>
      </c>
      <c r="Q32" s="15">
        <f t="shared" si="3"/>
        <v>160</v>
      </c>
    </row>
    <row r="33" spans="2:17" s="16" customFormat="1" x14ac:dyDescent="0.3">
      <c r="B33" s="7" t="s">
        <v>72</v>
      </c>
      <c r="C33" s="8">
        <v>44449</v>
      </c>
      <c r="D33" s="9" t="s">
        <v>73</v>
      </c>
      <c r="E33" s="10" t="s">
        <v>22</v>
      </c>
      <c r="F33" s="18">
        <v>9</v>
      </c>
      <c r="G33" s="12">
        <v>600</v>
      </c>
      <c r="H33" s="13">
        <f t="shared" ref="H33:H61" si="4">F33*G33</f>
        <v>5400</v>
      </c>
      <c r="I33" s="14"/>
      <c r="J33" s="14"/>
      <c r="K33" s="15"/>
      <c r="L33" s="14"/>
      <c r="M33" s="14">
        <v>1</v>
      </c>
      <c r="N33" s="14">
        <f t="shared" si="0"/>
        <v>8</v>
      </c>
      <c r="O33" s="14"/>
      <c r="P33" s="14" t="s">
        <v>19</v>
      </c>
      <c r="Q33" s="15">
        <f t="shared" si="3"/>
        <v>4800</v>
      </c>
    </row>
    <row r="34" spans="2:17" s="17" customFormat="1" ht="15.75" x14ac:dyDescent="0.25">
      <c r="B34" s="7" t="s">
        <v>74</v>
      </c>
      <c r="C34" s="8">
        <v>44193</v>
      </c>
      <c r="D34" s="10" t="s">
        <v>75</v>
      </c>
      <c r="E34" s="10" t="s">
        <v>22</v>
      </c>
      <c r="F34" s="18">
        <f>20+23</f>
        <v>43</v>
      </c>
      <c r="G34" s="12">
        <v>200</v>
      </c>
      <c r="H34" s="13">
        <f t="shared" si="4"/>
        <v>8600</v>
      </c>
      <c r="I34" s="14"/>
      <c r="J34" s="14"/>
      <c r="K34" s="15"/>
      <c r="L34" s="14"/>
      <c r="M34" s="14"/>
      <c r="N34" s="14">
        <f t="shared" si="0"/>
        <v>43</v>
      </c>
      <c r="O34" s="14"/>
      <c r="P34" s="14" t="s">
        <v>59</v>
      </c>
      <c r="Q34" s="15">
        <f t="shared" si="3"/>
        <v>8600</v>
      </c>
    </row>
    <row r="35" spans="2:17" s="17" customFormat="1" ht="15.75" x14ac:dyDescent="0.25">
      <c r="B35" s="7" t="s">
        <v>76</v>
      </c>
      <c r="C35" s="8">
        <v>44193</v>
      </c>
      <c r="D35" s="10" t="s">
        <v>77</v>
      </c>
      <c r="E35" s="10" t="s">
        <v>22</v>
      </c>
      <c r="F35" s="18">
        <v>9</v>
      </c>
      <c r="G35" s="12">
        <v>200</v>
      </c>
      <c r="H35" s="13">
        <f t="shared" si="4"/>
        <v>1800</v>
      </c>
      <c r="I35" s="14"/>
      <c r="J35" s="14"/>
      <c r="K35" s="15"/>
      <c r="L35" s="14"/>
      <c r="M35" s="14"/>
      <c r="N35" s="14">
        <f t="shared" si="0"/>
        <v>9</v>
      </c>
      <c r="O35" s="14"/>
      <c r="P35" s="14" t="s">
        <v>59</v>
      </c>
      <c r="Q35" s="15">
        <f t="shared" si="3"/>
        <v>1800</v>
      </c>
    </row>
    <row r="36" spans="2:17" s="16" customFormat="1" x14ac:dyDescent="0.3">
      <c r="B36" s="7" t="s">
        <v>78</v>
      </c>
      <c r="C36" s="8">
        <v>44193</v>
      </c>
      <c r="D36" s="9" t="s">
        <v>79</v>
      </c>
      <c r="E36" s="10" t="s">
        <v>22</v>
      </c>
      <c r="F36" s="18">
        <v>36</v>
      </c>
      <c r="G36" s="12">
        <v>75</v>
      </c>
      <c r="H36" s="13">
        <f t="shared" si="4"/>
        <v>2700</v>
      </c>
      <c r="I36" s="14"/>
      <c r="J36" s="14"/>
      <c r="K36" s="12"/>
      <c r="L36" s="21"/>
      <c r="M36" s="14">
        <v>36</v>
      </c>
      <c r="N36" s="14">
        <f t="shared" si="0"/>
        <v>0</v>
      </c>
      <c r="O36" s="14"/>
      <c r="P36" s="14" t="s">
        <v>19</v>
      </c>
      <c r="Q36" s="15">
        <f>+G36*N36</f>
        <v>0</v>
      </c>
    </row>
    <row r="37" spans="2:17" s="17" customFormat="1" ht="15.75" x14ac:dyDescent="0.25">
      <c r="B37" s="7" t="s">
        <v>80</v>
      </c>
      <c r="C37" s="8">
        <v>44193</v>
      </c>
      <c r="D37" s="9" t="s">
        <v>81</v>
      </c>
      <c r="E37" s="10" t="s">
        <v>22</v>
      </c>
      <c r="F37" s="18">
        <v>0</v>
      </c>
      <c r="G37" s="12">
        <v>4.24</v>
      </c>
      <c r="H37" s="13">
        <f t="shared" si="4"/>
        <v>0</v>
      </c>
      <c r="I37" s="14"/>
      <c r="J37" s="14"/>
      <c r="K37" s="15"/>
      <c r="L37" s="14"/>
      <c r="M37" s="14"/>
      <c r="N37" s="14">
        <f t="shared" si="0"/>
        <v>0</v>
      </c>
      <c r="O37" s="14"/>
      <c r="P37" s="14" t="s">
        <v>23</v>
      </c>
      <c r="Q37" s="15">
        <f>+G37*N37</f>
        <v>0</v>
      </c>
    </row>
    <row r="38" spans="2:17" s="17" customFormat="1" ht="15.75" x14ac:dyDescent="0.25">
      <c r="B38" s="7" t="s">
        <v>82</v>
      </c>
      <c r="C38" s="8">
        <v>44193</v>
      </c>
      <c r="D38" s="9" t="s">
        <v>83</v>
      </c>
      <c r="E38" s="10" t="s">
        <v>22</v>
      </c>
      <c r="F38" s="18">
        <v>0</v>
      </c>
      <c r="G38" s="12">
        <v>3.39</v>
      </c>
      <c r="H38" s="13">
        <f t="shared" si="4"/>
        <v>0</v>
      </c>
      <c r="I38" s="14"/>
      <c r="J38" s="14"/>
      <c r="K38" s="15"/>
      <c r="L38" s="14"/>
      <c r="M38" s="14"/>
      <c r="N38" s="14">
        <f t="shared" si="0"/>
        <v>0</v>
      </c>
      <c r="O38" s="14"/>
      <c r="P38" s="14" t="s">
        <v>23</v>
      </c>
      <c r="Q38" s="15">
        <f t="shared" si="3"/>
        <v>0</v>
      </c>
    </row>
    <row r="39" spans="2:17" s="17" customFormat="1" ht="15.75" x14ac:dyDescent="0.25">
      <c r="B39" s="7" t="s">
        <v>84</v>
      </c>
      <c r="C39" s="8">
        <v>44193</v>
      </c>
      <c r="D39" s="10" t="s">
        <v>85</v>
      </c>
      <c r="E39" s="10" t="s">
        <v>22</v>
      </c>
      <c r="F39" s="18">
        <v>23</v>
      </c>
      <c r="G39" s="12">
        <v>1625</v>
      </c>
      <c r="H39" s="13">
        <f t="shared" si="4"/>
        <v>37375</v>
      </c>
      <c r="I39" s="14"/>
      <c r="J39" s="14"/>
      <c r="K39" s="15"/>
      <c r="L39" s="14"/>
      <c r="M39" s="14"/>
      <c r="N39" s="14">
        <f t="shared" si="0"/>
        <v>23</v>
      </c>
      <c r="O39" s="14"/>
      <c r="P39" s="14" t="s">
        <v>23</v>
      </c>
      <c r="Q39" s="15">
        <f t="shared" si="3"/>
        <v>37375</v>
      </c>
    </row>
    <row r="40" spans="2:17" s="17" customFormat="1" ht="15.75" x14ac:dyDescent="0.25">
      <c r="B40" s="7" t="s">
        <v>86</v>
      </c>
      <c r="C40" s="8">
        <v>44193</v>
      </c>
      <c r="D40" s="10" t="s">
        <v>87</v>
      </c>
      <c r="E40" s="10" t="s">
        <v>22</v>
      </c>
      <c r="F40" s="18">
        <v>0</v>
      </c>
      <c r="G40" s="12">
        <v>1625</v>
      </c>
      <c r="H40" s="13">
        <f t="shared" si="4"/>
        <v>0</v>
      </c>
      <c r="I40" s="14"/>
      <c r="J40" s="14"/>
      <c r="K40" s="15"/>
      <c r="L40" s="14"/>
      <c r="M40" s="14"/>
      <c r="N40" s="14">
        <f t="shared" si="0"/>
        <v>0</v>
      </c>
      <c r="O40" s="14"/>
      <c r="P40" s="14" t="s">
        <v>23</v>
      </c>
      <c r="Q40" s="15">
        <f t="shared" si="3"/>
        <v>0</v>
      </c>
    </row>
    <row r="41" spans="2:17" s="24" customFormat="1" ht="15.75" x14ac:dyDescent="0.25">
      <c r="B41" s="7" t="s">
        <v>88</v>
      </c>
      <c r="C41" s="22">
        <v>44852</v>
      </c>
      <c r="D41" s="10" t="s">
        <v>89</v>
      </c>
      <c r="E41" s="10" t="s">
        <v>22</v>
      </c>
      <c r="F41" s="18">
        <v>10</v>
      </c>
      <c r="G41" s="12">
        <v>26</v>
      </c>
      <c r="H41" s="13">
        <f t="shared" si="4"/>
        <v>260</v>
      </c>
      <c r="I41" s="23">
        <v>44852</v>
      </c>
      <c r="J41" s="14">
        <v>10</v>
      </c>
      <c r="K41" s="15">
        <v>26</v>
      </c>
      <c r="L41" s="21">
        <f>+J41*K41</f>
        <v>260</v>
      </c>
      <c r="M41" s="14">
        <v>1</v>
      </c>
      <c r="N41" s="14">
        <f t="shared" si="0"/>
        <v>19</v>
      </c>
      <c r="O41" s="14"/>
      <c r="P41" s="14" t="s">
        <v>59</v>
      </c>
      <c r="Q41" s="15">
        <f>+G41*N41</f>
        <v>494</v>
      </c>
    </row>
    <row r="42" spans="2:17" s="17" customFormat="1" ht="15.75" x14ac:dyDescent="0.25">
      <c r="B42" s="7" t="s">
        <v>90</v>
      </c>
      <c r="C42" s="8">
        <v>44488</v>
      </c>
      <c r="D42" s="9" t="s">
        <v>91</v>
      </c>
      <c r="E42" s="10" t="s">
        <v>22</v>
      </c>
      <c r="F42" s="25">
        <v>13</v>
      </c>
      <c r="G42" s="12">
        <v>40</v>
      </c>
      <c r="H42" s="13">
        <f t="shared" si="4"/>
        <v>520</v>
      </c>
      <c r="I42" s="14"/>
      <c r="J42" s="14"/>
      <c r="K42" s="15"/>
      <c r="L42" s="14"/>
      <c r="M42" s="14"/>
      <c r="N42" s="14">
        <f t="shared" si="0"/>
        <v>13</v>
      </c>
      <c r="O42" s="14"/>
      <c r="P42" s="14" t="s">
        <v>23</v>
      </c>
      <c r="Q42" s="15">
        <f t="shared" si="3"/>
        <v>520</v>
      </c>
    </row>
    <row r="43" spans="2:17" s="17" customFormat="1" ht="15.75" x14ac:dyDescent="0.25">
      <c r="B43" s="7" t="s">
        <v>92</v>
      </c>
      <c r="C43" s="8">
        <v>44193</v>
      </c>
      <c r="D43" s="10" t="s">
        <v>93</v>
      </c>
      <c r="E43" s="10" t="s">
        <v>22</v>
      </c>
      <c r="F43" s="18">
        <v>23</v>
      </c>
      <c r="G43" s="12">
        <v>2.4</v>
      </c>
      <c r="H43" s="13">
        <f t="shared" si="4"/>
        <v>55.199999999999996</v>
      </c>
      <c r="I43" s="14"/>
      <c r="J43" s="14"/>
      <c r="K43" s="15"/>
      <c r="L43" s="14"/>
      <c r="M43" s="14">
        <f>12+2</f>
        <v>14</v>
      </c>
      <c r="N43" s="14">
        <f t="shared" si="0"/>
        <v>9</v>
      </c>
      <c r="O43" s="14"/>
      <c r="P43" s="14" t="s">
        <v>59</v>
      </c>
      <c r="Q43" s="15">
        <f t="shared" si="3"/>
        <v>21.599999999999998</v>
      </c>
    </row>
    <row r="44" spans="2:17" s="17" customFormat="1" ht="15.75" x14ac:dyDescent="0.25">
      <c r="B44" s="7" t="s">
        <v>94</v>
      </c>
      <c r="C44" s="8">
        <v>44193</v>
      </c>
      <c r="D44" s="9" t="s">
        <v>95</v>
      </c>
      <c r="E44" s="10" t="s">
        <v>22</v>
      </c>
      <c r="F44" s="11">
        <v>0</v>
      </c>
      <c r="G44" s="12">
        <v>700</v>
      </c>
      <c r="H44" s="13">
        <f t="shared" si="4"/>
        <v>0</v>
      </c>
      <c r="I44" s="14"/>
      <c r="J44" s="14"/>
      <c r="K44" s="15"/>
      <c r="L44" s="14"/>
      <c r="M44" s="14"/>
      <c r="N44" s="14">
        <f t="shared" si="0"/>
        <v>0</v>
      </c>
      <c r="O44" s="14"/>
      <c r="P44" s="14" t="s">
        <v>23</v>
      </c>
      <c r="Q44" s="15">
        <f t="shared" si="3"/>
        <v>0</v>
      </c>
    </row>
    <row r="45" spans="2:17" s="17" customFormat="1" ht="15.75" x14ac:dyDescent="0.25">
      <c r="B45" s="7" t="s">
        <v>96</v>
      </c>
      <c r="C45" s="8">
        <v>44193</v>
      </c>
      <c r="D45" s="10" t="s">
        <v>97</v>
      </c>
      <c r="E45" s="10" t="s">
        <v>22</v>
      </c>
      <c r="F45" s="18">
        <v>1</v>
      </c>
      <c r="G45" s="12">
        <v>35</v>
      </c>
      <c r="H45" s="13">
        <f t="shared" si="4"/>
        <v>35</v>
      </c>
      <c r="I45" s="14"/>
      <c r="J45" s="14"/>
      <c r="K45" s="15"/>
      <c r="L45" s="14"/>
      <c r="M45" s="14"/>
      <c r="N45" s="14">
        <f t="shared" si="0"/>
        <v>1</v>
      </c>
      <c r="O45" s="14"/>
      <c r="P45" s="14" t="s">
        <v>59</v>
      </c>
      <c r="Q45" s="15">
        <f t="shared" si="3"/>
        <v>35</v>
      </c>
    </row>
    <row r="46" spans="2:17" s="16" customFormat="1" x14ac:dyDescent="0.3">
      <c r="B46" s="7" t="s">
        <v>98</v>
      </c>
      <c r="C46" s="8">
        <v>44193</v>
      </c>
      <c r="D46" s="10" t="s">
        <v>99</v>
      </c>
      <c r="E46" s="10" t="s">
        <v>22</v>
      </c>
      <c r="F46" s="18">
        <v>0</v>
      </c>
      <c r="G46" s="12">
        <v>2719</v>
      </c>
      <c r="H46" s="13">
        <f t="shared" si="4"/>
        <v>0</v>
      </c>
      <c r="I46" s="14"/>
      <c r="J46" s="14"/>
      <c r="K46" s="15"/>
      <c r="L46" s="14"/>
      <c r="M46" s="14"/>
      <c r="N46" s="14">
        <f t="shared" si="0"/>
        <v>0</v>
      </c>
      <c r="O46" s="14"/>
      <c r="P46" s="14" t="s">
        <v>19</v>
      </c>
      <c r="Q46" s="15">
        <f t="shared" si="3"/>
        <v>0</v>
      </c>
    </row>
    <row r="47" spans="2:17" s="17" customFormat="1" ht="15.75" x14ac:dyDescent="0.25">
      <c r="B47" s="7" t="s">
        <v>100</v>
      </c>
      <c r="C47" s="8">
        <v>44193</v>
      </c>
      <c r="D47" s="9" t="s">
        <v>101</v>
      </c>
      <c r="E47" s="10" t="s">
        <v>22</v>
      </c>
      <c r="F47" s="18">
        <v>2</v>
      </c>
      <c r="G47" s="12">
        <v>600</v>
      </c>
      <c r="H47" s="13">
        <f t="shared" si="4"/>
        <v>1200</v>
      </c>
      <c r="I47" s="14"/>
      <c r="J47" s="14"/>
      <c r="K47" s="15"/>
      <c r="L47" s="14"/>
      <c r="M47" s="14"/>
      <c r="N47" s="14">
        <f t="shared" si="0"/>
        <v>2</v>
      </c>
      <c r="O47" s="14"/>
      <c r="P47" s="14" t="s">
        <v>23</v>
      </c>
      <c r="Q47" s="15">
        <f t="shared" si="3"/>
        <v>1200</v>
      </c>
    </row>
    <row r="48" spans="2:17" s="17" customFormat="1" ht="15.75" x14ac:dyDescent="0.25">
      <c r="B48" s="7" t="s">
        <v>102</v>
      </c>
      <c r="C48" s="8">
        <v>44678</v>
      </c>
      <c r="D48" s="9" t="s">
        <v>103</v>
      </c>
      <c r="E48" s="10" t="s">
        <v>22</v>
      </c>
      <c r="F48" s="11">
        <v>5</v>
      </c>
      <c r="G48" s="12">
        <v>1400</v>
      </c>
      <c r="H48" s="13">
        <f t="shared" si="4"/>
        <v>7000</v>
      </c>
      <c r="I48" s="14"/>
      <c r="J48" s="14"/>
      <c r="K48" s="15"/>
      <c r="L48" s="14"/>
      <c r="M48" s="14"/>
      <c r="N48" s="14">
        <f t="shared" si="0"/>
        <v>5</v>
      </c>
      <c r="O48" s="14"/>
      <c r="P48" s="14" t="s">
        <v>23</v>
      </c>
      <c r="Q48" s="15">
        <f t="shared" si="3"/>
        <v>7000</v>
      </c>
    </row>
    <row r="49" spans="2:17" s="17" customFormat="1" ht="15.75" x14ac:dyDescent="0.25">
      <c r="B49" s="7" t="s">
        <v>104</v>
      </c>
      <c r="C49" s="8">
        <v>44678</v>
      </c>
      <c r="D49" s="9" t="s">
        <v>105</v>
      </c>
      <c r="E49" s="10" t="s">
        <v>22</v>
      </c>
      <c r="F49" s="11">
        <v>10</v>
      </c>
      <c r="G49" s="12">
        <v>500</v>
      </c>
      <c r="H49" s="13">
        <f t="shared" si="4"/>
        <v>5000</v>
      </c>
      <c r="I49" s="14"/>
      <c r="J49" s="14"/>
      <c r="K49" s="15"/>
      <c r="L49" s="14"/>
      <c r="M49" s="14"/>
      <c r="N49" s="14">
        <f t="shared" si="0"/>
        <v>10</v>
      </c>
      <c r="O49" s="14"/>
      <c r="P49" s="14" t="s">
        <v>23</v>
      </c>
      <c r="Q49" s="15">
        <f t="shared" si="3"/>
        <v>5000</v>
      </c>
    </row>
    <row r="50" spans="2:17" s="17" customFormat="1" ht="15.75" x14ac:dyDescent="0.25">
      <c r="B50" s="7" t="s">
        <v>106</v>
      </c>
      <c r="C50" s="8">
        <v>44678</v>
      </c>
      <c r="D50" s="9" t="s">
        <v>107</v>
      </c>
      <c r="E50" s="10" t="s">
        <v>22</v>
      </c>
      <c r="F50" s="11">
        <v>6</v>
      </c>
      <c r="G50" s="12">
        <v>5000</v>
      </c>
      <c r="H50" s="13">
        <f t="shared" si="4"/>
        <v>30000</v>
      </c>
      <c r="I50" s="14"/>
      <c r="J50" s="14"/>
      <c r="K50" s="15"/>
      <c r="L50" s="14"/>
      <c r="M50" s="14"/>
      <c r="N50" s="14">
        <f t="shared" si="0"/>
        <v>6</v>
      </c>
      <c r="O50" s="14"/>
      <c r="P50" s="14" t="s">
        <v>23</v>
      </c>
      <c r="Q50" s="15">
        <f t="shared" si="3"/>
        <v>30000</v>
      </c>
    </row>
    <row r="51" spans="2:17" s="17" customFormat="1" ht="15.75" x14ac:dyDescent="0.25">
      <c r="B51" s="7" t="s">
        <v>108</v>
      </c>
      <c r="C51" s="8">
        <v>44193</v>
      </c>
      <c r="D51" s="9" t="s">
        <v>109</v>
      </c>
      <c r="E51" s="10" t="s">
        <v>22</v>
      </c>
      <c r="F51" s="11">
        <v>6</v>
      </c>
      <c r="G51" s="12">
        <v>2600</v>
      </c>
      <c r="H51" s="13">
        <f t="shared" si="4"/>
        <v>15600</v>
      </c>
      <c r="I51" s="14"/>
      <c r="J51" s="14"/>
      <c r="K51" s="15"/>
      <c r="L51" s="14"/>
      <c r="M51" s="14"/>
      <c r="N51" s="14">
        <f t="shared" si="0"/>
        <v>6</v>
      </c>
      <c r="O51" s="14"/>
      <c r="P51" s="14" t="s">
        <v>23</v>
      </c>
      <c r="Q51" s="15">
        <f t="shared" si="3"/>
        <v>15600</v>
      </c>
    </row>
    <row r="52" spans="2:17" s="16" customFormat="1" x14ac:dyDescent="0.3">
      <c r="B52" s="7" t="s">
        <v>110</v>
      </c>
      <c r="C52" s="8">
        <v>44193</v>
      </c>
      <c r="D52" s="9" t="s">
        <v>111</v>
      </c>
      <c r="E52" s="10" t="s">
        <v>22</v>
      </c>
      <c r="F52" s="11">
        <v>2</v>
      </c>
      <c r="G52" s="12">
        <v>325</v>
      </c>
      <c r="H52" s="13">
        <f t="shared" si="4"/>
        <v>650</v>
      </c>
      <c r="I52" s="14"/>
      <c r="J52" s="14"/>
      <c r="K52" s="15"/>
      <c r="L52" s="14"/>
      <c r="M52" s="14">
        <v>2</v>
      </c>
      <c r="N52" s="14">
        <f t="shared" si="0"/>
        <v>0</v>
      </c>
      <c r="O52" s="14"/>
      <c r="P52" s="14" t="s">
        <v>19</v>
      </c>
      <c r="Q52" s="15">
        <f t="shared" si="3"/>
        <v>0</v>
      </c>
    </row>
    <row r="53" spans="2:17" s="16" customFormat="1" x14ac:dyDescent="0.3">
      <c r="B53" s="7" t="s">
        <v>112</v>
      </c>
      <c r="C53" s="8">
        <v>44193</v>
      </c>
      <c r="D53" s="9" t="s">
        <v>113</v>
      </c>
      <c r="E53" s="10" t="s">
        <v>22</v>
      </c>
      <c r="F53" s="11">
        <f>(43*3)+1</f>
        <v>130</v>
      </c>
      <c r="G53" s="12">
        <v>25</v>
      </c>
      <c r="H53" s="13">
        <f t="shared" si="4"/>
        <v>3250</v>
      </c>
      <c r="I53" s="14"/>
      <c r="J53" s="14"/>
      <c r="K53" s="15"/>
      <c r="L53" s="14"/>
      <c r="M53" s="14">
        <f>1+3+1+5+1</f>
        <v>11</v>
      </c>
      <c r="N53" s="14">
        <f t="shared" si="0"/>
        <v>119</v>
      </c>
      <c r="O53" s="14"/>
      <c r="P53" s="14" t="s">
        <v>19</v>
      </c>
      <c r="Q53" s="15">
        <f t="shared" si="3"/>
        <v>2975</v>
      </c>
    </row>
    <row r="54" spans="2:17" s="16" customFormat="1" x14ac:dyDescent="0.3">
      <c r="B54" s="7" t="s">
        <v>114</v>
      </c>
      <c r="C54" s="22">
        <v>45019</v>
      </c>
      <c r="D54" s="9" t="s">
        <v>115</v>
      </c>
      <c r="E54" s="10" t="s">
        <v>22</v>
      </c>
      <c r="F54" s="11">
        <v>276</v>
      </c>
      <c r="G54" s="12">
        <v>122.19</v>
      </c>
      <c r="H54" s="13">
        <f t="shared" si="4"/>
        <v>33724.44</v>
      </c>
      <c r="I54" s="23">
        <v>45019</v>
      </c>
      <c r="J54" s="14">
        <v>300</v>
      </c>
      <c r="K54" s="15">
        <v>122.19</v>
      </c>
      <c r="L54" s="15">
        <f>+J54*K54</f>
        <v>36657</v>
      </c>
      <c r="M54" s="14">
        <f>124+2+2+2+3</f>
        <v>133</v>
      </c>
      <c r="N54" s="14">
        <f t="shared" si="0"/>
        <v>443</v>
      </c>
      <c r="O54" s="14"/>
      <c r="P54" s="14" t="s">
        <v>19</v>
      </c>
      <c r="Q54" s="15">
        <f t="shared" si="3"/>
        <v>54130.17</v>
      </c>
    </row>
    <row r="55" spans="2:17" s="17" customFormat="1" ht="15.75" x14ac:dyDescent="0.25">
      <c r="B55" s="7" t="s">
        <v>116</v>
      </c>
      <c r="C55" s="22">
        <v>44851</v>
      </c>
      <c r="D55" s="9" t="s">
        <v>117</v>
      </c>
      <c r="E55" s="10" t="s">
        <v>22</v>
      </c>
      <c r="F55" s="11"/>
      <c r="G55" s="19">
        <v>107.97</v>
      </c>
      <c r="H55" s="13">
        <f t="shared" si="4"/>
        <v>0</v>
      </c>
      <c r="I55" s="23">
        <v>44851</v>
      </c>
      <c r="J55" s="14">
        <v>30</v>
      </c>
      <c r="K55" s="15">
        <v>107.97</v>
      </c>
      <c r="L55" s="15">
        <f>+J55*K55</f>
        <v>3239.1</v>
      </c>
      <c r="M55" s="14">
        <f>2+1+1</f>
        <v>4</v>
      </c>
      <c r="N55" s="14">
        <f t="shared" si="0"/>
        <v>26</v>
      </c>
      <c r="O55" s="14"/>
      <c r="P55" s="14" t="s">
        <v>23</v>
      </c>
      <c r="Q55" s="15">
        <f>+G55*N55</f>
        <v>2807.22</v>
      </c>
    </row>
    <row r="56" spans="2:17" s="17" customFormat="1" ht="15.75" x14ac:dyDescent="0.25">
      <c r="B56" s="7" t="s">
        <v>118</v>
      </c>
      <c r="C56" s="8">
        <v>44193</v>
      </c>
      <c r="D56" s="9" t="s">
        <v>119</v>
      </c>
      <c r="E56" s="10" t="s">
        <v>22</v>
      </c>
      <c r="F56" s="11"/>
      <c r="G56" s="12">
        <v>169.49</v>
      </c>
      <c r="H56" s="13">
        <f t="shared" si="4"/>
        <v>0</v>
      </c>
      <c r="I56" s="14"/>
      <c r="J56" s="14"/>
      <c r="K56" s="15"/>
      <c r="L56" s="14">
        <f t="shared" ref="L56:L65" si="5">+J56*K56</f>
        <v>0</v>
      </c>
      <c r="M56" s="14">
        <v>2</v>
      </c>
      <c r="N56" s="14">
        <f t="shared" si="0"/>
        <v>-2</v>
      </c>
      <c r="O56" s="14"/>
      <c r="P56" s="14" t="s">
        <v>23</v>
      </c>
      <c r="Q56" s="15">
        <f t="shared" si="3"/>
        <v>-338.98</v>
      </c>
    </row>
    <row r="57" spans="2:17" s="17" customFormat="1" x14ac:dyDescent="0.25">
      <c r="B57" s="7" t="s">
        <v>120</v>
      </c>
      <c r="C57" s="8">
        <v>44193</v>
      </c>
      <c r="D57" s="9" t="s">
        <v>121</v>
      </c>
      <c r="E57" s="10" t="s">
        <v>22</v>
      </c>
      <c r="F57" s="11"/>
      <c r="G57" s="12">
        <v>76.27</v>
      </c>
      <c r="H57" s="13">
        <f t="shared" si="4"/>
        <v>0</v>
      </c>
      <c r="I57" s="14"/>
      <c r="J57" s="14"/>
      <c r="K57" s="15"/>
      <c r="L57" s="14">
        <f t="shared" si="5"/>
        <v>0</v>
      </c>
      <c r="M57" s="43"/>
      <c r="N57" s="14">
        <f t="shared" si="0"/>
        <v>0</v>
      </c>
      <c r="O57" s="14"/>
      <c r="P57" s="14" t="s">
        <v>23</v>
      </c>
      <c r="Q57" s="15">
        <f t="shared" si="3"/>
        <v>0</v>
      </c>
    </row>
    <row r="58" spans="2:17" s="17" customFormat="1" ht="15.75" x14ac:dyDescent="0.25">
      <c r="B58" s="7" t="s">
        <v>122</v>
      </c>
      <c r="C58" s="8">
        <v>44193</v>
      </c>
      <c r="D58" s="9" t="s">
        <v>123</v>
      </c>
      <c r="E58" s="10" t="s">
        <v>22</v>
      </c>
      <c r="F58" s="11"/>
      <c r="G58" s="12">
        <v>93.22</v>
      </c>
      <c r="H58" s="13">
        <f t="shared" si="4"/>
        <v>0</v>
      </c>
      <c r="I58" s="14"/>
      <c r="J58" s="14"/>
      <c r="K58" s="15"/>
      <c r="L58" s="14">
        <f t="shared" si="5"/>
        <v>0</v>
      </c>
      <c r="M58" s="14"/>
      <c r="N58" s="14">
        <f t="shared" si="0"/>
        <v>0</v>
      </c>
      <c r="O58" s="14"/>
      <c r="P58" s="14" t="s">
        <v>23</v>
      </c>
      <c r="Q58" s="15">
        <f t="shared" si="3"/>
        <v>0</v>
      </c>
    </row>
    <row r="59" spans="2:17" s="17" customFormat="1" ht="15.75" x14ac:dyDescent="0.25">
      <c r="B59" s="7" t="s">
        <v>124</v>
      </c>
      <c r="C59" s="22">
        <v>44851</v>
      </c>
      <c r="D59" s="9" t="s">
        <v>125</v>
      </c>
      <c r="E59" s="10" t="s">
        <v>22</v>
      </c>
      <c r="F59" s="11"/>
      <c r="G59" s="12">
        <v>171.69</v>
      </c>
      <c r="H59" s="13">
        <f t="shared" si="4"/>
        <v>0</v>
      </c>
      <c r="I59" s="23">
        <v>44851</v>
      </c>
      <c r="J59" s="14">
        <v>30</v>
      </c>
      <c r="K59" s="15">
        <v>171.69</v>
      </c>
      <c r="L59" s="15">
        <f t="shared" si="5"/>
        <v>5150.7</v>
      </c>
      <c r="M59" s="14">
        <v>2</v>
      </c>
      <c r="N59" s="14">
        <f t="shared" si="0"/>
        <v>28</v>
      </c>
      <c r="O59" s="14"/>
      <c r="P59" s="14" t="s">
        <v>23</v>
      </c>
      <c r="Q59" s="15">
        <f t="shared" si="3"/>
        <v>4807.32</v>
      </c>
    </row>
    <row r="60" spans="2:17" s="17" customFormat="1" ht="15.75" x14ac:dyDescent="0.25">
      <c r="B60" s="7" t="s">
        <v>126</v>
      </c>
      <c r="C60" s="8">
        <v>44453</v>
      </c>
      <c r="D60" s="10" t="s">
        <v>127</v>
      </c>
      <c r="E60" s="10" t="s">
        <v>22</v>
      </c>
      <c r="F60" s="7">
        <v>0</v>
      </c>
      <c r="G60" s="12">
        <v>3000</v>
      </c>
      <c r="H60" s="13">
        <f t="shared" si="4"/>
        <v>0</v>
      </c>
      <c r="I60" s="14"/>
      <c r="J60" s="14"/>
      <c r="K60" s="15"/>
      <c r="L60" s="14">
        <f t="shared" si="5"/>
        <v>0</v>
      </c>
      <c r="M60" s="14"/>
      <c r="N60" s="14">
        <f t="shared" si="0"/>
        <v>0</v>
      </c>
      <c r="O60" s="14"/>
      <c r="P60" s="14" t="s">
        <v>23</v>
      </c>
      <c r="Q60" s="15">
        <f t="shared" si="3"/>
        <v>0</v>
      </c>
    </row>
    <row r="61" spans="2:17" s="17" customFormat="1" ht="15.75" x14ac:dyDescent="0.25">
      <c r="B61" s="7" t="s">
        <v>128</v>
      </c>
      <c r="C61" s="8">
        <v>44193</v>
      </c>
      <c r="D61" s="9" t="s">
        <v>129</v>
      </c>
      <c r="E61" s="10" t="s">
        <v>22</v>
      </c>
      <c r="F61" s="11">
        <v>0</v>
      </c>
      <c r="G61" s="12">
        <v>63.56</v>
      </c>
      <c r="H61" s="13">
        <f t="shared" si="4"/>
        <v>0</v>
      </c>
      <c r="I61" s="14"/>
      <c r="J61" s="14"/>
      <c r="K61" s="15"/>
      <c r="L61" s="14">
        <f t="shared" si="5"/>
        <v>0</v>
      </c>
      <c r="M61" s="14"/>
      <c r="N61" s="14">
        <f t="shared" si="0"/>
        <v>0</v>
      </c>
      <c r="O61" s="14"/>
      <c r="P61" s="14" t="s">
        <v>23</v>
      </c>
      <c r="Q61" s="15">
        <f t="shared" si="3"/>
        <v>0</v>
      </c>
    </row>
    <row r="62" spans="2:17" s="17" customFormat="1" ht="15.75" x14ac:dyDescent="0.25">
      <c r="B62" s="7" t="s">
        <v>130</v>
      </c>
      <c r="C62" s="8">
        <v>44193</v>
      </c>
      <c r="D62" s="9" t="s">
        <v>131</v>
      </c>
      <c r="E62" s="10" t="s">
        <v>22</v>
      </c>
      <c r="F62" s="11">
        <v>2</v>
      </c>
      <c r="G62" s="12"/>
      <c r="H62" s="13"/>
      <c r="I62" s="14"/>
      <c r="J62" s="14"/>
      <c r="K62" s="15"/>
      <c r="L62" s="14">
        <f t="shared" si="5"/>
        <v>0</v>
      </c>
      <c r="M62" s="14"/>
      <c r="N62" s="14">
        <f t="shared" si="0"/>
        <v>2</v>
      </c>
      <c r="O62" s="14"/>
      <c r="P62" s="14" t="s">
        <v>23</v>
      </c>
      <c r="Q62" s="15">
        <f t="shared" si="3"/>
        <v>0</v>
      </c>
    </row>
    <row r="63" spans="2:17" s="17" customFormat="1" ht="15.75" x14ac:dyDescent="0.25">
      <c r="B63" s="7" t="s">
        <v>132</v>
      </c>
      <c r="C63" s="8">
        <v>44193</v>
      </c>
      <c r="D63" s="9" t="s">
        <v>133</v>
      </c>
      <c r="E63" s="10" t="s">
        <v>22</v>
      </c>
      <c r="F63" s="11">
        <v>7</v>
      </c>
      <c r="G63" s="12"/>
      <c r="H63" s="13"/>
      <c r="I63" s="14"/>
      <c r="J63" s="14"/>
      <c r="K63" s="15"/>
      <c r="L63" s="14">
        <f t="shared" si="5"/>
        <v>0</v>
      </c>
      <c r="M63" s="14"/>
      <c r="N63" s="14">
        <f t="shared" si="0"/>
        <v>7</v>
      </c>
      <c r="O63" s="14"/>
      <c r="P63" s="14" t="s">
        <v>23</v>
      </c>
      <c r="Q63" s="15">
        <f t="shared" si="3"/>
        <v>0</v>
      </c>
    </row>
    <row r="64" spans="2:17" s="17" customFormat="1" ht="15.75" x14ac:dyDescent="0.25">
      <c r="B64" s="7" t="s">
        <v>134</v>
      </c>
      <c r="C64" s="8">
        <v>44193</v>
      </c>
      <c r="D64" s="9" t="s">
        <v>135</v>
      </c>
      <c r="E64" s="10" t="s">
        <v>22</v>
      </c>
      <c r="F64" s="11">
        <v>8</v>
      </c>
      <c r="G64" s="12"/>
      <c r="H64" s="13"/>
      <c r="I64" s="14"/>
      <c r="J64" s="14"/>
      <c r="K64" s="15"/>
      <c r="L64" s="14">
        <f t="shared" si="5"/>
        <v>0</v>
      </c>
      <c r="M64" s="14"/>
      <c r="N64" s="14">
        <f t="shared" si="0"/>
        <v>8</v>
      </c>
      <c r="O64" s="14"/>
      <c r="P64" s="14" t="s">
        <v>23</v>
      </c>
      <c r="Q64" s="15">
        <f t="shared" si="3"/>
        <v>0</v>
      </c>
    </row>
    <row r="65" spans="2:17" s="17" customFormat="1" ht="15.75" x14ac:dyDescent="0.25">
      <c r="B65" s="7" t="s">
        <v>136</v>
      </c>
      <c r="C65" s="7" t="s">
        <v>137</v>
      </c>
      <c r="D65" s="9" t="s">
        <v>138</v>
      </c>
      <c r="E65" s="10" t="s">
        <v>22</v>
      </c>
      <c r="F65" s="11">
        <v>1</v>
      </c>
      <c r="G65" s="19">
        <v>3000</v>
      </c>
      <c r="H65" s="13">
        <f>F65*G65</f>
        <v>3000</v>
      </c>
      <c r="I65" s="14"/>
      <c r="J65" s="14"/>
      <c r="K65" s="15"/>
      <c r="L65" s="14">
        <f t="shared" si="5"/>
        <v>0</v>
      </c>
      <c r="M65" s="14">
        <v>2</v>
      </c>
      <c r="N65" s="14">
        <f t="shared" si="0"/>
        <v>-1</v>
      </c>
      <c r="O65" s="14"/>
      <c r="P65" s="14" t="s">
        <v>59</v>
      </c>
      <c r="Q65" s="15">
        <f t="shared" si="3"/>
        <v>-3000</v>
      </c>
    </row>
    <row r="66" spans="2:17" s="17" customFormat="1" ht="15.75" x14ac:dyDescent="0.25">
      <c r="B66" s="7" t="s">
        <v>139</v>
      </c>
      <c r="C66" s="8">
        <v>44193</v>
      </c>
      <c r="D66" s="9" t="s">
        <v>140</v>
      </c>
      <c r="E66" s="10" t="s">
        <v>22</v>
      </c>
      <c r="F66" s="11">
        <v>0</v>
      </c>
      <c r="G66" s="12">
        <v>35</v>
      </c>
      <c r="H66" s="13">
        <f t="shared" ref="H66:H87" si="6">F66*G66</f>
        <v>0</v>
      </c>
      <c r="I66" s="14"/>
      <c r="J66" s="14"/>
      <c r="K66" s="15"/>
      <c r="L66" s="14"/>
      <c r="M66" s="14"/>
      <c r="N66" s="14">
        <f t="shared" si="0"/>
        <v>0</v>
      </c>
      <c r="O66" s="14"/>
      <c r="P66" s="14" t="s">
        <v>23</v>
      </c>
      <c r="Q66" s="15">
        <f t="shared" si="3"/>
        <v>0</v>
      </c>
    </row>
    <row r="67" spans="2:17" s="17" customFormat="1" ht="15.75" x14ac:dyDescent="0.25">
      <c r="B67" s="7" t="s">
        <v>141</v>
      </c>
      <c r="C67" s="8">
        <v>44193</v>
      </c>
      <c r="D67" s="9" t="s">
        <v>142</v>
      </c>
      <c r="E67" s="10" t="s">
        <v>22</v>
      </c>
      <c r="F67" s="18">
        <v>1</v>
      </c>
      <c r="G67" s="12">
        <v>97.96</v>
      </c>
      <c r="H67" s="13">
        <f t="shared" si="6"/>
        <v>97.96</v>
      </c>
      <c r="I67" s="14"/>
      <c r="J67" s="14"/>
      <c r="K67" s="15"/>
      <c r="L67" s="14"/>
      <c r="M67" s="14"/>
      <c r="N67" s="14">
        <f t="shared" si="0"/>
        <v>1</v>
      </c>
      <c r="O67" s="14"/>
      <c r="P67" s="14" t="s">
        <v>23</v>
      </c>
      <c r="Q67" s="15">
        <f t="shared" si="3"/>
        <v>97.96</v>
      </c>
    </row>
    <row r="68" spans="2:17" s="17" customFormat="1" ht="15.75" x14ac:dyDescent="0.25">
      <c r="B68" s="7" t="s">
        <v>143</v>
      </c>
      <c r="C68" s="8">
        <v>44193</v>
      </c>
      <c r="D68" s="10" t="s">
        <v>144</v>
      </c>
      <c r="E68" s="10" t="s">
        <v>22</v>
      </c>
      <c r="F68" s="25">
        <v>225</v>
      </c>
      <c r="G68" s="12">
        <v>18</v>
      </c>
      <c r="H68" s="13">
        <f t="shared" si="6"/>
        <v>4050</v>
      </c>
      <c r="I68" s="14"/>
      <c r="J68" s="14"/>
      <c r="K68" s="15"/>
      <c r="L68" s="14"/>
      <c r="M68" s="14"/>
      <c r="N68" s="14">
        <f t="shared" si="0"/>
        <v>225</v>
      </c>
      <c r="O68" s="14"/>
      <c r="P68" s="14" t="s">
        <v>59</v>
      </c>
      <c r="Q68" s="15">
        <f t="shared" si="3"/>
        <v>4050</v>
      </c>
    </row>
    <row r="69" spans="2:17" s="17" customFormat="1" ht="15.75" x14ac:dyDescent="0.25">
      <c r="B69" s="7" t="s">
        <v>145</v>
      </c>
      <c r="C69" s="8">
        <v>44193</v>
      </c>
      <c r="D69" s="10" t="s">
        <v>146</v>
      </c>
      <c r="E69" s="10" t="s">
        <v>22</v>
      </c>
      <c r="F69" s="7">
        <v>0</v>
      </c>
      <c r="G69" s="12">
        <v>114</v>
      </c>
      <c r="H69" s="13">
        <f t="shared" si="6"/>
        <v>0</v>
      </c>
      <c r="I69" s="14"/>
      <c r="J69" s="14"/>
      <c r="K69" s="15"/>
      <c r="L69" s="14"/>
      <c r="M69" s="14"/>
      <c r="N69" s="14">
        <f t="shared" si="0"/>
        <v>0</v>
      </c>
      <c r="O69" s="14"/>
      <c r="P69" s="14" t="s">
        <v>59</v>
      </c>
      <c r="Q69" s="15">
        <f t="shared" si="3"/>
        <v>0</v>
      </c>
    </row>
    <row r="70" spans="2:17" s="17" customFormat="1" ht="15.75" x14ac:dyDescent="0.25">
      <c r="B70" s="7" t="s">
        <v>147</v>
      </c>
      <c r="C70" s="8">
        <v>44193</v>
      </c>
      <c r="D70" s="10" t="s">
        <v>148</v>
      </c>
      <c r="E70" s="10" t="s">
        <v>22</v>
      </c>
      <c r="F70" s="7">
        <v>50</v>
      </c>
      <c r="G70" s="12">
        <v>150</v>
      </c>
      <c r="H70" s="13">
        <f t="shared" si="6"/>
        <v>7500</v>
      </c>
      <c r="I70" s="14"/>
      <c r="J70" s="14"/>
      <c r="K70" s="15"/>
      <c r="L70" s="14"/>
      <c r="M70" s="14"/>
      <c r="N70" s="14">
        <f t="shared" si="0"/>
        <v>50</v>
      </c>
      <c r="O70" s="14"/>
      <c r="P70" s="14" t="s">
        <v>59</v>
      </c>
      <c r="Q70" s="15">
        <f t="shared" si="3"/>
        <v>7500</v>
      </c>
    </row>
    <row r="71" spans="2:17" s="17" customFormat="1" ht="15.75" x14ac:dyDescent="0.25">
      <c r="B71" s="7" t="s">
        <v>149</v>
      </c>
      <c r="C71" s="8">
        <v>44193</v>
      </c>
      <c r="D71" s="9" t="s">
        <v>150</v>
      </c>
      <c r="E71" s="10" t="s">
        <v>22</v>
      </c>
      <c r="F71" s="11">
        <v>0</v>
      </c>
      <c r="G71" s="12">
        <v>105.93</v>
      </c>
      <c r="H71" s="13">
        <f t="shared" si="6"/>
        <v>0</v>
      </c>
      <c r="I71" s="14"/>
      <c r="J71" s="14"/>
      <c r="K71" s="15"/>
      <c r="L71" s="14"/>
      <c r="M71" s="14"/>
      <c r="N71" s="14">
        <f t="shared" si="0"/>
        <v>0</v>
      </c>
      <c r="O71" s="14"/>
      <c r="P71" s="14" t="s">
        <v>23</v>
      </c>
      <c r="Q71" s="15">
        <f t="shared" si="3"/>
        <v>0</v>
      </c>
    </row>
    <row r="72" spans="2:17" s="17" customFormat="1" ht="15.75" x14ac:dyDescent="0.25">
      <c r="B72" s="7" t="s">
        <v>151</v>
      </c>
      <c r="C72" s="8">
        <v>44193</v>
      </c>
      <c r="D72" s="9" t="s">
        <v>152</v>
      </c>
      <c r="E72" s="10" t="s">
        <v>22</v>
      </c>
      <c r="F72" s="11">
        <v>1</v>
      </c>
      <c r="G72" s="12">
        <v>762.71</v>
      </c>
      <c r="H72" s="13">
        <f t="shared" si="6"/>
        <v>762.71</v>
      </c>
      <c r="I72" s="14"/>
      <c r="J72" s="14"/>
      <c r="K72" s="15"/>
      <c r="L72" s="14"/>
      <c r="M72" s="14"/>
      <c r="N72" s="14">
        <f t="shared" si="0"/>
        <v>1</v>
      </c>
      <c r="O72" s="14"/>
      <c r="P72" s="14" t="s">
        <v>23</v>
      </c>
      <c r="Q72" s="15">
        <f t="shared" si="3"/>
        <v>762.71</v>
      </c>
    </row>
    <row r="73" spans="2:17" s="17" customFormat="1" ht="15.75" x14ac:dyDescent="0.25">
      <c r="B73" s="7" t="s">
        <v>153</v>
      </c>
      <c r="C73" s="8">
        <v>44193</v>
      </c>
      <c r="D73" s="9" t="s">
        <v>154</v>
      </c>
      <c r="E73" s="10" t="s">
        <v>22</v>
      </c>
      <c r="F73" s="11">
        <v>0</v>
      </c>
      <c r="G73" s="12">
        <v>338.98</v>
      </c>
      <c r="H73" s="13">
        <f t="shared" si="6"/>
        <v>0</v>
      </c>
      <c r="I73" s="14"/>
      <c r="J73" s="14"/>
      <c r="K73" s="15"/>
      <c r="L73" s="14"/>
      <c r="M73" s="14"/>
      <c r="N73" s="14">
        <f t="shared" ref="N73:N74" si="7">+F73+J73-M73</f>
        <v>0</v>
      </c>
      <c r="O73" s="14"/>
      <c r="P73" s="14" t="s">
        <v>23</v>
      </c>
      <c r="Q73" s="15">
        <f t="shared" si="3"/>
        <v>0</v>
      </c>
    </row>
    <row r="74" spans="2:17" s="17" customFormat="1" ht="15.75" x14ac:dyDescent="0.25">
      <c r="B74" s="7" t="s">
        <v>155</v>
      </c>
      <c r="C74" s="8">
        <v>44193</v>
      </c>
      <c r="D74" s="10" t="s">
        <v>156</v>
      </c>
      <c r="E74" s="10" t="s">
        <v>22</v>
      </c>
      <c r="F74" s="18">
        <v>8</v>
      </c>
      <c r="G74" s="12">
        <v>17.07</v>
      </c>
      <c r="H74" s="13">
        <f t="shared" si="6"/>
        <v>136.56</v>
      </c>
      <c r="I74" s="14"/>
      <c r="J74" s="14"/>
      <c r="K74" s="15"/>
      <c r="L74" s="14"/>
      <c r="M74" s="14"/>
      <c r="N74" s="14">
        <f t="shared" si="7"/>
        <v>8</v>
      </c>
      <c r="O74" s="14"/>
      <c r="P74" s="14" t="s">
        <v>59</v>
      </c>
      <c r="Q74" s="15">
        <f t="shared" si="3"/>
        <v>136.56</v>
      </c>
    </row>
    <row r="75" spans="2:17" s="16" customFormat="1" x14ac:dyDescent="0.3">
      <c r="B75" s="7" t="s">
        <v>157</v>
      </c>
      <c r="C75" s="22">
        <v>45019</v>
      </c>
      <c r="D75" s="9" t="s">
        <v>158</v>
      </c>
      <c r="E75" s="10" t="s">
        <v>22</v>
      </c>
      <c r="F75" s="18">
        <v>129</v>
      </c>
      <c r="G75" s="12">
        <v>172.08</v>
      </c>
      <c r="H75" s="13">
        <f t="shared" si="6"/>
        <v>22198.320000000003</v>
      </c>
      <c r="I75" s="23">
        <v>45019</v>
      </c>
      <c r="J75" s="14">
        <f>6*4</f>
        <v>24</v>
      </c>
      <c r="K75" s="15">
        <v>172.08</v>
      </c>
      <c r="L75" s="21">
        <f>+J75*K75</f>
        <v>4129.92</v>
      </c>
      <c r="M75" s="14">
        <v>130</v>
      </c>
      <c r="N75" s="14">
        <f>+F75+J75-M75</f>
        <v>23</v>
      </c>
      <c r="O75" s="14"/>
      <c r="P75" s="14" t="s">
        <v>19</v>
      </c>
      <c r="Q75" s="15">
        <f t="shared" si="3"/>
        <v>3957.84</v>
      </c>
    </row>
    <row r="76" spans="2:17" s="16" customFormat="1" x14ac:dyDescent="0.3">
      <c r="B76" s="7" t="s">
        <v>159</v>
      </c>
      <c r="C76" s="7" t="s">
        <v>160</v>
      </c>
      <c r="D76" s="9" t="s">
        <v>161</v>
      </c>
      <c r="E76" s="10" t="s">
        <v>22</v>
      </c>
      <c r="F76" s="18">
        <v>67</v>
      </c>
      <c r="G76" s="19">
        <v>50</v>
      </c>
      <c r="H76" s="13">
        <f t="shared" si="6"/>
        <v>3350</v>
      </c>
      <c r="I76" s="14"/>
      <c r="J76" s="14"/>
      <c r="K76" s="15"/>
      <c r="L76" s="14"/>
      <c r="M76" s="14">
        <f>2+4+1+2+1+2+1+1+1</f>
        <v>15</v>
      </c>
      <c r="N76" s="14">
        <f t="shared" ref="N76:N82" si="8">+F76+J76-M76</f>
        <v>52</v>
      </c>
      <c r="O76" s="14"/>
      <c r="P76" s="14" t="s">
        <v>19</v>
      </c>
      <c r="Q76" s="15">
        <f t="shared" si="3"/>
        <v>2600</v>
      </c>
    </row>
    <row r="77" spans="2:17" s="16" customFormat="1" x14ac:dyDescent="0.3">
      <c r="B77" s="7" t="s">
        <v>162</v>
      </c>
      <c r="C77" s="8">
        <v>44488</v>
      </c>
      <c r="D77" s="9" t="s">
        <v>163</v>
      </c>
      <c r="E77" s="10" t="s">
        <v>22</v>
      </c>
      <c r="F77" s="18">
        <v>3</v>
      </c>
      <c r="G77" s="12">
        <v>2200</v>
      </c>
      <c r="H77" s="13">
        <f t="shared" si="6"/>
        <v>6600</v>
      </c>
      <c r="I77" s="14"/>
      <c r="J77" s="14"/>
      <c r="K77" s="15"/>
      <c r="L77" s="14"/>
      <c r="M77" s="14"/>
      <c r="N77" s="14">
        <f t="shared" si="8"/>
        <v>3</v>
      </c>
      <c r="O77" s="14"/>
      <c r="P77" s="14" t="s">
        <v>19</v>
      </c>
      <c r="Q77" s="15">
        <f t="shared" si="3"/>
        <v>6600</v>
      </c>
    </row>
    <row r="78" spans="2:17" s="17" customFormat="1" ht="15.75" x14ac:dyDescent="0.25">
      <c r="B78" s="7" t="s">
        <v>164</v>
      </c>
      <c r="C78" s="8">
        <v>44193</v>
      </c>
      <c r="D78" s="10" t="s">
        <v>165</v>
      </c>
      <c r="E78" s="10" t="s">
        <v>22</v>
      </c>
      <c r="F78" s="18">
        <v>0</v>
      </c>
      <c r="G78" s="12">
        <v>402.54</v>
      </c>
      <c r="H78" s="13">
        <f t="shared" si="6"/>
        <v>0</v>
      </c>
      <c r="I78" s="14"/>
      <c r="J78" s="14"/>
      <c r="K78" s="15"/>
      <c r="L78" s="14"/>
      <c r="M78" s="14"/>
      <c r="N78" s="14">
        <f t="shared" si="8"/>
        <v>0</v>
      </c>
      <c r="O78" s="14"/>
      <c r="P78" s="14" t="s">
        <v>23</v>
      </c>
      <c r="Q78" s="15">
        <f t="shared" si="3"/>
        <v>0</v>
      </c>
    </row>
    <row r="79" spans="2:17" s="17" customFormat="1" ht="15.75" x14ac:dyDescent="0.25">
      <c r="B79" s="7" t="s">
        <v>166</v>
      </c>
      <c r="C79" s="8">
        <v>44193</v>
      </c>
      <c r="D79" s="10" t="s">
        <v>167</v>
      </c>
      <c r="E79" s="10" t="s">
        <v>22</v>
      </c>
      <c r="F79" s="18">
        <v>11</v>
      </c>
      <c r="G79" s="12">
        <v>37.74</v>
      </c>
      <c r="H79" s="13">
        <f t="shared" si="6"/>
        <v>415.14000000000004</v>
      </c>
      <c r="I79" s="14"/>
      <c r="J79" s="14"/>
      <c r="K79" s="15"/>
      <c r="L79" s="14"/>
      <c r="M79" s="14"/>
      <c r="N79" s="14">
        <f t="shared" si="8"/>
        <v>11</v>
      </c>
      <c r="O79" s="14"/>
      <c r="P79" s="14" t="s">
        <v>23</v>
      </c>
      <c r="Q79" s="15">
        <f t="shared" si="3"/>
        <v>415.14000000000004</v>
      </c>
    </row>
    <row r="80" spans="2:17" s="24" customFormat="1" ht="15.75" x14ac:dyDescent="0.25">
      <c r="B80" s="7" t="s">
        <v>168</v>
      </c>
      <c r="C80" s="22">
        <v>45042</v>
      </c>
      <c r="D80" s="10" t="s">
        <v>169</v>
      </c>
      <c r="E80" s="10" t="s">
        <v>22</v>
      </c>
      <c r="F80" s="18">
        <v>10</v>
      </c>
      <c r="G80" s="12">
        <v>68.06</v>
      </c>
      <c r="H80" s="13">
        <f t="shared" si="6"/>
        <v>680.6</v>
      </c>
      <c r="I80" s="23">
        <v>45042</v>
      </c>
      <c r="J80" s="14">
        <v>10</v>
      </c>
      <c r="K80" s="15">
        <v>68.06</v>
      </c>
      <c r="L80" s="14">
        <f>+K80*J80</f>
        <v>680.6</v>
      </c>
      <c r="M80" s="14">
        <v>4</v>
      </c>
      <c r="N80" s="14">
        <f t="shared" si="8"/>
        <v>16</v>
      </c>
      <c r="O80" s="14" t="s">
        <v>170</v>
      </c>
      <c r="P80" s="14" t="s">
        <v>59</v>
      </c>
      <c r="Q80" s="15">
        <f>+G80*N80</f>
        <v>1088.96</v>
      </c>
    </row>
    <row r="81" spans="2:17" s="17" customFormat="1" ht="15.75" x14ac:dyDescent="0.25">
      <c r="B81" s="7" t="s">
        <v>171</v>
      </c>
      <c r="C81" s="8">
        <v>44193</v>
      </c>
      <c r="D81" s="10" t="s">
        <v>172</v>
      </c>
      <c r="E81" s="10" t="s">
        <v>22</v>
      </c>
      <c r="F81" s="18">
        <v>6</v>
      </c>
      <c r="G81" s="12">
        <v>4740</v>
      </c>
      <c r="H81" s="13">
        <f t="shared" si="6"/>
        <v>28440</v>
      </c>
      <c r="I81" s="14"/>
      <c r="J81" s="14"/>
      <c r="K81" s="15"/>
      <c r="L81" s="14"/>
      <c r="M81" s="14"/>
      <c r="N81" s="14">
        <f t="shared" si="8"/>
        <v>6</v>
      </c>
      <c r="O81" s="14"/>
      <c r="P81" s="14" t="s">
        <v>59</v>
      </c>
      <c r="Q81" s="15">
        <f t="shared" si="3"/>
        <v>28440</v>
      </c>
    </row>
    <row r="82" spans="2:17" s="17" customFormat="1" ht="15.75" x14ac:dyDescent="0.25">
      <c r="B82" s="7" t="s">
        <v>173</v>
      </c>
      <c r="C82" s="8">
        <v>44193</v>
      </c>
      <c r="D82" s="10" t="s">
        <v>174</v>
      </c>
      <c r="E82" s="10" t="s">
        <v>22</v>
      </c>
      <c r="F82" s="18">
        <v>1</v>
      </c>
      <c r="G82" s="12">
        <v>2535</v>
      </c>
      <c r="H82" s="13">
        <f t="shared" si="6"/>
        <v>2535</v>
      </c>
      <c r="I82" s="14"/>
      <c r="J82" s="14"/>
      <c r="K82" s="15"/>
      <c r="L82" s="14"/>
      <c r="M82" s="14">
        <v>1</v>
      </c>
      <c r="N82" s="14">
        <f t="shared" si="8"/>
        <v>0</v>
      </c>
      <c r="O82" s="14"/>
      <c r="P82" s="14" t="s">
        <v>59</v>
      </c>
      <c r="Q82" s="15">
        <f t="shared" si="3"/>
        <v>0</v>
      </c>
    </row>
    <row r="83" spans="2:17" s="17" customFormat="1" ht="15.75" x14ac:dyDescent="0.25">
      <c r="B83" s="7" t="s">
        <v>175</v>
      </c>
      <c r="C83" s="8">
        <v>44193</v>
      </c>
      <c r="D83" s="10" t="s">
        <v>176</v>
      </c>
      <c r="E83" s="10" t="s">
        <v>22</v>
      </c>
      <c r="F83" s="18">
        <v>0</v>
      </c>
      <c r="G83" s="12">
        <v>211.86</v>
      </c>
      <c r="H83" s="13">
        <f t="shared" si="6"/>
        <v>0</v>
      </c>
      <c r="I83" s="14"/>
      <c r="J83" s="14"/>
      <c r="K83" s="15"/>
      <c r="L83" s="14"/>
      <c r="M83" s="14"/>
      <c r="N83" s="14">
        <f>+F83+J83-M83</f>
        <v>0</v>
      </c>
      <c r="O83" s="14"/>
      <c r="P83" s="14" t="s">
        <v>59</v>
      </c>
      <c r="Q83" s="15">
        <f t="shared" si="3"/>
        <v>0</v>
      </c>
    </row>
    <row r="84" spans="2:17" s="17" customFormat="1" ht="15.75" x14ac:dyDescent="0.25">
      <c r="B84" s="7" t="s">
        <v>177</v>
      </c>
      <c r="C84" s="8">
        <v>44193</v>
      </c>
      <c r="D84" s="10" t="s">
        <v>178</v>
      </c>
      <c r="E84" s="10" t="s">
        <v>22</v>
      </c>
      <c r="F84" s="18">
        <v>0</v>
      </c>
      <c r="G84" s="12">
        <v>70</v>
      </c>
      <c r="H84" s="13">
        <f t="shared" si="6"/>
        <v>0</v>
      </c>
      <c r="I84" s="14"/>
      <c r="J84" s="14"/>
      <c r="K84" s="15"/>
      <c r="L84" s="14"/>
      <c r="M84" s="14"/>
      <c r="N84" s="14">
        <f t="shared" ref="N84:N96" si="9">+F84+J84-M84</f>
        <v>0</v>
      </c>
      <c r="O84" s="14"/>
      <c r="P84" s="14" t="s">
        <v>59</v>
      </c>
      <c r="Q84" s="15">
        <f t="shared" si="3"/>
        <v>0</v>
      </c>
    </row>
    <row r="85" spans="2:17" s="17" customFormat="1" ht="15.75" x14ac:dyDescent="0.25">
      <c r="B85" s="7" t="s">
        <v>179</v>
      </c>
      <c r="C85" s="8">
        <v>44193</v>
      </c>
      <c r="D85" s="9" t="s">
        <v>180</v>
      </c>
      <c r="E85" s="10" t="s">
        <v>22</v>
      </c>
      <c r="F85" s="18">
        <v>2</v>
      </c>
      <c r="G85" s="12">
        <v>148.31</v>
      </c>
      <c r="H85" s="13">
        <f t="shared" si="6"/>
        <v>296.62</v>
      </c>
      <c r="I85" s="14"/>
      <c r="J85" s="14"/>
      <c r="K85" s="15"/>
      <c r="L85" s="14"/>
      <c r="M85" s="14"/>
      <c r="N85" s="14">
        <f t="shared" si="9"/>
        <v>2</v>
      </c>
      <c r="O85" s="14"/>
      <c r="P85" s="14" t="s">
        <v>59</v>
      </c>
      <c r="Q85" s="15">
        <f t="shared" si="3"/>
        <v>296.62</v>
      </c>
    </row>
    <row r="86" spans="2:17" s="17" customFormat="1" ht="15.75" x14ac:dyDescent="0.25">
      <c r="B86" s="7" t="s">
        <v>181</v>
      </c>
      <c r="C86" s="8">
        <v>45042</v>
      </c>
      <c r="D86" s="10" t="s">
        <v>182</v>
      </c>
      <c r="E86" s="10" t="s">
        <v>22</v>
      </c>
      <c r="F86" s="18">
        <v>24</v>
      </c>
      <c r="G86" s="12">
        <v>200</v>
      </c>
      <c r="H86" s="13">
        <f t="shared" si="6"/>
        <v>4800</v>
      </c>
      <c r="I86" s="14"/>
      <c r="J86" s="14">
        <v>5</v>
      </c>
      <c r="K86" s="21">
        <v>259.60000000000002</v>
      </c>
      <c r="L86" s="21">
        <f>+K86*J86</f>
        <v>1298</v>
      </c>
      <c r="M86" s="14">
        <v>25</v>
      </c>
      <c r="N86" s="14">
        <f t="shared" si="9"/>
        <v>4</v>
      </c>
      <c r="O86" s="14"/>
      <c r="P86" s="14" t="s">
        <v>59</v>
      </c>
      <c r="Q86" s="15">
        <f t="shared" si="3"/>
        <v>800</v>
      </c>
    </row>
    <row r="87" spans="2:17" s="24" customFormat="1" ht="15.75" x14ac:dyDescent="0.25">
      <c r="B87" s="7" t="s">
        <v>183</v>
      </c>
      <c r="C87" s="22">
        <v>44852</v>
      </c>
      <c r="D87" s="10" t="s">
        <v>184</v>
      </c>
      <c r="E87" s="10" t="s">
        <v>22</v>
      </c>
      <c r="F87" s="18">
        <v>0</v>
      </c>
      <c r="G87" s="12">
        <v>65</v>
      </c>
      <c r="H87" s="13">
        <f t="shared" si="6"/>
        <v>0</v>
      </c>
      <c r="I87" s="23">
        <v>44852</v>
      </c>
      <c r="J87" s="14">
        <v>10</v>
      </c>
      <c r="K87" s="15">
        <v>46</v>
      </c>
      <c r="L87" s="21">
        <f>+K87*J87</f>
        <v>460</v>
      </c>
      <c r="M87" s="14">
        <v>10</v>
      </c>
      <c r="N87" s="14">
        <f t="shared" si="9"/>
        <v>0</v>
      </c>
      <c r="O87" s="14" t="s">
        <v>170</v>
      </c>
      <c r="P87" s="14" t="s">
        <v>59</v>
      </c>
      <c r="Q87" s="15">
        <f t="shared" si="3"/>
        <v>0</v>
      </c>
    </row>
    <row r="88" spans="2:17" s="16" customFormat="1" x14ac:dyDescent="0.3">
      <c r="B88" s="7" t="s">
        <v>185</v>
      </c>
      <c r="C88" s="8">
        <v>44193</v>
      </c>
      <c r="D88" s="9" t="s">
        <v>186</v>
      </c>
      <c r="E88" s="10" t="s">
        <v>22</v>
      </c>
      <c r="F88" s="18">
        <v>1</v>
      </c>
      <c r="G88" s="12"/>
      <c r="H88" s="13"/>
      <c r="I88" s="14"/>
      <c r="J88" s="14"/>
      <c r="K88" s="15"/>
      <c r="L88" s="14"/>
      <c r="M88" s="14"/>
      <c r="N88" s="14">
        <f t="shared" si="9"/>
        <v>1</v>
      </c>
      <c r="O88" s="14"/>
      <c r="P88" s="14" t="s">
        <v>187</v>
      </c>
      <c r="Q88" s="15">
        <f t="shared" si="3"/>
        <v>0</v>
      </c>
    </row>
    <row r="89" spans="2:17" s="24" customFormat="1" ht="15.75" x14ac:dyDescent="0.25">
      <c r="B89" s="7" t="s">
        <v>188</v>
      </c>
      <c r="C89" s="22">
        <v>44852</v>
      </c>
      <c r="D89" s="10" t="s">
        <v>189</v>
      </c>
      <c r="E89" s="10" t="s">
        <v>22</v>
      </c>
      <c r="F89" s="18">
        <v>6</v>
      </c>
      <c r="G89" s="12">
        <v>7.09</v>
      </c>
      <c r="H89" s="13">
        <f>F89*G89</f>
        <v>42.54</v>
      </c>
      <c r="I89" s="23">
        <v>44852</v>
      </c>
      <c r="J89" s="14">
        <f>10*12</f>
        <v>120</v>
      </c>
      <c r="K89" s="15">
        <v>7.09</v>
      </c>
      <c r="L89" s="14">
        <f>+K89*J89</f>
        <v>850.8</v>
      </c>
      <c r="M89" s="14"/>
      <c r="N89" s="14">
        <f t="shared" si="9"/>
        <v>126</v>
      </c>
      <c r="O89" s="14" t="s">
        <v>170</v>
      </c>
      <c r="P89" s="21" t="s">
        <v>59</v>
      </c>
      <c r="Q89" s="15">
        <f t="shared" ref="Q89:Q152" si="10">+G89*N89</f>
        <v>893.34</v>
      </c>
    </row>
    <row r="90" spans="2:17" s="17" customFormat="1" ht="15.75" x14ac:dyDescent="0.25">
      <c r="B90" s="7" t="s">
        <v>190</v>
      </c>
      <c r="C90" s="8">
        <v>44547</v>
      </c>
      <c r="D90" s="10" t="s">
        <v>191</v>
      </c>
      <c r="E90" s="10" t="s">
        <v>22</v>
      </c>
      <c r="F90" s="18">
        <v>10</v>
      </c>
      <c r="G90" s="12">
        <v>155</v>
      </c>
      <c r="H90" s="13">
        <f>F90*G90</f>
        <v>1550</v>
      </c>
      <c r="I90" s="14"/>
      <c r="J90" s="14"/>
      <c r="K90" s="15"/>
      <c r="L90" s="14"/>
      <c r="M90" s="14">
        <v>1</v>
      </c>
      <c r="N90" s="14">
        <f t="shared" si="9"/>
        <v>9</v>
      </c>
      <c r="O90" s="14"/>
      <c r="P90" s="14" t="s">
        <v>59</v>
      </c>
      <c r="Q90" s="15">
        <f t="shared" si="10"/>
        <v>1395</v>
      </c>
    </row>
    <row r="91" spans="2:17" s="16" customFormat="1" x14ac:dyDescent="0.3">
      <c r="B91" s="7" t="s">
        <v>192</v>
      </c>
      <c r="C91" s="8">
        <v>44453</v>
      </c>
      <c r="D91" s="9" t="s">
        <v>193</v>
      </c>
      <c r="E91" s="10" t="s">
        <v>22</v>
      </c>
      <c r="F91" s="11">
        <v>4</v>
      </c>
      <c r="G91" s="12">
        <v>7500</v>
      </c>
      <c r="H91" s="13">
        <f>F91*G91</f>
        <v>30000</v>
      </c>
      <c r="I91" s="14"/>
      <c r="J91" s="14"/>
      <c r="K91" s="15"/>
      <c r="L91" s="14"/>
      <c r="M91" s="14"/>
      <c r="N91" s="14">
        <f t="shared" si="9"/>
        <v>4</v>
      </c>
      <c r="O91" s="14"/>
      <c r="P91" s="14" t="s">
        <v>19</v>
      </c>
      <c r="Q91" s="15">
        <f t="shared" si="10"/>
        <v>30000</v>
      </c>
    </row>
    <row r="92" spans="2:17" s="16" customFormat="1" x14ac:dyDescent="0.3">
      <c r="B92" s="7" t="s">
        <v>194</v>
      </c>
      <c r="C92" s="8">
        <v>44659</v>
      </c>
      <c r="D92" s="9" t="s">
        <v>195</v>
      </c>
      <c r="E92" s="10" t="s">
        <v>22</v>
      </c>
      <c r="F92" s="11">
        <v>108</v>
      </c>
      <c r="G92" s="12">
        <v>156.66667000000001</v>
      </c>
      <c r="H92" s="13">
        <f>F92*G92</f>
        <v>16920.000360000002</v>
      </c>
      <c r="I92" s="14"/>
      <c r="J92" s="14"/>
      <c r="K92" s="15"/>
      <c r="L92" s="14"/>
      <c r="M92" s="14">
        <f>44+14+19+1+1</f>
        <v>79</v>
      </c>
      <c r="N92" s="14">
        <f t="shared" si="9"/>
        <v>29</v>
      </c>
      <c r="O92" s="14"/>
      <c r="P92" s="14" t="s">
        <v>19</v>
      </c>
      <c r="Q92" s="15">
        <f t="shared" si="10"/>
        <v>4543.3334300000006</v>
      </c>
    </row>
    <row r="93" spans="2:17" s="17" customFormat="1" ht="15.75" x14ac:dyDescent="0.25">
      <c r="B93" s="7" t="s">
        <v>196</v>
      </c>
      <c r="C93" s="8">
        <v>44193</v>
      </c>
      <c r="D93" s="9" t="s">
        <v>197</v>
      </c>
      <c r="E93" s="10" t="s">
        <v>22</v>
      </c>
      <c r="F93" s="11">
        <v>20</v>
      </c>
      <c r="G93" s="12">
        <v>30.5</v>
      </c>
      <c r="H93" s="13">
        <f>F93*G93</f>
        <v>610</v>
      </c>
      <c r="I93" s="14"/>
      <c r="J93" s="14"/>
      <c r="K93" s="15"/>
      <c r="L93" s="14"/>
      <c r="M93" s="14"/>
      <c r="N93" s="14">
        <f t="shared" si="9"/>
        <v>20</v>
      </c>
      <c r="O93" s="14"/>
      <c r="P93" s="14" t="s">
        <v>23</v>
      </c>
      <c r="Q93" s="15">
        <f t="shared" si="10"/>
        <v>610</v>
      </c>
    </row>
    <row r="94" spans="2:17" s="17" customFormat="1" ht="15.75" x14ac:dyDescent="0.25">
      <c r="B94" s="7" t="s">
        <v>198</v>
      </c>
      <c r="C94" s="8">
        <v>44193</v>
      </c>
      <c r="D94" s="9" t="s">
        <v>199</v>
      </c>
      <c r="E94" s="10" t="s">
        <v>22</v>
      </c>
      <c r="F94" s="11">
        <f>21+8+14</f>
        <v>43</v>
      </c>
      <c r="G94" s="12">
        <v>11.24</v>
      </c>
      <c r="H94" s="13">
        <f t="shared" ref="H94:H132" si="11">F94*G94</f>
        <v>483.32</v>
      </c>
      <c r="I94" s="14"/>
      <c r="J94" s="14"/>
      <c r="K94" s="15"/>
      <c r="L94" s="14"/>
      <c r="M94" s="14">
        <v>3</v>
      </c>
      <c r="N94" s="14">
        <f t="shared" si="9"/>
        <v>40</v>
      </c>
      <c r="O94" s="14"/>
      <c r="P94" s="14" t="s">
        <v>23</v>
      </c>
      <c r="Q94" s="15">
        <f t="shared" si="10"/>
        <v>449.6</v>
      </c>
    </row>
    <row r="95" spans="2:17" s="17" customFormat="1" ht="15.75" x14ac:dyDescent="0.25">
      <c r="B95" s="7" t="s">
        <v>200</v>
      </c>
      <c r="C95" s="8">
        <v>44193</v>
      </c>
      <c r="D95" s="9" t="s">
        <v>201</v>
      </c>
      <c r="E95" s="10" t="s">
        <v>22</v>
      </c>
      <c r="F95" s="11">
        <f>16+6+7+2</f>
        <v>31</v>
      </c>
      <c r="G95" s="12">
        <v>11.24</v>
      </c>
      <c r="H95" s="13">
        <f t="shared" si="11"/>
        <v>348.44</v>
      </c>
      <c r="I95" s="14"/>
      <c r="J95" s="14"/>
      <c r="K95" s="15"/>
      <c r="L95" s="14"/>
      <c r="M95" s="14"/>
      <c r="N95" s="14">
        <f t="shared" si="9"/>
        <v>31</v>
      </c>
      <c r="O95" s="14"/>
      <c r="P95" s="14" t="s">
        <v>23</v>
      </c>
      <c r="Q95" s="15">
        <f t="shared" si="10"/>
        <v>348.44</v>
      </c>
    </row>
    <row r="96" spans="2:17" s="17" customFormat="1" ht="15.75" x14ac:dyDescent="0.25">
      <c r="B96" s="7" t="s">
        <v>202</v>
      </c>
      <c r="C96" s="8">
        <v>44193</v>
      </c>
      <c r="D96" s="9" t="s">
        <v>203</v>
      </c>
      <c r="E96" s="10" t="s">
        <v>22</v>
      </c>
      <c r="F96" s="11">
        <v>28</v>
      </c>
      <c r="G96" s="12">
        <v>45</v>
      </c>
      <c r="H96" s="13">
        <f t="shared" si="11"/>
        <v>1260</v>
      </c>
      <c r="I96" s="14"/>
      <c r="J96" s="14"/>
      <c r="K96" s="15"/>
      <c r="L96" s="14"/>
      <c r="M96" s="14"/>
      <c r="N96" s="14">
        <f t="shared" si="9"/>
        <v>28</v>
      </c>
      <c r="O96" s="14"/>
      <c r="P96" s="14" t="s">
        <v>23</v>
      </c>
      <c r="Q96" s="15">
        <f t="shared" si="10"/>
        <v>1260</v>
      </c>
    </row>
    <row r="97" spans="2:17" s="17" customFormat="1" ht="15.75" x14ac:dyDescent="0.25">
      <c r="B97" s="7" t="s">
        <v>204</v>
      </c>
      <c r="C97" s="8">
        <v>44193</v>
      </c>
      <c r="D97" s="9" t="s">
        <v>205</v>
      </c>
      <c r="E97" s="10" t="s">
        <v>22</v>
      </c>
      <c r="F97" s="11">
        <v>4</v>
      </c>
      <c r="G97" s="12">
        <v>40</v>
      </c>
      <c r="H97" s="13">
        <f t="shared" si="11"/>
        <v>160</v>
      </c>
      <c r="I97" s="14"/>
      <c r="J97" s="14"/>
      <c r="K97" s="15"/>
      <c r="L97" s="14"/>
      <c r="M97" s="14"/>
      <c r="N97" s="14">
        <f>+F97+J97-M97</f>
        <v>4</v>
      </c>
      <c r="O97" s="14"/>
      <c r="P97" s="14" t="s">
        <v>23</v>
      </c>
      <c r="Q97" s="15">
        <f t="shared" si="10"/>
        <v>160</v>
      </c>
    </row>
    <row r="98" spans="2:17" s="17" customFormat="1" ht="15.75" x14ac:dyDescent="0.25">
      <c r="B98" s="7" t="s">
        <v>206</v>
      </c>
      <c r="C98" s="8">
        <v>44193</v>
      </c>
      <c r="D98" s="9" t="s">
        <v>207</v>
      </c>
      <c r="E98" s="10" t="s">
        <v>22</v>
      </c>
      <c r="F98" s="11">
        <v>39</v>
      </c>
      <c r="G98" s="12">
        <v>45</v>
      </c>
      <c r="H98" s="13">
        <f t="shared" si="11"/>
        <v>1755</v>
      </c>
      <c r="I98" s="14"/>
      <c r="J98" s="14"/>
      <c r="K98" s="15"/>
      <c r="L98" s="14"/>
      <c r="M98" s="14"/>
      <c r="N98" s="14">
        <f t="shared" ref="N98:N109" si="12">+F98+J98-M98</f>
        <v>39</v>
      </c>
      <c r="O98" s="14"/>
      <c r="P98" s="14" t="s">
        <v>23</v>
      </c>
      <c r="Q98" s="15">
        <f t="shared" si="10"/>
        <v>1755</v>
      </c>
    </row>
    <row r="99" spans="2:17" s="17" customFormat="1" ht="15.75" x14ac:dyDescent="0.25">
      <c r="B99" s="7" t="s">
        <v>208</v>
      </c>
      <c r="C99" s="8">
        <v>44193</v>
      </c>
      <c r="D99" s="9" t="s">
        <v>209</v>
      </c>
      <c r="E99" s="10" t="s">
        <v>22</v>
      </c>
      <c r="F99" s="11">
        <v>1</v>
      </c>
      <c r="G99" s="12">
        <v>47</v>
      </c>
      <c r="H99" s="13">
        <f t="shared" si="11"/>
        <v>47</v>
      </c>
      <c r="I99" s="14"/>
      <c r="J99" s="14"/>
      <c r="K99" s="15"/>
      <c r="L99" s="14"/>
      <c r="M99" s="14"/>
      <c r="N99" s="14">
        <f t="shared" si="12"/>
        <v>1</v>
      </c>
      <c r="O99" s="14"/>
      <c r="P99" s="14" t="s">
        <v>23</v>
      </c>
      <c r="Q99" s="15">
        <f t="shared" si="10"/>
        <v>47</v>
      </c>
    </row>
    <row r="100" spans="2:17" s="17" customFormat="1" ht="15.75" x14ac:dyDescent="0.25">
      <c r="B100" s="7" t="s">
        <v>210</v>
      </c>
      <c r="C100" s="8">
        <v>44193</v>
      </c>
      <c r="D100" s="9" t="s">
        <v>211</v>
      </c>
      <c r="E100" s="10" t="s">
        <v>22</v>
      </c>
      <c r="F100" s="11">
        <v>1</v>
      </c>
      <c r="G100" s="12">
        <v>40</v>
      </c>
      <c r="H100" s="13">
        <f t="shared" si="11"/>
        <v>40</v>
      </c>
      <c r="I100" s="14"/>
      <c r="J100" s="14"/>
      <c r="K100" s="15"/>
      <c r="L100" s="14"/>
      <c r="M100" s="14"/>
      <c r="N100" s="14">
        <f t="shared" si="12"/>
        <v>1</v>
      </c>
      <c r="O100" s="14"/>
      <c r="P100" s="14" t="s">
        <v>23</v>
      </c>
      <c r="Q100" s="15">
        <f t="shared" si="10"/>
        <v>40</v>
      </c>
    </row>
    <row r="101" spans="2:17" s="17" customFormat="1" ht="15.75" x14ac:dyDescent="0.25">
      <c r="B101" s="7" t="s">
        <v>212</v>
      </c>
      <c r="C101" s="8">
        <v>44193</v>
      </c>
      <c r="D101" s="9" t="s">
        <v>213</v>
      </c>
      <c r="E101" s="10" t="s">
        <v>22</v>
      </c>
      <c r="F101" s="11">
        <v>2</v>
      </c>
      <c r="G101" s="12">
        <v>12.21</v>
      </c>
      <c r="H101" s="13">
        <f t="shared" si="11"/>
        <v>24.42</v>
      </c>
      <c r="I101" s="14"/>
      <c r="J101" s="14"/>
      <c r="K101" s="15"/>
      <c r="L101" s="14"/>
      <c r="M101" s="14"/>
      <c r="N101" s="14">
        <f t="shared" si="12"/>
        <v>2</v>
      </c>
      <c r="O101" s="14"/>
      <c r="P101" s="14" t="s">
        <v>23</v>
      </c>
      <c r="Q101" s="15">
        <f t="shared" si="10"/>
        <v>24.42</v>
      </c>
    </row>
    <row r="102" spans="2:17" s="17" customFormat="1" ht="15.75" x14ac:dyDescent="0.25">
      <c r="B102" s="7" t="s">
        <v>214</v>
      </c>
      <c r="C102" s="8">
        <v>44193</v>
      </c>
      <c r="D102" s="9" t="s">
        <v>215</v>
      </c>
      <c r="E102" s="10" t="s">
        <v>22</v>
      </c>
      <c r="F102" s="11">
        <v>0</v>
      </c>
      <c r="G102" s="12">
        <v>4</v>
      </c>
      <c r="H102" s="13">
        <f t="shared" si="11"/>
        <v>0</v>
      </c>
      <c r="I102" s="14"/>
      <c r="J102" s="14"/>
      <c r="K102" s="15"/>
      <c r="L102" s="14"/>
      <c r="M102" s="14"/>
      <c r="N102" s="14">
        <f t="shared" si="12"/>
        <v>0</v>
      </c>
      <c r="O102" s="14"/>
      <c r="P102" s="14" t="s">
        <v>23</v>
      </c>
      <c r="Q102" s="15">
        <f t="shared" si="10"/>
        <v>0</v>
      </c>
    </row>
    <row r="103" spans="2:17" s="17" customFormat="1" ht="15.75" x14ac:dyDescent="0.25">
      <c r="B103" s="7" t="s">
        <v>216</v>
      </c>
      <c r="C103" s="8">
        <v>44193</v>
      </c>
      <c r="D103" s="9" t="s">
        <v>217</v>
      </c>
      <c r="E103" s="10" t="s">
        <v>22</v>
      </c>
      <c r="F103" s="11">
        <f>13+7+29</f>
        <v>49</v>
      </c>
      <c r="G103" s="12">
        <v>5.05</v>
      </c>
      <c r="H103" s="13">
        <f t="shared" si="11"/>
        <v>247.45</v>
      </c>
      <c r="I103" s="14"/>
      <c r="J103" s="14"/>
      <c r="K103" s="15"/>
      <c r="L103" s="14"/>
      <c r="M103" s="14"/>
      <c r="N103" s="14">
        <f t="shared" si="12"/>
        <v>49</v>
      </c>
      <c r="O103" s="14"/>
      <c r="P103" s="14" t="s">
        <v>23</v>
      </c>
      <c r="Q103" s="15">
        <f t="shared" si="10"/>
        <v>247.45</v>
      </c>
    </row>
    <row r="104" spans="2:17" s="17" customFormat="1" ht="15.75" x14ac:dyDescent="0.25">
      <c r="B104" s="7" t="s">
        <v>218</v>
      </c>
      <c r="C104" s="8">
        <v>44193</v>
      </c>
      <c r="D104" s="9" t="s">
        <v>219</v>
      </c>
      <c r="E104" s="10" t="s">
        <v>22</v>
      </c>
      <c r="F104" s="11">
        <v>0</v>
      </c>
      <c r="G104" s="12">
        <v>42.95</v>
      </c>
      <c r="H104" s="13">
        <f t="shared" si="11"/>
        <v>0</v>
      </c>
      <c r="I104" s="14"/>
      <c r="J104" s="14"/>
      <c r="K104" s="15"/>
      <c r="L104" s="14"/>
      <c r="M104" s="14"/>
      <c r="N104" s="14">
        <f t="shared" si="12"/>
        <v>0</v>
      </c>
      <c r="O104" s="14"/>
      <c r="P104" s="14" t="s">
        <v>23</v>
      </c>
      <c r="Q104" s="15">
        <f t="shared" si="10"/>
        <v>0</v>
      </c>
    </row>
    <row r="105" spans="2:17" s="17" customFormat="1" ht="15.75" x14ac:dyDescent="0.25">
      <c r="B105" s="7" t="s">
        <v>220</v>
      </c>
      <c r="C105" s="8">
        <v>44193</v>
      </c>
      <c r="D105" s="9" t="s">
        <v>221</v>
      </c>
      <c r="E105" s="10" t="s">
        <v>22</v>
      </c>
      <c r="F105" s="18">
        <v>11</v>
      </c>
      <c r="G105" s="12">
        <v>19.95</v>
      </c>
      <c r="H105" s="13">
        <f t="shared" si="11"/>
        <v>219.45</v>
      </c>
      <c r="I105" s="14"/>
      <c r="J105" s="14"/>
      <c r="K105" s="15"/>
      <c r="L105" s="14"/>
      <c r="M105" s="14"/>
      <c r="N105" s="14">
        <f t="shared" si="12"/>
        <v>11</v>
      </c>
      <c r="O105" s="14"/>
      <c r="P105" s="14" t="s">
        <v>23</v>
      </c>
      <c r="Q105" s="15">
        <f t="shared" si="10"/>
        <v>219.45</v>
      </c>
    </row>
    <row r="106" spans="2:17" s="17" customFormat="1" ht="15.75" x14ac:dyDescent="0.25">
      <c r="B106" s="7" t="s">
        <v>222</v>
      </c>
      <c r="C106" s="8">
        <v>44193</v>
      </c>
      <c r="D106" s="9" t="s">
        <v>223</v>
      </c>
      <c r="E106" s="10" t="s">
        <v>22</v>
      </c>
      <c r="F106" s="18">
        <f>6+7</f>
        <v>13</v>
      </c>
      <c r="G106" s="12">
        <v>5.78</v>
      </c>
      <c r="H106" s="13">
        <f t="shared" si="11"/>
        <v>75.14</v>
      </c>
      <c r="I106" s="14"/>
      <c r="J106" s="14"/>
      <c r="K106" s="15"/>
      <c r="L106" s="14"/>
      <c r="M106" s="14"/>
      <c r="N106" s="14">
        <f t="shared" si="12"/>
        <v>13</v>
      </c>
      <c r="O106" s="14"/>
      <c r="P106" s="14" t="s">
        <v>23</v>
      </c>
      <c r="Q106" s="15">
        <f t="shared" si="10"/>
        <v>75.14</v>
      </c>
    </row>
    <row r="107" spans="2:17" s="17" customFormat="1" ht="15.75" x14ac:dyDescent="0.25">
      <c r="B107" s="7" t="s">
        <v>224</v>
      </c>
      <c r="C107" s="8">
        <v>44193</v>
      </c>
      <c r="D107" s="9" t="s">
        <v>225</v>
      </c>
      <c r="E107" s="10" t="s">
        <v>22</v>
      </c>
      <c r="F107" s="18">
        <v>1</v>
      </c>
      <c r="G107" s="12"/>
      <c r="H107" s="13">
        <f t="shared" si="11"/>
        <v>0</v>
      </c>
      <c r="I107" s="14"/>
      <c r="J107" s="14"/>
      <c r="K107" s="15"/>
      <c r="L107" s="14"/>
      <c r="M107" s="14"/>
      <c r="N107" s="14">
        <f t="shared" si="12"/>
        <v>1</v>
      </c>
      <c r="O107" s="14"/>
      <c r="P107" s="14" t="s">
        <v>23</v>
      </c>
      <c r="Q107" s="15">
        <f t="shared" si="10"/>
        <v>0</v>
      </c>
    </row>
    <row r="108" spans="2:17" s="17" customFormat="1" ht="15.75" x14ac:dyDescent="0.25">
      <c r="B108" s="7" t="s">
        <v>226</v>
      </c>
      <c r="C108" s="8">
        <v>44193</v>
      </c>
      <c r="D108" s="9" t="s">
        <v>227</v>
      </c>
      <c r="E108" s="10" t="s">
        <v>22</v>
      </c>
      <c r="F108" s="18">
        <v>9</v>
      </c>
      <c r="G108" s="12">
        <v>77.540000000000006</v>
      </c>
      <c r="H108" s="13">
        <f t="shared" si="11"/>
        <v>697.86</v>
      </c>
      <c r="I108" s="14"/>
      <c r="J108" s="14"/>
      <c r="K108" s="15"/>
      <c r="L108" s="14"/>
      <c r="M108" s="14"/>
      <c r="N108" s="14">
        <f t="shared" si="12"/>
        <v>9</v>
      </c>
      <c r="O108" s="14"/>
      <c r="P108" s="14" t="s">
        <v>23</v>
      </c>
      <c r="Q108" s="15">
        <f t="shared" si="10"/>
        <v>697.86</v>
      </c>
    </row>
    <row r="109" spans="2:17" s="17" customFormat="1" ht="15.75" x14ac:dyDescent="0.25">
      <c r="B109" s="7" t="s">
        <v>228</v>
      </c>
      <c r="C109" s="8">
        <v>44193</v>
      </c>
      <c r="D109" s="9" t="s">
        <v>229</v>
      </c>
      <c r="E109" s="10" t="s">
        <v>22</v>
      </c>
      <c r="F109" s="18">
        <v>21</v>
      </c>
      <c r="G109" s="12">
        <v>719.2</v>
      </c>
      <c r="H109" s="13">
        <f t="shared" si="11"/>
        <v>15103.2</v>
      </c>
      <c r="I109" s="14"/>
      <c r="J109" s="14"/>
      <c r="K109" s="15"/>
      <c r="L109" s="14"/>
      <c r="M109" s="14"/>
      <c r="N109" s="14">
        <f t="shared" si="12"/>
        <v>21</v>
      </c>
      <c r="O109" s="14"/>
      <c r="P109" s="14" t="s">
        <v>23</v>
      </c>
      <c r="Q109" s="15">
        <f t="shared" si="10"/>
        <v>15103.2</v>
      </c>
    </row>
    <row r="110" spans="2:17" s="17" customFormat="1" ht="15.75" x14ac:dyDescent="0.25">
      <c r="B110" s="7" t="s">
        <v>230</v>
      </c>
      <c r="C110" s="8">
        <v>44193</v>
      </c>
      <c r="D110" s="9" t="s">
        <v>231</v>
      </c>
      <c r="E110" s="10" t="s">
        <v>22</v>
      </c>
      <c r="F110" s="18">
        <v>3</v>
      </c>
      <c r="G110" s="12">
        <v>51</v>
      </c>
      <c r="H110" s="13">
        <f t="shared" si="11"/>
        <v>153</v>
      </c>
      <c r="I110" s="14"/>
      <c r="J110" s="14"/>
      <c r="K110" s="15"/>
      <c r="L110" s="14"/>
      <c r="M110" s="14"/>
      <c r="N110" s="14">
        <f>+F110+J110-M110</f>
        <v>3</v>
      </c>
      <c r="O110" s="14"/>
      <c r="P110" s="14" t="s">
        <v>23</v>
      </c>
      <c r="Q110" s="15">
        <f t="shared" si="10"/>
        <v>153</v>
      </c>
    </row>
    <row r="111" spans="2:17" s="17" customFormat="1" ht="15.75" x14ac:dyDescent="0.25">
      <c r="B111" s="7" t="s">
        <v>232</v>
      </c>
      <c r="C111" s="8">
        <v>44193</v>
      </c>
      <c r="D111" s="9" t="s">
        <v>233</v>
      </c>
      <c r="E111" s="10" t="s">
        <v>22</v>
      </c>
      <c r="F111" s="18">
        <v>12</v>
      </c>
      <c r="G111" s="12">
        <v>66.11</v>
      </c>
      <c r="H111" s="13">
        <f t="shared" si="11"/>
        <v>793.31999999999994</v>
      </c>
      <c r="I111" s="14"/>
      <c r="J111" s="14"/>
      <c r="K111" s="15"/>
      <c r="L111" s="14"/>
      <c r="M111" s="14"/>
      <c r="N111" s="14">
        <f t="shared" ref="N111:N175" si="13">+F111+J111-M111</f>
        <v>12</v>
      </c>
      <c r="O111" s="14"/>
      <c r="P111" s="14" t="s">
        <v>23</v>
      </c>
      <c r="Q111" s="15">
        <f t="shared" si="10"/>
        <v>793.31999999999994</v>
      </c>
    </row>
    <row r="112" spans="2:17" s="17" customFormat="1" ht="15.75" x14ac:dyDescent="0.25">
      <c r="B112" s="7" t="s">
        <v>234</v>
      </c>
      <c r="C112" s="8">
        <v>44193</v>
      </c>
      <c r="D112" s="9" t="s">
        <v>235</v>
      </c>
      <c r="E112" s="10" t="s">
        <v>22</v>
      </c>
      <c r="F112" s="18">
        <v>2</v>
      </c>
      <c r="G112" s="12">
        <v>70</v>
      </c>
      <c r="H112" s="13">
        <f t="shared" si="11"/>
        <v>140</v>
      </c>
      <c r="I112" s="14"/>
      <c r="J112" s="14"/>
      <c r="K112" s="15"/>
      <c r="L112" s="14"/>
      <c r="M112" s="14"/>
      <c r="N112" s="14">
        <f t="shared" si="13"/>
        <v>2</v>
      </c>
      <c r="O112" s="14"/>
      <c r="P112" s="14" t="s">
        <v>23</v>
      </c>
      <c r="Q112" s="15">
        <f t="shared" si="10"/>
        <v>140</v>
      </c>
    </row>
    <row r="113" spans="2:17" s="17" customFormat="1" ht="15.75" x14ac:dyDescent="0.25">
      <c r="B113" s="7" t="s">
        <v>236</v>
      </c>
      <c r="C113" s="8">
        <v>44193</v>
      </c>
      <c r="D113" s="9" t="s">
        <v>237</v>
      </c>
      <c r="E113" s="10" t="s">
        <v>22</v>
      </c>
      <c r="F113" s="18">
        <v>6</v>
      </c>
      <c r="G113" s="12">
        <v>450</v>
      </c>
      <c r="H113" s="13">
        <f t="shared" si="11"/>
        <v>2700</v>
      </c>
      <c r="I113" s="14"/>
      <c r="J113" s="14"/>
      <c r="K113" s="15"/>
      <c r="L113" s="14"/>
      <c r="M113" s="14">
        <v>1</v>
      </c>
      <c r="N113" s="14">
        <f t="shared" si="13"/>
        <v>5</v>
      </c>
      <c r="O113" s="14"/>
      <c r="P113" s="14" t="s">
        <v>23</v>
      </c>
      <c r="Q113" s="15">
        <f t="shared" si="10"/>
        <v>2250</v>
      </c>
    </row>
    <row r="114" spans="2:17" s="17" customFormat="1" ht="15.75" x14ac:dyDescent="0.25">
      <c r="B114" s="7" t="s">
        <v>238</v>
      </c>
      <c r="C114" s="8">
        <v>44193</v>
      </c>
      <c r="D114" s="9" t="s">
        <v>239</v>
      </c>
      <c r="E114" s="10" t="s">
        <v>22</v>
      </c>
      <c r="F114" s="18">
        <v>2</v>
      </c>
      <c r="G114" s="12">
        <v>719.2</v>
      </c>
      <c r="H114" s="13">
        <f t="shared" si="11"/>
        <v>1438.4</v>
      </c>
      <c r="I114" s="14"/>
      <c r="J114" s="14"/>
      <c r="K114" s="15"/>
      <c r="L114" s="14"/>
      <c r="M114" s="14">
        <v>2</v>
      </c>
      <c r="N114" s="14">
        <f t="shared" si="13"/>
        <v>0</v>
      </c>
      <c r="O114" s="14"/>
      <c r="P114" s="14" t="s">
        <v>23</v>
      </c>
      <c r="Q114" s="15">
        <f t="shared" si="10"/>
        <v>0</v>
      </c>
    </row>
    <row r="115" spans="2:17" s="17" customFormat="1" ht="15.75" x14ac:dyDescent="0.25">
      <c r="B115" s="7" t="s">
        <v>240</v>
      </c>
      <c r="C115" s="8">
        <v>44193</v>
      </c>
      <c r="D115" s="9" t="s">
        <v>241</v>
      </c>
      <c r="E115" s="10" t="s">
        <v>22</v>
      </c>
      <c r="F115" s="11">
        <v>0</v>
      </c>
      <c r="G115" s="12">
        <v>2950</v>
      </c>
      <c r="H115" s="13">
        <f t="shared" si="11"/>
        <v>0</v>
      </c>
      <c r="I115" s="14"/>
      <c r="J115" s="14"/>
      <c r="K115" s="15"/>
      <c r="L115" s="14"/>
      <c r="M115" s="14"/>
      <c r="N115" s="14">
        <f t="shared" si="13"/>
        <v>0</v>
      </c>
      <c r="O115" s="14"/>
      <c r="P115" s="14" t="s">
        <v>23</v>
      </c>
      <c r="Q115" s="15">
        <f t="shared" si="10"/>
        <v>0</v>
      </c>
    </row>
    <row r="116" spans="2:17" s="17" customFormat="1" ht="15.75" x14ac:dyDescent="0.25">
      <c r="B116" s="7" t="s">
        <v>242</v>
      </c>
      <c r="C116" s="8">
        <v>44193</v>
      </c>
      <c r="D116" s="9" t="s">
        <v>243</v>
      </c>
      <c r="E116" s="10" t="s">
        <v>22</v>
      </c>
      <c r="F116" s="11">
        <v>5</v>
      </c>
      <c r="G116" s="12">
        <v>29</v>
      </c>
      <c r="H116" s="13">
        <f t="shared" si="11"/>
        <v>145</v>
      </c>
      <c r="I116" s="14"/>
      <c r="J116" s="14"/>
      <c r="K116" s="15"/>
      <c r="L116" s="14"/>
      <c r="M116" s="14">
        <v>4</v>
      </c>
      <c r="N116" s="14">
        <f t="shared" si="13"/>
        <v>1</v>
      </c>
      <c r="O116" s="14"/>
      <c r="P116" s="14" t="s">
        <v>23</v>
      </c>
      <c r="Q116" s="15">
        <f t="shared" si="10"/>
        <v>29</v>
      </c>
    </row>
    <row r="117" spans="2:17" s="17" customFormat="1" ht="15.75" x14ac:dyDescent="0.25">
      <c r="B117" s="7" t="s">
        <v>244</v>
      </c>
      <c r="C117" s="8">
        <v>45042</v>
      </c>
      <c r="D117" s="10" t="s">
        <v>245</v>
      </c>
      <c r="E117" s="10" t="s">
        <v>22</v>
      </c>
      <c r="F117" s="18">
        <f>12*4</f>
        <v>48</v>
      </c>
      <c r="G117" s="19">
        <v>22</v>
      </c>
      <c r="H117" s="13">
        <f t="shared" si="11"/>
        <v>1056</v>
      </c>
      <c r="I117" s="14"/>
      <c r="J117" s="14"/>
      <c r="K117" s="15"/>
      <c r="L117" s="14"/>
      <c r="M117" s="14">
        <v>1</v>
      </c>
      <c r="N117" s="14">
        <f t="shared" si="13"/>
        <v>47</v>
      </c>
      <c r="O117" s="14"/>
      <c r="P117" s="14" t="s">
        <v>59</v>
      </c>
      <c r="Q117" s="15">
        <f t="shared" si="10"/>
        <v>1034</v>
      </c>
    </row>
    <row r="118" spans="2:17" s="16" customFormat="1" x14ac:dyDescent="0.3">
      <c r="B118" s="7" t="s">
        <v>246</v>
      </c>
      <c r="C118" s="8">
        <v>44193</v>
      </c>
      <c r="D118" s="9" t="s">
        <v>247</v>
      </c>
      <c r="E118" s="10" t="s">
        <v>22</v>
      </c>
      <c r="F118" s="11">
        <v>12</v>
      </c>
      <c r="G118" s="12">
        <v>155</v>
      </c>
      <c r="H118" s="13">
        <f t="shared" si="11"/>
        <v>1860</v>
      </c>
      <c r="I118" s="14"/>
      <c r="J118" s="14"/>
      <c r="K118" s="15"/>
      <c r="L118" s="14"/>
      <c r="M118" s="14">
        <f>2+1+1+1+1+1+1+1+3</f>
        <v>12</v>
      </c>
      <c r="N118" s="14">
        <f t="shared" si="13"/>
        <v>0</v>
      </c>
      <c r="O118" s="14"/>
      <c r="P118" s="14" t="s">
        <v>19</v>
      </c>
      <c r="Q118" s="15">
        <f t="shared" si="10"/>
        <v>0</v>
      </c>
    </row>
    <row r="119" spans="2:17" s="16" customFormat="1" x14ac:dyDescent="0.3">
      <c r="B119" s="7" t="s">
        <v>248</v>
      </c>
      <c r="C119" s="8">
        <v>44777</v>
      </c>
      <c r="D119" s="9" t="s">
        <v>249</v>
      </c>
      <c r="E119" s="10" t="s">
        <v>22</v>
      </c>
      <c r="F119" s="11">
        <v>90</v>
      </c>
      <c r="G119" s="12">
        <v>71.95</v>
      </c>
      <c r="H119" s="13">
        <f t="shared" si="11"/>
        <v>6475.5</v>
      </c>
      <c r="I119" s="14"/>
      <c r="J119" s="14"/>
      <c r="K119" s="15"/>
      <c r="L119" s="14"/>
      <c r="M119" s="14">
        <v>90</v>
      </c>
      <c r="N119" s="14">
        <f t="shared" si="13"/>
        <v>0</v>
      </c>
      <c r="O119" s="14"/>
      <c r="P119" s="14" t="s">
        <v>19</v>
      </c>
      <c r="Q119" s="15">
        <f t="shared" si="10"/>
        <v>0</v>
      </c>
    </row>
    <row r="120" spans="2:17" s="17" customFormat="1" ht="15.75" x14ac:dyDescent="0.25">
      <c r="B120" s="7" t="s">
        <v>250</v>
      </c>
      <c r="C120" s="8">
        <v>44193</v>
      </c>
      <c r="D120" s="9" t="s">
        <v>251</v>
      </c>
      <c r="E120" s="10" t="s">
        <v>22</v>
      </c>
      <c r="F120" s="11">
        <v>0</v>
      </c>
      <c r="G120" s="12">
        <v>190.68</v>
      </c>
      <c r="H120" s="13">
        <f t="shared" si="11"/>
        <v>0</v>
      </c>
      <c r="I120" s="14"/>
      <c r="J120" s="14"/>
      <c r="K120" s="15"/>
      <c r="L120" s="14"/>
      <c r="M120" s="14"/>
      <c r="N120" s="14">
        <f t="shared" si="13"/>
        <v>0</v>
      </c>
      <c r="O120" s="14"/>
      <c r="P120" s="14" t="s">
        <v>23</v>
      </c>
      <c r="Q120" s="15">
        <f t="shared" si="10"/>
        <v>0</v>
      </c>
    </row>
    <row r="121" spans="2:17" s="16" customFormat="1" x14ac:dyDescent="0.3">
      <c r="B121" s="7" t="s">
        <v>252</v>
      </c>
      <c r="C121" s="8">
        <v>44851</v>
      </c>
      <c r="D121" s="9" t="s">
        <v>253</v>
      </c>
      <c r="E121" s="10" t="s">
        <v>22</v>
      </c>
      <c r="F121" s="11">
        <v>1</v>
      </c>
      <c r="G121" s="12">
        <v>1187.08</v>
      </c>
      <c r="H121" s="13">
        <f t="shared" si="11"/>
        <v>1187.08</v>
      </c>
      <c r="I121" s="23">
        <v>44851</v>
      </c>
      <c r="J121" s="14">
        <v>20</v>
      </c>
      <c r="K121" s="15">
        <v>1187.08</v>
      </c>
      <c r="L121" s="21">
        <f>+J121*K121</f>
        <v>23741.599999999999</v>
      </c>
      <c r="M121" s="14">
        <v>12</v>
      </c>
      <c r="N121" s="14">
        <f t="shared" si="13"/>
        <v>9</v>
      </c>
      <c r="O121" s="14"/>
      <c r="P121" s="14" t="s">
        <v>19</v>
      </c>
      <c r="Q121" s="15">
        <f t="shared" si="10"/>
        <v>10683.72</v>
      </c>
    </row>
    <row r="122" spans="2:17" s="16" customFormat="1" x14ac:dyDescent="0.3">
      <c r="B122" s="7" t="s">
        <v>254</v>
      </c>
      <c r="C122" s="8">
        <v>44193</v>
      </c>
      <c r="D122" s="9" t="s">
        <v>255</v>
      </c>
      <c r="E122" s="10" t="s">
        <v>22</v>
      </c>
      <c r="F122" s="11">
        <v>0</v>
      </c>
      <c r="G122" s="12">
        <v>1400</v>
      </c>
      <c r="H122" s="13">
        <f t="shared" si="11"/>
        <v>0</v>
      </c>
      <c r="I122" s="14"/>
      <c r="J122" s="14"/>
      <c r="K122" s="15"/>
      <c r="L122" s="14"/>
      <c r="M122" s="14"/>
      <c r="N122" s="14">
        <f t="shared" si="13"/>
        <v>0</v>
      </c>
      <c r="O122" s="14"/>
      <c r="P122" s="14" t="s">
        <v>19</v>
      </c>
      <c r="Q122" s="15">
        <f t="shared" si="10"/>
        <v>0</v>
      </c>
    </row>
    <row r="123" spans="2:17" s="16" customFormat="1" x14ac:dyDescent="0.3">
      <c r="B123" s="7" t="s">
        <v>256</v>
      </c>
      <c r="C123" s="8">
        <v>44456</v>
      </c>
      <c r="D123" s="9" t="s">
        <v>257</v>
      </c>
      <c r="E123" s="10" t="s">
        <v>22</v>
      </c>
      <c r="F123" s="11">
        <v>13</v>
      </c>
      <c r="G123" s="12">
        <v>1099</v>
      </c>
      <c r="H123" s="13">
        <f t="shared" si="11"/>
        <v>14287</v>
      </c>
      <c r="I123" s="14"/>
      <c r="J123" s="14"/>
      <c r="K123" s="15"/>
      <c r="L123" s="14"/>
      <c r="M123" s="14">
        <v>7</v>
      </c>
      <c r="N123" s="14">
        <f t="shared" si="13"/>
        <v>6</v>
      </c>
      <c r="O123" s="14"/>
      <c r="P123" s="14" t="s">
        <v>19</v>
      </c>
      <c r="Q123" s="15">
        <f t="shared" si="10"/>
        <v>6594</v>
      </c>
    </row>
    <row r="124" spans="2:17" s="16" customFormat="1" x14ac:dyDescent="0.3">
      <c r="B124" s="7" t="s">
        <v>258</v>
      </c>
      <c r="C124" s="8">
        <v>44456</v>
      </c>
      <c r="D124" s="9" t="s">
        <v>259</v>
      </c>
      <c r="E124" s="10" t="s">
        <v>22</v>
      </c>
      <c r="F124" s="11">
        <v>18</v>
      </c>
      <c r="G124" s="12">
        <v>4000</v>
      </c>
      <c r="H124" s="13">
        <f t="shared" si="11"/>
        <v>72000</v>
      </c>
      <c r="I124" s="14"/>
      <c r="J124" s="14"/>
      <c r="K124" s="15"/>
      <c r="L124" s="14"/>
      <c r="M124" s="14">
        <f>4+4+3</f>
        <v>11</v>
      </c>
      <c r="N124" s="14">
        <f t="shared" si="13"/>
        <v>7</v>
      </c>
      <c r="O124" s="14"/>
      <c r="P124" s="14" t="s">
        <v>19</v>
      </c>
      <c r="Q124" s="15">
        <f t="shared" si="10"/>
        <v>28000</v>
      </c>
    </row>
    <row r="125" spans="2:17" s="16" customFormat="1" x14ac:dyDescent="0.3">
      <c r="B125" s="7" t="s">
        <v>260</v>
      </c>
      <c r="C125" s="8">
        <v>44193</v>
      </c>
      <c r="D125" s="9" t="s">
        <v>261</v>
      </c>
      <c r="E125" s="10" t="s">
        <v>22</v>
      </c>
      <c r="F125" s="11">
        <v>5</v>
      </c>
      <c r="G125" s="12">
        <v>1400</v>
      </c>
      <c r="H125" s="13">
        <f t="shared" si="11"/>
        <v>7000</v>
      </c>
      <c r="I125" s="14"/>
      <c r="J125" s="14"/>
      <c r="K125" s="15"/>
      <c r="L125" s="14"/>
      <c r="M125" s="14"/>
      <c r="N125" s="14">
        <f t="shared" si="13"/>
        <v>5</v>
      </c>
      <c r="O125" s="14"/>
      <c r="P125" s="14" t="s">
        <v>19</v>
      </c>
      <c r="Q125" s="15">
        <f t="shared" si="10"/>
        <v>7000</v>
      </c>
    </row>
    <row r="126" spans="2:17" s="17" customFormat="1" ht="15.75" x14ac:dyDescent="0.25">
      <c r="B126" s="7" t="s">
        <v>262</v>
      </c>
      <c r="C126" s="7" t="s">
        <v>160</v>
      </c>
      <c r="D126" s="26" t="s">
        <v>263</v>
      </c>
      <c r="E126" s="10" t="s">
        <v>22</v>
      </c>
      <c r="F126" s="27">
        <v>100</v>
      </c>
      <c r="G126" s="12">
        <v>28</v>
      </c>
      <c r="H126" s="13">
        <f t="shared" si="11"/>
        <v>2800</v>
      </c>
      <c r="I126" s="14"/>
      <c r="J126" s="14"/>
      <c r="K126" s="15"/>
      <c r="L126" s="14"/>
      <c r="M126" s="14"/>
      <c r="N126" s="14">
        <f t="shared" si="13"/>
        <v>100</v>
      </c>
      <c r="O126" s="14"/>
      <c r="P126" s="14" t="s">
        <v>59</v>
      </c>
      <c r="Q126" s="15">
        <f t="shared" si="10"/>
        <v>2800</v>
      </c>
    </row>
    <row r="127" spans="2:17" s="17" customFormat="1" ht="15.75" x14ac:dyDescent="0.25">
      <c r="B127" s="7" t="s">
        <v>264</v>
      </c>
      <c r="C127" s="7" t="s">
        <v>265</v>
      </c>
      <c r="D127" s="9" t="s">
        <v>266</v>
      </c>
      <c r="E127" s="10" t="s">
        <v>22</v>
      </c>
      <c r="F127" s="11">
        <v>0</v>
      </c>
      <c r="G127" s="19">
        <v>85</v>
      </c>
      <c r="H127" s="13">
        <f t="shared" si="11"/>
        <v>0</v>
      </c>
      <c r="I127" s="14"/>
      <c r="J127" s="14"/>
      <c r="K127" s="15"/>
      <c r="L127" s="14"/>
      <c r="M127" s="14"/>
      <c r="N127" s="14">
        <f t="shared" si="13"/>
        <v>0</v>
      </c>
      <c r="O127" s="14"/>
      <c r="P127" s="14" t="s">
        <v>23</v>
      </c>
      <c r="Q127" s="15">
        <f t="shared" si="10"/>
        <v>0</v>
      </c>
    </row>
    <row r="128" spans="2:17" s="17" customFormat="1" ht="15.75" x14ac:dyDescent="0.25">
      <c r="B128" s="7" t="s">
        <v>267</v>
      </c>
      <c r="C128" s="8">
        <v>44193</v>
      </c>
      <c r="D128" s="10" t="s">
        <v>268</v>
      </c>
      <c r="E128" s="10" t="s">
        <v>22</v>
      </c>
      <c r="F128" s="25">
        <v>1</v>
      </c>
      <c r="G128" s="12">
        <v>550</v>
      </c>
      <c r="H128" s="13">
        <f t="shared" si="11"/>
        <v>550</v>
      </c>
      <c r="I128" s="14"/>
      <c r="J128" s="14"/>
      <c r="K128" s="15"/>
      <c r="L128" s="14"/>
      <c r="M128" s="14"/>
      <c r="N128" s="14">
        <f t="shared" si="13"/>
        <v>1</v>
      </c>
      <c r="O128" s="14"/>
      <c r="P128" s="14" t="s">
        <v>23</v>
      </c>
      <c r="Q128" s="15">
        <f t="shared" si="10"/>
        <v>550</v>
      </c>
    </row>
    <row r="129" spans="2:17" s="16" customFormat="1" x14ac:dyDescent="0.3">
      <c r="B129" s="7" t="s">
        <v>269</v>
      </c>
      <c r="C129" s="8">
        <v>44193</v>
      </c>
      <c r="D129" s="10" t="s">
        <v>270</v>
      </c>
      <c r="E129" s="10" t="s">
        <v>22</v>
      </c>
      <c r="F129" s="7">
        <v>0</v>
      </c>
      <c r="G129" s="12">
        <v>60</v>
      </c>
      <c r="H129" s="13">
        <f t="shared" si="11"/>
        <v>0</v>
      </c>
      <c r="I129" s="14"/>
      <c r="J129" s="14"/>
      <c r="K129" s="15"/>
      <c r="L129" s="14"/>
      <c r="M129" s="14"/>
      <c r="N129" s="14">
        <f t="shared" si="13"/>
        <v>0</v>
      </c>
      <c r="O129" s="14"/>
      <c r="P129" s="14" t="s">
        <v>19</v>
      </c>
      <c r="Q129" s="15">
        <f t="shared" si="10"/>
        <v>0</v>
      </c>
    </row>
    <row r="130" spans="2:17" s="16" customFormat="1" x14ac:dyDescent="0.3">
      <c r="B130" s="7" t="s">
        <v>271</v>
      </c>
      <c r="C130" s="8">
        <v>45019</v>
      </c>
      <c r="D130" s="9" t="s">
        <v>272</v>
      </c>
      <c r="E130" s="10" t="s">
        <v>22</v>
      </c>
      <c r="F130" s="11">
        <f>7*12</f>
        <v>84</v>
      </c>
      <c r="G130" s="12">
        <v>115.53</v>
      </c>
      <c r="H130" s="13">
        <f t="shared" si="11"/>
        <v>9704.52</v>
      </c>
      <c r="I130" s="14"/>
      <c r="J130" s="14"/>
      <c r="K130" s="15"/>
      <c r="L130" s="14"/>
      <c r="M130" s="14">
        <f>2+1+2+1+1+1+1+1+1</f>
        <v>11</v>
      </c>
      <c r="N130" s="14">
        <f>+F130+J130-M130</f>
        <v>73</v>
      </c>
      <c r="O130" s="14"/>
      <c r="P130" s="14" t="s">
        <v>19</v>
      </c>
      <c r="Q130" s="15">
        <f t="shared" si="10"/>
        <v>8433.69</v>
      </c>
    </row>
    <row r="131" spans="2:17" s="16" customFormat="1" x14ac:dyDescent="0.3">
      <c r="B131" s="7" t="s">
        <v>273</v>
      </c>
      <c r="C131" s="8">
        <v>44656</v>
      </c>
      <c r="D131" s="9" t="s">
        <v>274</v>
      </c>
      <c r="E131" s="10" t="s">
        <v>22</v>
      </c>
      <c r="F131" s="11">
        <v>12</v>
      </c>
      <c r="G131" s="12">
        <v>128.62</v>
      </c>
      <c r="H131" s="13">
        <f t="shared" si="11"/>
        <v>1543.44</v>
      </c>
      <c r="I131" s="14"/>
      <c r="J131" s="14"/>
      <c r="K131" s="15"/>
      <c r="L131" s="14"/>
      <c r="M131" s="14">
        <v>12</v>
      </c>
      <c r="N131" s="14">
        <f t="shared" si="13"/>
        <v>0</v>
      </c>
      <c r="O131" s="14"/>
      <c r="P131" s="14" t="s">
        <v>19</v>
      </c>
      <c r="Q131" s="15">
        <f t="shared" si="10"/>
        <v>0</v>
      </c>
    </row>
    <row r="132" spans="2:17" s="16" customFormat="1" x14ac:dyDescent="0.3">
      <c r="B132" s="7" t="s">
        <v>275</v>
      </c>
      <c r="C132" s="8">
        <v>44659</v>
      </c>
      <c r="D132" s="9" t="s">
        <v>276</v>
      </c>
      <c r="E132" s="10" t="s">
        <v>22</v>
      </c>
      <c r="F132" s="11">
        <v>41</v>
      </c>
      <c r="G132" s="12">
        <v>325</v>
      </c>
      <c r="H132" s="13">
        <f t="shared" si="11"/>
        <v>13325</v>
      </c>
      <c r="I132" s="14"/>
      <c r="J132" s="14"/>
      <c r="K132" s="15"/>
      <c r="L132" s="14"/>
      <c r="M132" s="14"/>
      <c r="N132" s="14">
        <f t="shared" si="13"/>
        <v>41</v>
      </c>
      <c r="O132" s="14"/>
      <c r="P132" s="14" t="s">
        <v>19</v>
      </c>
      <c r="Q132" s="15">
        <f t="shared" si="10"/>
        <v>13325</v>
      </c>
    </row>
    <row r="133" spans="2:17" s="17" customFormat="1" ht="15.75" x14ac:dyDescent="0.25">
      <c r="B133" s="7" t="s">
        <v>277</v>
      </c>
      <c r="C133" s="8"/>
      <c r="D133" s="9" t="s">
        <v>278</v>
      </c>
      <c r="E133" s="10" t="s">
        <v>22</v>
      </c>
      <c r="F133" s="18">
        <f>8+48</f>
        <v>56</v>
      </c>
      <c r="G133" s="12"/>
      <c r="H133" s="13">
        <f t="shared" ref="H133:H138" si="14">+F133*G133</f>
        <v>0</v>
      </c>
      <c r="I133" s="14"/>
      <c r="J133" s="14"/>
      <c r="K133" s="15"/>
      <c r="L133" s="14"/>
      <c r="M133" s="14"/>
      <c r="N133" s="14">
        <f t="shared" si="13"/>
        <v>56</v>
      </c>
      <c r="O133" s="14"/>
      <c r="P133" s="14" t="s">
        <v>59</v>
      </c>
      <c r="Q133" s="15">
        <f t="shared" si="10"/>
        <v>0</v>
      </c>
    </row>
    <row r="134" spans="2:17" s="17" customFormat="1" ht="15.75" x14ac:dyDescent="0.25">
      <c r="B134" s="7" t="s">
        <v>279</v>
      </c>
      <c r="C134" s="8"/>
      <c r="D134" s="9" t="s">
        <v>280</v>
      </c>
      <c r="E134" s="10" t="s">
        <v>22</v>
      </c>
      <c r="F134" s="18">
        <v>74</v>
      </c>
      <c r="G134" s="12"/>
      <c r="H134" s="13">
        <f t="shared" si="14"/>
        <v>0</v>
      </c>
      <c r="I134" s="14"/>
      <c r="J134" s="14"/>
      <c r="K134" s="15"/>
      <c r="L134" s="14"/>
      <c r="M134" s="14"/>
      <c r="N134" s="14">
        <f t="shared" si="13"/>
        <v>74</v>
      </c>
      <c r="O134" s="14"/>
      <c r="P134" s="14" t="s">
        <v>59</v>
      </c>
      <c r="Q134" s="15">
        <f t="shared" si="10"/>
        <v>0</v>
      </c>
    </row>
    <row r="135" spans="2:17" s="17" customFormat="1" ht="15.75" x14ac:dyDescent="0.25">
      <c r="B135" s="7" t="s">
        <v>281</v>
      </c>
      <c r="C135" s="8"/>
      <c r="D135" s="9" t="s">
        <v>282</v>
      </c>
      <c r="E135" s="10" t="s">
        <v>22</v>
      </c>
      <c r="F135" s="18">
        <f>79+33+106</f>
        <v>218</v>
      </c>
      <c r="G135" s="12"/>
      <c r="H135" s="13">
        <f t="shared" si="14"/>
        <v>0</v>
      </c>
      <c r="I135" s="14"/>
      <c r="J135" s="14"/>
      <c r="K135" s="15"/>
      <c r="L135" s="14"/>
      <c r="M135" s="14"/>
      <c r="N135" s="14">
        <f t="shared" si="13"/>
        <v>218</v>
      </c>
      <c r="O135" s="14"/>
      <c r="P135" s="14" t="s">
        <v>59</v>
      </c>
      <c r="Q135" s="15">
        <f t="shared" si="10"/>
        <v>0</v>
      </c>
    </row>
    <row r="136" spans="2:17" s="17" customFormat="1" ht="15.75" x14ac:dyDescent="0.25">
      <c r="B136" s="7" t="s">
        <v>283</v>
      </c>
      <c r="C136" s="8"/>
      <c r="D136" s="9" t="s">
        <v>284</v>
      </c>
      <c r="E136" s="10" t="s">
        <v>22</v>
      </c>
      <c r="F136" s="18">
        <v>46</v>
      </c>
      <c r="G136" s="12"/>
      <c r="H136" s="13">
        <f t="shared" si="14"/>
        <v>0</v>
      </c>
      <c r="I136" s="14"/>
      <c r="J136" s="14"/>
      <c r="K136" s="15"/>
      <c r="L136" s="14"/>
      <c r="M136" s="14"/>
      <c r="N136" s="14">
        <f t="shared" si="13"/>
        <v>46</v>
      </c>
      <c r="O136" s="14"/>
      <c r="P136" s="14" t="s">
        <v>59</v>
      </c>
      <c r="Q136" s="15">
        <f t="shared" si="10"/>
        <v>0</v>
      </c>
    </row>
    <row r="137" spans="2:17" s="17" customFormat="1" ht="15.75" x14ac:dyDescent="0.25">
      <c r="B137" s="7" t="s">
        <v>285</v>
      </c>
      <c r="C137" s="8"/>
      <c r="D137" s="9" t="s">
        <v>286</v>
      </c>
      <c r="E137" s="10" t="s">
        <v>22</v>
      </c>
      <c r="F137" s="18">
        <v>41</v>
      </c>
      <c r="G137" s="12"/>
      <c r="H137" s="13">
        <f t="shared" si="14"/>
        <v>0</v>
      </c>
      <c r="I137" s="14"/>
      <c r="J137" s="14"/>
      <c r="K137" s="15"/>
      <c r="L137" s="14"/>
      <c r="M137" s="14"/>
      <c r="N137" s="14">
        <f t="shared" si="13"/>
        <v>41</v>
      </c>
      <c r="O137" s="14"/>
      <c r="P137" s="14" t="s">
        <v>59</v>
      </c>
      <c r="Q137" s="15">
        <f t="shared" si="10"/>
        <v>0</v>
      </c>
    </row>
    <row r="138" spans="2:17" s="17" customFormat="1" ht="15.75" x14ac:dyDescent="0.25">
      <c r="B138" s="7" t="s">
        <v>287</v>
      </c>
      <c r="C138" s="8"/>
      <c r="D138" s="9" t="s">
        <v>288</v>
      </c>
      <c r="E138" s="10" t="s">
        <v>22</v>
      </c>
      <c r="F138" s="18">
        <f>34+1</f>
        <v>35</v>
      </c>
      <c r="G138" s="12"/>
      <c r="H138" s="13">
        <f t="shared" si="14"/>
        <v>0</v>
      </c>
      <c r="I138" s="14"/>
      <c r="J138" s="14"/>
      <c r="K138" s="15"/>
      <c r="L138" s="14"/>
      <c r="M138" s="14"/>
      <c r="N138" s="14">
        <f t="shared" si="13"/>
        <v>35</v>
      </c>
      <c r="O138" s="14"/>
      <c r="P138" s="14" t="s">
        <v>59</v>
      </c>
      <c r="Q138" s="15">
        <f t="shared" si="10"/>
        <v>0</v>
      </c>
    </row>
    <row r="139" spans="2:17" s="16" customFormat="1" x14ac:dyDescent="0.3">
      <c r="B139" s="7" t="s">
        <v>289</v>
      </c>
      <c r="C139" s="22">
        <v>44748</v>
      </c>
      <c r="D139" s="9" t="s">
        <v>290</v>
      </c>
      <c r="E139" s="10" t="s">
        <v>22</v>
      </c>
      <c r="F139" s="11"/>
      <c r="G139" s="19">
        <v>161.66999999999999</v>
      </c>
      <c r="H139" s="13">
        <f>F139*G139</f>
        <v>0</v>
      </c>
      <c r="I139" s="23">
        <v>44748</v>
      </c>
      <c r="J139" s="15">
        <f>3*6</f>
        <v>18</v>
      </c>
      <c r="K139" s="15">
        <v>161.66666666666666</v>
      </c>
      <c r="L139" s="21">
        <f>+J139*K139</f>
        <v>2910</v>
      </c>
      <c r="M139" s="14">
        <v>18</v>
      </c>
      <c r="N139" s="14">
        <f t="shared" si="13"/>
        <v>0</v>
      </c>
      <c r="O139" s="14"/>
      <c r="P139" s="14" t="s">
        <v>19</v>
      </c>
      <c r="Q139" s="15">
        <f t="shared" si="10"/>
        <v>0</v>
      </c>
    </row>
    <row r="140" spans="2:17" s="17" customFormat="1" ht="15.75" x14ac:dyDescent="0.25">
      <c r="B140" s="7" t="s">
        <v>291</v>
      </c>
      <c r="C140" s="8">
        <v>44193</v>
      </c>
      <c r="D140" s="9" t="s">
        <v>292</v>
      </c>
      <c r="E140" s="10" t="s">
        <v>22</v>
      </c>
      <c r="F140" s="11">
        <v>8</v>
      </c>
      <c r="G140" s="12">
        <v>1375</v>
      </c>
      <c r="H140" s="13">
        <f>F140*G140</f>
        <v>11000</v>
      </c>
      <c r="I140" s="14"/>
      <c r="J140" s="14"/>
      <c r="K140" s="15"/>
      <c r="L140" s="14"/>
      <c r="M140" s="14"/>
      <c r="N140" s="14">
        <f t="shared" si="13"/>
        <v>8</v>
      </c>
      <c r="O140" s="14"/>
      <c r="P140" s="14" t="s">
        <v>23</v>
      </c>
      <c r="Q140" s="15">
        <f t="shared" si="10"/>
        <v>11000</v>
      </c>
    </row>
    <row r="141" spans="2:17" s="17" customFormat="1" ht="15.75" x14ac:dyDescent="0.25">
      <c r="B141" s="7" t="s">
        <v>293</v>
      </c>
      <c r="C141" s="7" t="s">
        <v>265</v>
      </c>
      <c r="D141" s="9" t="s">
        <v>294</v>
      </c>
      <c r="E141" s="10" t="s">
        <v>22</v>
      </c>
      <c r="F141" s="11">
        <v>8</v>
      </c>
      <c r="G141" s="12">
        <v>1375</v>
      </c>
      <c r="H141" s="13">
        <f>F141*G141</f>
        <v>11000</v>
      </c>
      <c r="I141" s="14"/>
      <c r="J141" s="14"/>
      <c r="K141" s="15"/>
      <c r="L141" s="14"/>
      <c r="M141" s="14">
        <v>1</v>
      </c>
      <c r="N141" s="14">
        <f t="shared" si="13"/>
        <v>7</v>
      </c>
      <c r="O141" s="14"/>
      <c r="P141" s="14" t="s">
        <v>23</v>
      </c>
      <c r="Q141" s="15">
        <f t="shared" si="10"/>
        <v>9625</v>
      </c>
    </row>
    <row r="142" spans="2:17" s="17" customFormat="1" ht="15.75" x14ac:dyDescent="0.25">
      <c r="B142" s="7" t="s">
        <v>295</v>
      </c>
      <c r="C142" s="8"/>
      <c r="D142" s="9" t="s">
        <v>296</v>
      </c>
      <c r="E142" s="10" t="s">
        <v>22</v>
      </c>
      <c r="F142" s="11">
        <v>7</v>
      </c>
      <c r="G142" s="12"/>
      <c r="H142" s="13"/>
      <c r="I142" s="14"/>
      <c r="J142" s="14"/>
      <c r="K142" s="15"/>
      <c r="L142" s="14"/>
      <c r="M142" s="14"/>
      <c r="N142" s="14">
        <f t="shared" si="13"/>
        <v>7</v>
      </c>
      <c r="O142" s="14"/>
      <c r="P142" s="14" t="s">
        <v>23</v>
      </c>
      <c r="Q142" s="15">
        <f t="shared" si="10"/>
        <v>0</v>
      </c>
    </row>
    <row r="143" spans="2:17" s="17" customFormat="1" ht="15.75" x14ac:dyDescent="0.25">
      <c r="B143" s="7" t="s">
        <v>297</v>
      </c>
      <c r="C143" s="8">
        <v>44193</v>
      </c>
      <c r="D143" s="9" t="s">
        <v>298</v>
      </c>
      <c r="E143" s="10" t="s">
        <v>22</v>
      </c>
      <c r="F143" s="11">
        <v>4</v>
      </c>
      <c r="G143" s="12">
        <v>1375</v>
      </c>
      <c r="H143" s="13">
        <f>F143*G143</f>
        <v>5500</v>
      </c>
      <c r="I143" s="14"/>
      <c r="J143" s="14"/>
      <c r="K143" s="15"/>
      <c r="L143" s="14"/>
      <c r="M143" s="14"/>
      <c r="N143" s="14">
        <f t="shared" si="13"/>
        <v>4</v>
      </c>
      <c r="O143" s="14"/>
      <c r="P143" s="14" t="s">
        <v>23</v>
      </c>
      <c r="Q143" s="15">
        <f t="shared" si="10"/>
        <v>5500</v>
      </c>
    </row>
    <row r="144" spans="2:17" s="17" customFormat="1" ht="15.75" x14ac:dyDescent="0.25">
      <c r="B144" s="7" t="s">
        <v>299</v>
      </c>
      <c r="C144" s="7"/>
      <c r="D144" s="9" t="s">
        <v>300</v>
      </c>
      <c r="E144" s="10" t="s">
        <v>22</v>
      </c>
      <c r="F144" s="11">
        <v>2</v>
      </c>
      <c r="G144" s="12"/>
      <c r="H144" s="13"/>
      <c r="I144" s="14"/>
      <c r="J144" s="14"/>
      <c r="K144" s="15"/>
      <c r="L144" s="14"/>
      <c r="M144" s="14"/>
      <c r="N144" s="14">
        <f t="shared" si="13"/>
        <v>2</v>
      </c>
      <c r="O144" s="14"/>
      <c r="P144" s="14" t="s">
        <v>23</v>
      </c>
      <c r="Q144" s="15">
        <f t="shared" si="10"/>
        <v>0</v>
      </c>
    </row>
    <row r="145" spans="2:17" s="17" customFormat="1" ht="15.75" x14ac:dyDescent="0.25">
      <c r="B145" s="7" t="s">
        <v>301</v>
      </c>
      <c r="C145" s="8"/>
      <c r="D145" s="9" t="s">
        <v>302</v>
      </c>
      <c r="E145" s="10" t="s">
        <v>22</v>
      </c>
      <c r="F145" s="11">
        <v>2</v>
      </c>
      <c r="G145" s="12"/>
      <c r="H145" s="13"/>
      <c r="I145" s="14"/>
      <c r="J145" s="14"/>
      <c r="K145" s="15"/>
      <c r="L145" s="14"/>
      <c r="M145" s="14"/>
      <c r="N145" s="14">
        <f t="shared" si="13"/>
        <v>2</v>
      </c>
      <c r="O145" s="14"/>
      <c r="P145" s="14" t="s">
        <v>23</v>
      </c>
      <c r="Q145" s="15">
        <f t="shared" si="10"/>
        <v>0</v>
      </c>
    </row>
    <row r="146" spans="2:17" s="17" customFormat="1" ht="15.75" x14ac:dyDescent="0.25">
      <c r="B146" s="7" t="s">
        <v>303</v>
      </c>
      <c r="C146" s="7" t="s">
        <v>160</v>
      </c>
      <c r="D146" s="9" t="s">
        <v>304</v>
      </c>
      <c r="E146" s="10" t="s">
        <v>22</v>
      </c>
      <c r="F146" s="11">
        <v>8</v>
      </c>
      <c r="G146" s="12">
        <v>1375</v>
      </c>
      <c r="H146" s="13">
        <f>F146*G146</f>
        <v>11000</v>
      </c>
      <c r="I146" s="14"/>
      <c r="J146" s="14"/>
      <c r="K146" s="15"/>
      <c r="L146" s="14"/>
      <c r="M146" s="14">
        <v>2</v>
      </c>
      <c r="N146" s="14">
        <f t="shared" si="13"/>
        <v>6</v>
      </c>
      <c r="O146" s="14"/>
      <c r="P146" s="14" t="s">
        <v>23</v>
      </c>
      <c r="Q146" s="15">
        <f t="shared" si="10"/>
        <v>8250</v>
      </c>
    </row>
    <row r="147" spans="2:17" s="17" customFormat="1" ht="15.75" x14ac:dyDescent="0.25">
      <c r="B147" s="7" t="s">
        <v>305</v>
      </c>
      <c r="C147" s="8">
        <v>45020</v>
      </c>
      <c r="D147" s="9" t="s">
        <v>306</v>
      </c>
      <c r="E147" s="10" t="s">
        <v>22</v>
      </c>
      <c r="F147" s="25">
        <v>30</v>
      </c>
      <c r="G147" s="12">
        <v>436.6</v>
      </c>
      <c r="H147" s="13">
        <f>F147*G147</f>
        <v>13098</v>
      </c>
      <c r="I147" s="14"/>
      <c r="J147" s="14"/>
      <c r="K147" s="15"/>
      <c r="L147" s="14"/>
      <c r="M147" s="14"/>
      <c r="N147" s="14">
        <f t="shared" si="13"/>
        <v>30</v>
      </c>
      <c r="O147" s="14"/>
      <c r="P147" s="14" t="s">
        <v>23</v>
      </c>
      <c r="Q147" s="15">
        <f t="shared" si="10"/>
        <v>13098</v>
      </c>
    </row>
    <row r="148" spans="2:17" s="17" customFormat="1" ht="15.75" x14ac:dyDescent="0.25">
      <c r="B148" s="7" t="s">
        <v>307</v>
      </c>
      <c r="C148" s="8"/>
      <c r="D148" s="9" t="s">
        <v>308</v>
      </c>
      <c r="E148" s="10" t="s">
        <v>22</v>
      </c>
      <c r="F148" s="11">
        <f>25+28</f>
        <v>53</v>
      </c>
      <c r="G148" s="12"/>
      <c r="H148" s="13"/>
      <c r="I148" s="14"/>
      <c r="J148" s="14"/>
      <c r="K148" s="15"/>
      <c r="L148" s="14"/>
      <c r="M148" s="14">
        <v>10</v>
      </c>
      <c r="N148" s="14">
        <f t="shared" si="13"/>
        <v>43</v>
      </c>
      <c r="O148" s="14"/>
      <c r="P148" s="14" t="s">
        <v>23</v>
      </c>
      <c r="Q148" s="15">
        <f t="shared" si="10"/>
        <v>0</v>
      </c>
    </row>
    <row r="149" spans="2:17" s="17" customFormat="1" ht="15.75" x14ac:dyDescent="0.25">
      <c r="B149" s="7" t="s">
        <v>309</v>
      </c>
      <c r="C149" s="8"/>
      <c r="D149" s="9" t="s">
        <v>310</v>
      </c>
      <c r="E149" s="10" t="s">
        <v>22</v>
      </c>
      <c r="F149" s="11">
        <v>5</v>
      </c>
      <c r="G149" s="12"/>
      <c r="H149" s="13"/>
      <c r="I149" s="14"/>
      <c r="J149" s="14"/>
      <c r="K149" s="15"/>
      <c r="L149" s="14"/>
      <c r="M149" s="14"/>
      <c r="N149" s="14">
        <f t="shared" si="13"/>
        <v>5</v>
      </c>
      <c r="O149" s="14"/>
      <c r="P149" s="14" t="s">
        <v>23</v>
      </c>
      <c r="Q149" s="15">
        <f t="shared" si="10"/>
        <v>0</v>
      </c>
    </row>
    <row r="150" spans="2:17" s="17" customFormat="1" ht="15.75" x14ac:dyDescent="0.25">
      <c r="B150" s="7" t="s">
        <v>311</v>
      </c>
      <c r="C150" s="7" t="s">
        <v>160</v>
      </c>
      <c r="D150" s="9" t="s">
        <v>312</v>
      </c>
      <c r="E150" s="10" t="s">
        <v>22</v>
      </c>
      <c r="F150" s="11">
        <v>3</v>
      </c>
      <c r="G150" s="12">
        <v>1180</v>
      </c>
      <c r="H150" s="13">
        <f>F150*G150</f>
        <v>3540</v>
      </c>
      <c r="I150" s="14"/>
      <c r="J150" s="14"/>
      <c r="K150" s="15"/>
      <c r="L150" s="14"/>
      <c r="M150" s="14"/>
      <c r="N150" s="14">
        <f t="shared" si="13"/>
        <v>3</v>
      </c>
      <c r="O150" s="14"/>
      <c r="P150" s="14" t="s">
        <v>23</v>
      </c>
      <c r="Q150" s="15">
        <f t="shared" si="10"/>
        <v>3540</v>
      </c>
    </row>
    <row r="151" spans="2:17" s="17" customFormat="1" ht="15.75" x14ac:dyDescent="0.25">
      <c r="B151" s="7" t="s">
        <v>313</v>
      </c>
      <c r="C151" s="8">
        <v>44193</v>
      </c>
      <c r="D151" s="9" t="s">
        <v>314</v>
      </c>
      <c r="E151" s="10" t="s">
        <v>22</v>
      </c>
      <c r="F151" s="25">
        <v>9</v>
      </c>
      <c r="G151" s="12">
        <v>1180</v>
      </c>
      <c r="H151" s="13">
        <f>F151*G151</f>
        <v>10620</v>
      </c>
      <c r="I151" s="14"/>
      <c r="J151" s="14"/>
      <c r="K151" s="15"/>
      <c r="L151" s="14"/>
      <c r="M151" s="14"/>
      <c r="N151" s="14">
        <f t="shared" si="13"/>
        <v>9</v>
      </c>
      <c r="O151" s="14"/>
      <c r="P151" s="14" t="s">
        <v>23</v>
      </c>
      <c r="Q151" s="15">
        <f t="shared" si="10"/>
        <v>10620</v>
      </c>
    </row>
    <row r="152" spans="2:17" s="17" customFormat="1" ht="15.75" x14ac:dyDescent="0.25">
      <c r="B152" s="7" t="s">
        <v>315</v>
      </c>
      <c r="C152" s="8"/>
      <c r="D152" s="9" t="s">
        <v>316</v>
      </c>
      <c r="E152" s="10" t="s">
        <v>22</v>
      </c>
      <c r="F152" s="11">
        <v>1</v>
      </c>
      <c r="G152" s="12"/>
      <c r="H152" s="13"/>
      <c r="I152" s="14"/>
      <c r="J152" s="14"/>
      <c r="K152" s="15"/>
      <c r="L152" s="14"/>
      <c r="M152" s="14"/>
      <c r="N152" s="14">
        <f t="shared" si="13"/>
        <v>1</v>
      </c>
      <c r="O152" s="14"/>
      <c r="P152" s="14" t="s">
        <v>23</v>
      </c>
      <c r="Q152" s="15">
        <f t="shared" si="10"/>
        <v>0</v>
      </c>
    </row>
    <row r="153" spans="2:17" s="17" customFormat="1" ht="15.75" x14ac:dyDescent="0.25">
      <c r="B153" s="7" t="s">
        <v>317</v>
      </c>
      <c r="C153" s="7" t="s">
        <v>160</v>
      </c>
      <c r="D153" s="9" t="s">
        <v>318</v>
      </c>
      <c r="E153" s="10" t="s">
        <v>22</v>
      </c>
      <c r="F153" s="11">
        <v>8</v>
      </c>
      <c r="G153" s="19">
        <v>1375</v>
      </c>
      <c r="H153" s="13">
        <f t="shared" ref="H153:H165" si="15">F153*G153</f>
        <v>11000</v>
      </c>
      <c r="I153" s="14"/>
      <c r="J153" s="14"/>
      <c r="K153" s="15"/>
      <c r="L153" s="14"/>
      <c r="M153" s="14"/>
      <c r="N153" s="14">
        <f t="shared" si="13"/>
        <v>8</v>
      </c>
      <c r="O153" s="14"/>
      <c r="P153" s="14" t="s">
        <v>23</v>
      </c>
      <c r="Q153" s="15">
        <f t="shared" ref="Q153:Q216" si="16">+G153*N153</f>
        <v>11000</v>
      </c>
    </row>
    <row r="154" spans="2:17" s="17" customFormat="1" ht="15.75" x14ac:dyDescent="0.25">
      <c r="B154" s="7" t="s">
        <v>319</v>
      </c>
      <c r="C154" s="8">
        <v>44193</v>
      </c>
      <c r="D154" s="9" t="s">
        <v>320</v>
      </c>
      <c r="E154" s="10" t="s">
        <v>22</v>
      </c>
      <c r="F154" s="11">
        <v>4</v>
      </c>
      <c r="G154" s="12">
        <v>1294.3699999999999</v>
      </c>
      <c r="H154" s="13">
        <f t="shared" si="15"/>
        <v>5177.4799999999996</v>
      </c>
      <c r="I154" s="14"/>
      <c r="J154" s="14"/>
      <c r="K154" s="15"/>
      <c r="L154" s="14"/>
      <c r="M154" s="14"/>
      <c r="N154" s="14">
        <f t="shared" si="13"/>
        <v>4</v>
      </c>
      <c r="O154" s="14"/>
      <c r="P154" s="14" t="s">
        <v>23</v>
      </c>
      <c r="Q154" s="15">
        <f t="shared" si="16"/>
        <v>5177.4799999999996</v>
      </c>
    </row>
    <row r="155" spans="2:17" s="17" customFormat="1" ht="15.75" x14ac:dyDescent="0.25">
      <c r="B155" s="7" t="s">
        <v>321</v>
      </c>
      <c r="C155" s="7" t="s">
        <v>265</v>
      </c>
      <c r="D155" s="9" t="s">
        <v>322</v>
      </c>
      <c r="E155" s="10" t="s">
        <v>22</v>
      </c>
      <c r="F155" s="11">
        <v>4</v>
      </c>
      <c r="G155" s="12">
        <v>2600</v>
      </c>
      <c r="H155" s="13">
        <f t="shared" si="15"/>
        <v>10400</v>
      </c>
      <c r="I155" s="14"/>
      <c r="J155" s="14"/>
      <c r="K155" s="15"/>
      <c r="L155" s="14"/>
      <c r="M155" s="14"/>
      <c r="N155" s="14">
        <f t="shared" si="13"/>
        <v>4</v>
      </c>
      <c r="O155" s="14"/>
      <c r="P155" s="14" t="s">
        <v>23</v>
      </c>
      <c r="Q155" s="15">
        <f t="shared" si="16"/>
        <v>10400</v>
      </c>
    </row>
    <row r="156" spans="2:17" s="17" customFormat="1" ht="15.75" x14ac:dyDescent="0.25">
      <c r="B156" s="7" t="s">
        <v>323</v>
      </c>
      <c r="C156" s="8">
        <v>44193</v>
      </c>
      <c r="D156" s="9" t="s">
        <v>324</v>
      </c>
      <c r="E156" s="10" t="s">
        <v>22</v>
      </c>
      <c r="F156" s="11">
        <v>2</v>
      </c>
      <c r="G156" s="12">
        <v>2600</v>
      </c>
      <c r="H156" s="13">
        <f t="shared" si="15"/>
        <v>5200</v>
      </c>
      <c r="I156" s="14"/>
      <c r="J156" s="14"/>
      <c r="K156" s="15"/>
      <c r="L156" s="14"/>
      <c r="M156" s="14">
        <v>2</v>
      </c>
      <c r="N156" s="14">
        <f t="shared" si="13"/>
        <v>0</v>
      </c>
      <c r="O156" s="14"/>
      <c r="P156" s="14" t="s">
        <v>23</v>
      </c>
      <c r="Q156" s="15">
        <f t="shared" si="16"/>
        <v>0</v>
      </c>
    </row>
    <row r="157" spans="2:17" s="24" customFormat="1" ht="15.75" x14ac:dyDescent="0.25">
      <c r="B157" s="7" t="s">
        <v>325</v>
      </c>
      <c r="C157" s="22">
        <v>44852</v>
      </c>
      <c r="D157" s="10" t="s">
        <v>326</v>
      </c>
      <c r="E157" s="10" t="s">
        <v>22</v>
      </c>
      <c r="F157" s="25">
        <v>46</v>
      </c>
      <c r="G157" s="12">
        <v>5.07</v>
      </c>
      <c r="H157" s="13">
        <f t="shared" si="15"/>
        <v>233.22000000000003</v>
      </c>
      <c r="I157" s="23">
        <v>44852</v>
      </c>
      <c r="J157" s="14">
        <f>10*100</f>
        <v>1000</v>
      </c>
      <c r="K157" s="15">
        <v>5.07</v>
      </c>
      <c r="L157" s="21">
        <f>+J157*K157</f>
        <v>5070</v>
      </c>
      <c r="M157" s="14">
        <f>12+100+15+819</f>
        <v>946</v>
      </c>
      <c r="N157" s="14">
        <f t="shared" si="13"/>
        <v>100</v>
      </c>
      <c r="O157" s="14" t="s">
        <v>170</v>
      </c>
      <c r="P157" s="14" t="s">
        <v>59</v>
      </c>
      <c r="Q157" s="15">
        <f t="shared" si="16"/>
        <v>507</v>
      </c>
    </row>
    <row r="158" spans="2:17" s="17" customFormat="1" ht="15.75" x14ac:dyDescent="0.25">
      <c r="B158" s="7" t="s">
        <v>327</v>
      </c>
      <c r="C158" s="8">
        <v>44193</v>
      </c>
      <c r="D158" s="10" t="s">
        <v>328</v>
      </c>
      <c r="E158" s="10" t="s">
        <v>22</v>
      </c>
      <c r="F158" s="25">
        <v>15</v>
      </c>
      <c r="G158" s="12">
        <v>4.55</v>
      </c>
      <c r="H158" s="13">
        <f t="shared" si="15"/>
        <v>68.25</v>
      </c>
      <c r="I158" s="14"/>
      <c r="J158" s="14"/>
      <c r="K158" s="15"/>
      <c r="L158" s="14"/>
      <c r="M158" s="14"/>
      <c r="N158" s="14">
        <f t="shared" si="13"/>
        <v>15</v>
      </c>
      <c r="O158" s="14"/>
      <c r="P158" s="14" t="s">
        <v>59</v>
      </c>
      <c r="Q158" s="15">
        <f t="shared" si="16"/>
        <v>68.25</v>
      </c>
    </row>
    <row r="159" spans="2:17" s="17" customFormat="1" ht="15.75" x14ac:dyDescent="0.25">
      <c r="B159" s="7" t="s">
        <v>329</v>
      </c>
      <c r="C159" s="8">
        <v>44193</v>
      </c>
      <c r="D159" s="9" t="s">
        <v>330</v>
      </c>
      <c r="E159" s="10" t="s">
        <v>22</v>
      </c>
      <c r="F159" s="25">
        <v>820</v>
      </c>
      <c r="G159" s="12">
        <v>7.5</v>
      </c>
      <c r="H159" s="13">
        <f t="shared" si="15"/>
        <v>6150</v>
      </c>
      <c r="I159" s="14"/>
      <c r="J159" s="14"/>
      <c r="K159" s="15"/>
      <c r="L159" s="14"/>
      <c r="M159" s="14"/>
      <c r="N159" s="14">
        <f t="shared" si="13"/>
        <v>820</v>
      </c>
      <c r="O159" s="14"/>
      <c r="P159" s="14" t="s">
        <v>59</v>
      </c>
      <c r="Q159" s="15">
        <f t="shared" si="16"/>
        <v>6150</v>
      </c>
    </row>
    <row r="160" spans="2:17" s="16" customFormat="1" x14ac:dyDescent="0.3">
      <c r="B160" s="7" t="s">
        <v>331</v>
      </c>
      <c r="C160" s="8">
        <v>44659</v>
      </c>
      <c r="D160" s="9" t="s">
        <v>332</v>
      </c>
      <c r="E160" s="10" t="s">
        <v>22</v>
      </c>
      <c r="F160" s="18">
        <f>30*100</f>
        <v>3000</v>
      </c>
      <c r="G160" s="12">
        <v>3.4</v>
      </c>
      <c r="H160" s="13">
        <f t="shared" si="15"/>
        <v>10200</v>
      </c>
      <c r="I160" s="14"/>
      <c r="J160" s="14"/>
      <c r="K160" s="15"/>
      <c r="L160" s="14"/>
      <c r="M160" s="14">
        <v>3000</v>
      </c>
      <c r="N160" s="14">
        <f t="shared" si="13"/>
        <v>0</v>
      </c>
      <c r="O160" s="14"/>
      <c r="P160" s="14" t="s">
        <v>19</v>
      </c>
      <c r="Q160" s="15">
        <f t="shared" si="16"/>
        <v>0</v>
      </c>
    </row>
    <row r="161" spans="2:17" s="16" customFormat="1" x14ac:dyDescent="0.3">
      <c r="B161" s="7" t="s">
        <v>333</v>
      </c>
      <c r="C161" s="22">
        <v>45019</v>
      </c>
      <c r="D161" s="10" t="s">
        <v>334</v>
      </c>
      <c r="E161" s="10" t="s">
        <v>22</v>
      </c>
      <c r="F161" s="18">
        <v>0</v>
      </c>
      <c r="G161" s="12">
        <v>4.01</v>
      </c>
      <c r="H161" s="13">
        <f t="shared" si="15"/>
        <v>0</v>
      </c>
      <c r="I161" s="23">
        <v>45019</v>
      </c>
      <c r="J161" s="28">
        <v>700</v>
      </c>
      <c r="K161" s="15">
        <f>3.4+0.612</f>
        <v>4.0119999999999996</v>
      </c>
      <c r="L161" s="21">
        <f>+J161*K161</f>
        <v>2808.3999999999996</v>
      </c>
      <c r="M161" s="14">
        <f>400+100+100</f>
        <v>600</v>
      </c>
      <c r="N161" s="29">
        <f>+F161+J161-M161</f>
        <v>100</v>
      </c>
      <c r="O161" s="14"/>
      <c r="P161" s="14" t="s">
        <v>19</v>
      </c>
      <c r="Q161" s="15">
        <f t="shared" si="16"/>
        <v>401</v>
      </c>
    </row>
    <row r="162" spans="2:17" s="16" customFormat="1" x14ac:dyDescent="0.3">
      <c r="B162" s="7" t="s">
        <v>335</v>
      </c>
      <c r="C162" s="22">
        <v>44778</v>
      </c>
      <c r="D162" s="9" t="s">
        <v>336</v>
      </c>
      <c r="E162" s="10" t="s">
        <v>22</v>
      </c>
      <c r="F162" s="18">
        <f>25*100</f>
        <v>2500</v>
      </c>
      <c r="G162" s="12">
        <v>4.8899999999999997</v>
      </c>
      <c r="H162" s="13">
        <f t="shared" si="15"/>
        <v>12225</v>
      </c>
      <c r="I162" s="23">
        <v>44778</v>
      </c>
      <c r="J162" s="28">
        <f>10*100</f>
        <v>1000</v>
      </c>
      <c r="K162" s="15">
        <v>4.8899999999999997</v>
      </c>
      <c r="L162" s="21">
        <f>+J162*K162</f>
        <v>4890</v>
      </c>
      <c r="M162" s="14">
        <v>3500</v>
      </c>
      <c r="N162" s="14">
        <f t="shared" si="13"/>
        <v>0</v>
      </c>
      <c r="O162" s="14" t="s">
        <v>337</v>
      </c>
      <c r="P162" s="14" t="s">
        <v>19</v>
      </c>
      <c r="Q162" s="15">
        <f t="shared" si="16"/>
        <v>0</v>
      </c>
    </row>
    <row r="163" spans="2:17" s="16" customFormat="1" x14ac:dyDescent="0.3">
      <c r="B163" s="7" t="s">
        <v>338</v>
      </c>
      <c r="C163" s="22">
        <v>45019</v>
      </c>
      <c r="D163" s="9" t="s">
        <v>339</v>
      </c>
      <c r="E163" s="10" t="s">
        <v>22</v>
      </c>
      <c r="F163" s="18">
        <f>60*100</f>
        <v>6000</v>
      </c>
      <c r="G163" s="12">
        <v>9.56</v>
      </c>
      <c r="H163" s="13">
        <f t="shared" si="15"/>
        <v>57360</v>
      </c>
      <c r="I163" s="23">
        <v>45019</v>
      </c>
      <c r="J163" s="28">
        <v>700</v>
      </c>
      <c r="K163" s="15">
        <v>9.56</v>
      </c>
      <c r="L163" s="21">
        <f t="shared" ref="L163:L166" si="17">+J163*K163</f>
        <v>6692</v>
      </c>
      <c r="M163" s="14">
        <f>100+100+100+3600+100</f>
        <v>4000</v>
      </c>
      <c r="N163" s="28">
        <f t="shared" si="13"/>
        <v>2700</v>
      </c>
      <c r="O163" s="14"/>
      <c r="P163" s="14" t="s">
        <v>19</v>
      </c>
      <c r="Q163" s="15">
        <f t="shared" si="16"/>
        <v>25812</v>
      </c>
    </row>
    <row r="164" spans="2:17" s="16" customFormat="1" x14ac:dyDescent="0.3">
      <c r="B164" s="7" t="s">
        <v>340</v>
      </c>
      <c r="C164" s="22">
        <v>45019</v>
      </c>
      <c r="D164" s="9" t="s">
        <v>341</v>
      </c>
      <c r="E164" s="10" t="s">
        <v>22</v>
      </c>
      <c r="F164" s="18">
        <f>30*100</f>
        <v>3000</v>
      </c>
      <c r="G164" s="12">
        <v>11.21</v>
      </c>
      <c r="H164" s="13">
        <f t="shared" si="15"/>
        <v>33630</v>
      </c>
      <c r="I164" s="23">
        <v>45019</v>
      </c>
      <c r="J164" s="28">
        <f>7*100</f>
        <v>700</v>
      </c>
      <c r="K164" s="15">
        <v>11.21</v>
      </c>
      <c r="L164" s="21">
        <f t="shared" si="17"/>
        <v>7847.0000000000009</v>
      </c>
      <c r="M164" s="14">
        <v>3100</v>
      </c>
      <c r="N164" s="14">
        <f t="shared" si="13"/>
        <v>600</v>
      </c>
      <c r="O164" s="14"/>
      <c r="P164" s="14" t="s">
        <v>19</v>
      </c>
      <c r="Q164" s="15">
        <f t="shared" si="16"/>
        <v>6726.0000000000009</v>
      </c>
    </row>
    <row r="165" spans="2:17" s="16" customFormat="1" x14ac:dyDescent="0.3">
      <c r="B165" s="7" t="s">
        <v>342</v>
      </c>
      <c r="C165" s="8">
        <v>44193</v>
      </c>
      <c r="D165" s="9" t="s">
        <v>343</v>
      </c>
      <c r="E165" s="10" t="s">
        <v>22</v>
      </c>
      <c r="F165" s="11">
        <f>4+8</f>
        <v>12</v>
      </c>
      <c r="G165" s="12">
        <v>150</v>
      </c>
      <c r="H165" s="13">
        <f t="shared" si="15"/>
        <v>1800</v>
      </c>
      <c r="I165" s="14"/>
      <c r="J165" s="28"/>
      <c r="K165" s="15"/>
      <c r="L165" s="21">
        <f t="shared" si="17"/>
        <v>0</v>
      </c>
      <c r="M165" s="14">
        <v>5</v>
      </c>
      <c r="N165" s="14">
        <f t="shared" si="13"/>
        <v>7</v>
      </c>
      <c r="O165" s="14"/>
      <c r="P165" s="14" t="s">
        <v>19</v>
      </c>
      <c r="Q165" s="15">
        <f t="shared" si="16"/>
        <v>1050</v>
      </c>
    </row>
    <row r="166" spans="2:17" s="17" customFormat="1" ht="15.75" x14ac:dyDescent="0.25">
      <c r="B166" s="7" t="s">
        <v>344</v>
      </c>
      <c r="C166" s="8"/>
      <c r="D166" s="9" t="s">
        <v>345</v>
      </c>
      <c r="E166" s="10" t="s">
        <v>22</v>
      </c>
      <c r="F166" s="18">
        <v>2</v>
      </c>
      <c r="G166" s="12"/>
      <c r="H166" s="13"/>
      <c r="I166" s="14"/>
      <c r="J166" s="28">
        <v>10</v>
      </c>
      <c r="K166" s="15"/>
      <c r="L166" s="21">
        <f t="shared" si="17"/>
        <v>0</v>
      </c>
      <c r="M166" s="14"/>
      <c r="N166" s="14">
        <f t="shared" si="13"/>
        <v>12</v>
      </c>
      <c r="O166" s="14"/>
      <c r="P166" s="14" t="s">
        <v>23</v>
      </c>
      <c r="Q166" s="15">
        <f t="shared" si="16"/>
        <v>0</v>
      </c>
    </row>
    <row r="167" spans="2:17" s="17" customFormat="1" ht="15.75" x14ac:dyDescent="0.25">
      <c r="B167" s="7" t="s">
        <v>346</v>
      </c>
      <c r="C167" s="8"/>
      <c r="D167" s="9" t="s">
        <v>347</v>
      </c>
      <c r="E167" s="10" t="s">
        <v>22</v>
      </c>
      <c r="F167" s="18">
        <v>1</v>
      </c>
      <c r="G167" s="12"/>
      <c r="H167" s="13"/>
      <c r="I167" s="14"/>
      <c r="J167" s="28"/>
      <c r="K167" s="15"/>
      <c r="L167" s="14"/>
      <c r="M167" s="14"/>
      <c r="N167" s="14">
        <f t="shared" si="13"/>
        <v>1</v>
      </c>
      <c r="O167" s="14"/>
      <c r="P167" s="14" t="s">
        <v>23</v>
      </c>
      <c r="Q167" s="15">
        <f t="shared" si="16"/>
        <v>0</v>
      </c>
    </row>
    <row r="168" spans="2:17" s="16" customFormat="1" x14ac:dyDescent="0.3">
      <c r="B168" s="7" t="s">
        <v>348</v>
      </c>
      <c r="C168" s="8">
        <v>44193</v>
      </c>
      <c r="D168" s="9" t="s">
        <v>349</v>
      </c>
      <c r="E168" s="10" t="s">
        <v>22</v>
      </c>
      <c r="F168" s="18">
        <v>50</v>
      </c>
      <c r="G168" s="12">
        <v>575</v>
      </c>
      <c r="H168" s="13">
        <f t="shared" ref="H168:H198" si="18">F168*G168</f>
        <v>28750</v>
      </c>
      <c r="I168" s="14"/>
      <c r="J168" s="28"/>
      <c r="K168" s="15"/>
      <c r="L168" s="14"/>
      <c r="M168" s="14">
        <f>1+1</f>
        <v>2</v>
      </c>
      <c r="N168" s="14">
        <f t="shared" si="13"/>
        <v>48</v>
      </c>
      <c r="O168" s="14"/>
      <c r="P168" s="14" t="s">
        <v>19</v>
      </c>
      <c r="Q168" s="15">
        <f t="shared" si="16"/>
        <v>27600</v>
      </c>
    </row>
    <row r="169" spans="2:17" s="24" customFormat="1" ht="15.75" x14ac:dyDescent="0.25">
      <c r="B169" s="7" t="s">
        <v>350</v>
      </c>
      <c r="C169" s="22">
        <v>45042</v>
      </c>
      <c r="D169" s="9" t="s">
        <v>351</v>
      </c>
      <c r="E169" s="10" t="s">
        <v>22</v>
      </c>
      <c r="F169" s="11">
        <v>20</v>
      </c>
      <c r="G169" s="12">
        <v>8.08</v>
      </c>
      <c r="H169" s="13">
        <f t="shared" si="18"/>
        <v>161.6</v>
      </c>
      <c r="I169" s="23">
        <v>44851</v>
      </c>
      <c r="J169" s="28">
        <v>5.56</v>
      </c>
      <c r="K169" s="15">
        <v>8.08</v>
      </c>
      <c r="L169" s="15">
        <f>+K169*J169</f>
        <v>44.924799999999998</v>
      </c>
      <c r="M169" s="14">
        <v>3</v>
      </c>
      <c r="N169" s="29">
        <f>+F169+J169-M169</f>
        <v>22.56</v>
      </c>
      <c r="O169" s="14" t="s">
        <v>170</v>
      </c>
      <c r="P169" s="14" t="s">
        <v>59</v>
      </c>
      <c r="Q169" s="15">
        <f t="shared" si="16"/>
        <v>182.28479999999999</v>
      </c>
    </row>
    <row r="170" spans="2:17" s="17" customFormat="1" ht="15.75" x14ac:dyDescent="0.25">
      <c r="B170" s="7" t="s">
        <v>352</v>
      </c>
      <c r="C170" s="22">
        <v>45022</v>
      </c>
      <c r="D170" s="10" t="s">
        <v>353</v>
      </c>
      <c r="E170" s="10" t="s">
        <v>22</v>
      </c>
      <c r="F170" s="11">
        <v>15</v>
      </c>
      <c r="G170" s="12">
        <v>275</v>
      </c>
      <c r="H170" s="13">
        <f t="shared" si="18"/>
        <v>4125</v>
      </c>
      <c r="I170" s="23">
        <v>45022</v>
      </c>
      <c r="J170" s="28">
        <v>10</v>
      </c>
      <c r="K170" s="15">
        <v>168</v>
      </c>
      <c r="L170" s="15">
        <f t="shared" ref="L170:L173" si="19">+K170*J170</f>
        <v>1680</v>
      </c>
      <c r="M170" s="14">
        <f>17+1+1</f>
        <v>19</v>
      </c>
      <c r="N170" s="14">
        <f t="shared" si="13"/>
        <v>6</v>
      </c>
      <c r="O170" s="14"/>
      <c r="P170" s="14" t="s">
        <v>59</v>
      </c>
      <c r="Q170" s="15">
        <f t="shared" si="16"/>
        <v>1650</v>
      </c>
    </row>
    <row r="171" spans="2:17" s="17" customFormat="1" ht="15.75" x14ac:dyDescent="0.25">
      <c r="B171" s="7" t="s">
        <v>354</v>
      </c>
      <c r="C171" s="8">
        <v>44193</v>
      </c>
      <c r="D171" s="10" t="s">
        <v>355</v>
      </c>
      <c r="E171" s="10" t="s">
        <v>22</v>
      </c>
      <c r="F171" s="18">
        <v>2</v>
      </c>
      <c r="G171" s="12">
        <v>50</v>
      </c>
      <c r="H171" s="13">
        <f t="shared" si="18"/>
        <v>100</v>
      </c>
      <c r="I171" s="14"/>
      <c r="J171" s="28"/>
      <c r="K171" s="15"/>
      <c r="L171" s="15">
        <f t="shared" si="19"/>
        <v>0</v>
      </c>
      <c r="M171" s="14">
        <v>1</v>
      </c>
      <c r="N171" s="14">
        <f t="shared" si="13"/>
        <v>1</v>
      </c>
      <c r="O171" s="14"/>
      <c r="P171" s="14" t="s">
        <v>59</v>
      </c>
      <c r="Q171" s="15">
        <f t="shared" si="16"/>
        <v>50</v>
      </c>
    </row>
    <row r="172" spans="2:17" s="17" customFormat="1" ht="15.75" x14ac:dyDescent="0.25">
      <c r="B172" s="7" t="s">
        <v>356</v>
      </c>
      <c r="C172" s="22">
        <v>45042</v>
      </c>
      <c r="D172" s="10" t="s">
        <v>357</v>
      </c>
      <c r="E172" s="10" t="s">
        <v>22</v>
      </c>
      <c r="F172" s="18">
        <f>20+9</f>
        <v>29</v>
      </c>
      <c r="G172" s="12">
        <v>50</v>
      </c>
      <c r="H172" s="13">
        <f t="shared" si="18"/>
        <v>1450</v>
      </c>
      <c r="I172" s="23">
        <v>45042</v>
      </c>
      <c r="J172" s="28">
        <v>10</v>
      </c>
      <c r="K172" s="15">
        <v>44.55</v>
      </c>
      <c r="L172" s="15">
        <f t="shared" si="19"/>
        <v>445.5</v>
      </c>
      <c r="M172" s="14">
        <v>14</v>
      </c>
      <c r="N172" s="14">
        <f t="shared" si="13"/>
        <v>25</v>
      </c>
      <c r="O172" s="14"/>
      <c r="P172" s="14" t="s">
        <v>59</v>
      </c>
      <c r="Q172" s="15">
        <f t="shared" si="16"/>
        <v>1250</v>
      </c>
    </row>
    <row r="173" spans="2:17" s="16" customFormat="1" x14ac:dyDescent="0.3">
      <c r="B173" s="7" t="s">
        <v>358</v>
      </c>
      <c r="C173" s="8">
        <v>44193</v>
      </c>
      <c r="D173" s="9" t="s">
        <v>359</v>
      </c>
      <c r="E173" s="10" t="s">
        <v>22</v>
      </c>
      <c r="F173" s="18">
        <v>35</v>
      </c>
      <c r="G173" s="12">
        <v>7</v>
      </c>
      <c r="H173" s="13">
        <f t="shared" si="18"/>
        <v>245</v>
      </c>
      <c r="I173" s="14"/>
      <c r="J173" s="28"/>
      <c r="K173" s="15"/>
      <c r="L173" s="15">
        <f t="shared" si="19"/>
        <v>0</v>
      </c>
      <c r="M173" s="14"/>
      <c r="N173" s="14">
        <f t="shared" si="13"/>
        <v>35</v>
      </c>
      <c r="O173" s="14"/>
      <c r="P173" s="14" t="s">
        <v>19</v>
      </c>
      <c r="Q173" s="15">
        <f t="shared" si="16"/>
        <v>245</v>
      </c>
    </row>
    <row r="174" spans="2:17" s="16" customFormat="1" x14ac:dyDescent="0.3">
      <c r="B174" s="7" t="s">
        <v>360</v>
      </c>
      <c r="C174" s="8">
        <v>44193</v>
      </c>
      <c r="D174" s="9" t="s">
        <v>361</v>
      </c>
      <c r="E174" s="10" t="s">
        <v>22</v>
      </c>
      <c r="F174" s="18">
        <v>34</v>
      </c>
      <c r="G174" s="12">
        <v>125</v>
      </c>
      <c r="H174" s="13">
        <f t="shared" si="18"/>
        <v>4250</v>
      </c>
      <c r="I174" s="14"/>
      <c r="J174" s="28"/>
      <c r="K174" s="15"/>
      <c r="L174" s="14"/>
      <c r="M174" s="14">
        <v>1</v>
      </c>
      <c r="N174" s="14">
        <f t="shared" si="13"/>
        <v>33</v>
      </c>
      <c r="O174" s="14"/>
      <c r="P174" s="14" t="s">
        <v>19</v>
      </c>
      <c r="Q174" s="15">
        <f t="shared" si="16"/>
        <v>4125</v>
      </c>
    </row>
    <row r="175" spans="2:17" s="16" customFormat="1" x14ac:dyDescent="0.3">
      <c r="B175" s="7" t="s">
        <v>362</v>
      </c>
      <c r="C175" s="8">
        <v>44193</v>
      </c>
      <c r="D175" s="9" t="s">
        <v>363</v>
      </c>
      <c r="E175" s="10" t="s">
        <v>22</v>
      </c>
      <c r="F175" s="18">
        <v>106</v>
      </c>
      <c r="G175" s="12">
        <v>7</v>
      </c>
      <c r="H175" s="13">
        <f t="shared" si="18"/>
        <v>742</v>
      </c>
      <c r="I175" s="14"/>
      <c r="J175" s="28"/>
      <c r="K175" s="15"/>
      <c r="L175" s="14"/>
      <c r="M175" s="14">
        <v>5</v>
      </c>
      <c r="N175" s="14">
        <f t="shared" si="13"/>
        <v>101</v>
      </c>
      <c r="O175" s="14"/>
      <c r="P175" s="14" t="s">
        <v>19</v>
      </c>
      <c r="Q175" s="15">
        <f t="shared" si="16"/>
        <v>707</v>
      </c>
    </row>
    <row r="176" spans="2:17" s="16" customFormat="1" x14ac:dyDescent="0.3">
      <c r="B176" s="7" t="s">
        <v>364</v>
      </c>
      <c r="C176" s="8">
        <v>44456</v>
      </c>
      <c r="D176" s="9" t="s">
        <v>365</v>
      </c>
      <c r="E176" s="10" t="s">
        <v>22</v>
      </c>
      <c r="F176" s="18">
        <v>27</v>
      </c>
      <c r="G176" s="12">
        <v>7</v>
      </c>
      <c r="H176" s="13">
        <f t="shared" si="18"/>
        <v>189</v>
      </c>
      <c r="I176" s="14"/>
      <c r="J176" s="28"/>
      <c r="K176" s="15"/>
      <c r="L176" s="14"/>
      <c r="M176" s="14"/>
      <c r="N176" s="14">
        <f t="shared" ref="N176:N239" si="20">+F176+J176-M176</f>
        <v>27</v>
      </c>
      <c r="O176" s="14"/>
      <c r="P176" s="14" t="s">
        <v>19</v>
      </c>
      <c r="Q176" s="15">
        <f t="shared" si="16"/>
        <v>189</v>
      </c>
    </row>
    <row r="177" spans="2:18" s="17" customFormat="1" ht="15.75" x14ac:dyDescent="0.25">
      <c r="B177" s="7" t="s">
        <v>366</v>
      </c>
      <c r="C177" s="8">
        <v>44193</v>
      </c>
      <c r="D177" s="9" t="s">
        <v>367</v>
      </c>
      <c r="E177" s="10" t="s">
        <v>22</v>
      </c>
      <c r="F177" s="11">
        <f>6+6</f>
        <v>12</v>
      </c>
      <c r="G177" s="12">
        <v>135</v>
      </c>
      <c r="H177" s="13">
        <f t="shared" si="18"/>
        <v>1620</v>
      </c>
      <c r="I177" s="14"/>
      <c r="J177" s="28"/>
      <c r="K177" s="15"/>
      <c r="L177" s="14"/>
      <c r="M177" s="14"/>
      <c r="N177" s="14">
        <f t="shared" si="20"/>
        <v>12</v>
      </c>
      <c r="O177" s="14"/>
      <c r="P177" s="14" t="s">
        <v>23</v>
      </c>
      <c r="Q177" s="15">
        <f t="shared" si="16"/>
        <v>1620</v>
      </c>
    </row>
    <row r="178" spans="2:18" s="17" customFormat="1" ht="15.75" x14ac:dyDescent="0.25">
      <c r="B178" s="7" t="s">
        <v>368</v>
      </c>
      <c r="C178" s="8">
        <v>44193</v>
      </c>
      <c r="D178" s="9" t="s">
        <v>369</v>
      </c>
      <c r="E178" s="10" t="s">
        <v>22</v>
      </c>
      <c r="F178" s="25">
        <v>42</v>
      </c>
      <c r="G178" s="12">
        <v>115</v>
      </c>
      <c r="H178" s="13">
        <f t="shared" si="18"/>
        <v>4830</v>
      </c>
      <c r="I178" s="14"/>
      <c r="J178" s="28"/>
      <c r="K178" s="15"/>
      <c r="L178" s="14"/>
      <c r="M178" s="14"/>
      <c r="N178" s="14">
        <f t="shared" si="20"/>
        <v>42</v>
      </c>
      <c r="O178" s="14"/>
      <c r="P178" s="14" t="s">
        <v>23</v>
      </c>
      <c r="Q178" s="15">
        <f t="shared" si="16"/>
        <v>4830</v>
      </c>
    </row>
    <row r="179" spans="2:18" s="16" customFormat="1" x14ac:dyDescent="0.3">
      <c r="B179" s="7" t="s">
        <v>370</v>
      </c>
      <c r="C179" s="22">
        <v>44903</v>
      </c>
      <c r="D179" s="9" t="s">
        <v>371</v>
      </c>
      <c r="E179" s="10" t="s">
        <v>22</v>
      </c>
      <c r="F179" s="11">
        <v>104</v>
      </c>
      <c r="G179" s="12">
        <v>154.58000000000001</v>
      </c>
      <c r="H179" s="13">
        <f t="shared" si="18"/>
        <v>16076.320000000002</v>
      </c>
      <c r="I179" s="23">
        <v>44903</v>
      </c>
      <c r="J179" s="28">
        <f>20*4</f>
        <v>80</v>
      </c>
      <c r="K179" s="15">
        <v>154.58000000000001</v>
      </c>
      <c r="L179" s="21">
        <f>+J179*K179</f>
        <v>12366.400000000001</v>
      </c>
      <c r="M179" s="14">
        <f>13+4</f>
        <v>17</v>
      </c>
      <c r="N179" s="14">
        <f t="shared" si="20"/>
        <v>167</v>
      </c>
      <c r="O179" s="14"/>
      <c r="P179" s="14" t="s">
        <v>19</v>
      </c>
      <c r="Q179" s="15">
        <f t="shared" si="16"/>
        <v>25814.86</v>
      </c>
    </row>
    <row r="180" spans="2:18" s="16" customFormat="1" x14ac:dyDescent="0.3">
      <c r="B180" s="7" t="s">
        <v>372</v>
      </c>
      <c r="C180" s="22">
        <v>45019</v>
      </c>
      <c r="D180" s="9" t="s">
        <v>373</v>
      </c>
      <c r="E180" s="10" t="s">
        <v>374</v>
      </c>
      <c r="F180" s="11">
        <v>132</v>
      </c>
      <c r="G180" s="12">
        <v>139.04</v>
      </c>
      <c r="H180" s="13">
        <f t="shared" si="18"/>
        <v>18353.28</v>
      </c>
      <c r="I180" s="23">
        <v>45019</v>
      </c>
      <c r="J180" s="28">
        <f>10*6</f>
        <v>60</v>
      </c>
      <c r="K180" s="15">
        <v>139.04</v>
      </c>
      <c r="L180" s="21">
        <f>+J180*K180</f>
        <v>8342.4</v>
      </c>
      <c r="M180" s="14">
        <f>4+1+1+1</f>
        <v>7</v>
      </c>
      <c r="N180" s="14">
        <f>+F180+J180-M180</f>
        <v>185</v>
      </c>
      <c r="O180" s="14"/>
      <c r="P180" s="14" t="s">
        <v>19</v>
      </c>
      <c r="Q180" s="15">
        <f t="shared" si="16"/>
        <v>25722.399999999998</v>
      </c>
      <c r="R180" s="17"/>
    </row>
    <row r="181" spans="2:18" s="17" customFormat="1" ht="15.75" x14ac:dyDescent="0.25">
      <c r="B181" s="7" t="s">
        <v>375</v>
      </c>
      <c r="C181" s="8">
        <v>44193</v>
      </c>
      <c r="D181" s="9" t="s">
        <v>376</v>
      </c>
      <c r="E181" s="10" t="s">
        <v>22</v>
      </c>
      <c r="F181" s="18">
        <v>3</v>
      </c>
      <c r="G181" s="12">
        <v>352</v>
      </c>
      <c r="H181" s="13">
        <f t="shared" si="18"/>
        <v>1056</v>
      </c>
      <c r="I181" s="14"/>
      <c r="J181" s="28"/>
      <c r="K181" s="15"/>
      <c r="L181" s="14"/>
      <c r="M181" s="14"/>
      <c r="N181" s="14">
        <f t="shared" si="20"/>
        <v>3</v>
      </c>
      <c r="O181" s="14"/>
      <c r="P181" s="14" t="s">
        <v>23</v>
      </c>
      <c r="Q181" s="15">
        <f t="shared" si="16"/>
        <v>1056</v>
      </c>
    </row>
    <row r="182" spans="2:18" s="17" customFormat="1" ht="15.75" x14ac:dyDescent="0.25">
      <c r="B182" s="7" t="s">
        <v>377</v>
      </c>
      <c r="C182" s="8">
        <v>44193</v>
      </c>
      <c r="D182" s="9" t="s">
        <v>378</v>
      </c>
      <c r="E182" s="10" t="s">
        <v>22</v>
      </c>
      <c r="F182" s="25">
        <f>38+19</f>
        <v>57</v>
      </c>
      <c r="G182" s="12">
        <v>67.8</v>
      </c>
      <c r="H182" s="13">
        <f t="shared" si="18"/>
        <v>3864.6</v>
      </c>
      <c r="I182" s="14"/>
      <c r="J182" s="28"/>
      <c r="K182" s="15"/>
      <c r="L182" s="14"/>
      <c r="M182" s="14"/>
      <c r="N182" s="14">
        <f t="shared" si="20"/>
        <v>57</v>
      </c>
      <c r="O182" s="14"/>
      <c r="P182" s="14" t="s">
        <v>23</v>
      </c>
      <c r="Q182" s="15">
        <f t="shared" si="16"/>
        <v>3864.6</v>
      </c>
    </row>
    <row r="183" spans="2:18" s="17" customFormat="1" ht="15.75" x14ac:dyDescent="0.25">
      <c r="B183" s="7" t="s">
        <v>379</v>
      </c>
      <c r="C183" s="8">
        <v>44193</v>
      </c>
      <c r="D183" s="9" t="s">
        <v>380</v>
      </c>
      <c r="E183" s="10" t="s">
        <v>22</v>
      </c>
      <c r="F183" s="25">
        <f>19+19</f>
        <v>38</v>
      </c>
      <c r="G183" s="12">
        <v>67.8</v>
      </c>
      <c r="H183" s="13">
        <f t="shared" si="18"/>
        <v>2576.4</v>
      </c>
      <c r="I183" s="14"/>
      <c r="J183" s="28"/>
      <c r="K183" s="15"/>
      <c r="L183" s="14"/>
      <c r="M183" s="14"/>
      <c r="N183" s="14">
        <f t="shared" si="20"/>
        <v>38</v>
      </c>
      <c r="O183" s="14"/>
      <c r="P183" s="14" t="s">
        <v>23</v>
      </c>
      <c r="Q183" s="15">
        <f t="shared" si="16"/>
        <v>2576.4</v>
      </c>
    </row>
    <row r="184" spans="2:18" s="17" customFormat="1" ht="15.75" x14ac:dyDescent="0.25">
      <c r="B184" s="7" t="s">
        <v>381</v>
      </c>
      <c r="C184" s="8">
        <v>44193</v>
      </c>
      <c r="D184" s="9" t="s">
        <v>382</v>
      </c>
      <c r="E184" s="10" t="s">
        <v>22</v>
      </c>
      <c r="F184" s="11">
        <v>0</v>
      </c>
      <c r="G184" s="12">
        <v>67.8</v>
      </c>
      <c r="H184" s="13">
        <f t="shared" si="18"/>
        <v>0</v>
      </c>
      <c r="I184" s="14"/>
      <c r="J184" s="28"/>
      <c r="K184" s="15"/>
      <c r="L184" s="14"/>
      <c r="M184" s="14"/>
      <c r="N184" s="14">
        <f t="shared" si="20"/>
        <v>0</v>
      </c>
      <c r="O184" s="14"/>
      <c r="P184" s="14" t="s">
        <v>23</v>
      </c>
      <c r="Q184" s="15">
        <f t="shared" si="16"/>
        <v>0</v>
      </c>
    </row>
    <row r="185" spans="2:18" s="17" customFormat="1" ht="15.75" x14ac:dyDescent="0.25">
      <c r="B185" s="7" t="s">
        <v>383</v>
      </c>
      <c r="C185" s="8">
        <v>44193</v>
      </c>
      <c r="D185" s="10" t="s">
        <v>384</v>
      </c>
      <c r="E185" s="10" t="s">
        <v>22</v>
      </c>
      <c r="F185" s="25">
        <v>50</v>
      </c>
      <c r="G185" s="12">
        <v>170.69</v>
      </c>
      <c r="H185" s="13">
        <f t="shared" si="18"/>
        <v>8534.5</v>
      </c>
      <c r="I185" s="14"/>
      <c r="J185" s="28"/>
      <c r="K185" s="15"/>
      <c r="L185" s="14"/>
      <c r="M185" s="14"/>
      <c r="N185" s="14">
        <f t="shared" si="20"/>
        <v>50</v>
      </c>
      <c r="O185" s="14"/>
      <c r="P185" s="14" t="s">
        <v>59</v>
      </c>
      <c r="Q185" s="15">
        <f t="shared" si="16"/>
        <v>8534.5</v>
      </c>
    </row>
    <row r="186" spans="2:18" s="17" customFormat="1" ht="15.75" x14ac:dyDescent="0.25">
      <c r="B186" s="7" t="s">
        <v>385</v>
      </c>
      <c r="C186" s="8">
        <v>44193</v>
      </c>
      <c r="D186" s="10" t="s">
        <v>386</v>
      </c>
      <c r="E186" s="10" t="s">
        <v>22</v>
      </c>
      <c r="F186" s="25">
        <v>1040</v>
      </c>
      <c r="G186" s="12">
        <v>170.69</v>
      </c>
      <c r="H186" s="13">
        <f t="shared" si="18"/>
        <v>177517.6</v>
      </c>
      <c r="I186" s="14"/>
      <c r="J186" s="28"/>
      <c r="K186" s="15"/>
      <c r="L186" s="14"/>
      <c r="M186" s="14"/>
      <c r="N186" s="14">
        <f t="shared" si="20"/>
        <v>1040</v>
      </c>
      <c r="O186" s="14"/>
      <c r="P186" s="14" t="s">
        <v>59</v>
      </c>
      <c r="Q186" s="15">
        <f t="shared" si="16"/>
        <v>177517.6</v>
      </c>
    </row>
    <row r="187" spans="2:18" s="17" customFormat="1" ht="15.75" x14ac:dyDescent="0.25">
      <c r="B187" s="7" t="s">
        <v>387</v>
      </c>
      <c r="C187" s="8">
        <v>44193</v>
      </c>
      <c r="D187" s="10" t="s">
        <v>388</v>
      </c>
      <c r="E187" s="10" t="s">
        <v>22</v>
      </c>
      <c r="F187" s="30">
        <v>1</v>
      </c>
      <c r="G187" s="12">
        <v>170.69</v>
      </c>
      <c r="H187" s="13">
        <f t="shared" si="18"/>
        <v>170.69</v>
      </c>
      <c r="I187" s="14"/>
      <c r="J187" s="28"/>
      <c r="K187" s="15"/>
      <c r="L187" s="14"/>
      <c r="M187" s="14"/>
      <c r="N187" s="14">
        <f t="shared" si="20"/>
        <v>1</v>
      </c>
      <c r="O187" s="14"/>
      <c r="P187" s="14" t="s">
        <v>59</v>
      </c>
      <c r="Q187" s="15">
        <f t="shared" si="16"/>
        <v>170.69</v>
      </c>
    </row>
    <row r="188" spans="2:18" s="17" customFormat="1" ht="15.75" x14ac:dyDescent="0.25">
      <c r="B188" s="7" t="s">
        <v>389</v>
      </c>
      <c r="C188" s="8">
        <v>44193</v>
      </c>
      <c r="D188" s="10" t="s">
        <v>390</v>
      </c>
      <c r="E188" s="10" t="s">
        <v>22</v>
      </c>
      <c r="F188" s="18">
        <v>300</v>
      </c>
      <c r="G188" s="12">
        <v>6.5</v>
      </c>
      <c r="H188" s="13">
        <f t="shared" si="18"/>
        <v>1950</v>
      </c>
      <c r="I188" s="14"/>
      <c r="J188" s="28"/>
      <c r="K188" s="15"/>
      <c r="L188" s="14"/>
      <c r="M188" s="14">
        <v>5</v>
      </c>
      <c r="N188" s="14">
        <f t="shared" si="20"/>
        <v>295</v>
      </c>
      <c r="O188" s="14"/>
      <c r="P188" s="14" t="s">
        <v>59</v>
      </c>
      <c r="Q188" s="15">
        <f t="shared" si="16"/>
        <v>1917.5</v>
      </c>
    </row>
    <row r="189" spans="2:18" s="17" customFormat="1" ht="15.75" x14ac:dyDescent="0.25">
      <c r="B189" s="7" t="s">
        <v>391</v>
      </c>
      <c r="C189" s="8">
        <v>44193</v>
      </c>
      <c r="D189" s="10" t="s">
        <v>392</v>
      </c>
      <c r="E189" s="10" t="s">
        <v>22</v>
      </c>
      <c r="F189" s="18">
        <v>2</v>
      </c>
      <c r="G189" s="12">
        <v>3.5</v>
      </c>
      <c r="H189" s="13">
        <f t="shared" si="18"/>
        <v>7</v>
      </c>
      <c r="I189" s="14"/>
      <c r="J189" s="28"/>
      <c r="K189" s="15"/>
      <c r="L189" s="14"/>
      <c r="M189" s="14"/>
      <c r="N189" s="14">
        <f t="shared" si="20"/>
        <v>2</v>
      </c>
      <c r="O189" s="14"/>
      <c r="P189" s="14" t="s">
        <v>59</v>
      </c>
      <c r="Q189" s="15">
        <f t="shared" si="16"/>
        <v>7</v>
      </c>
    </row>
    <row r="190" spans="2:18" s="17" customFormat="1" ht="15.75" x14ac:dyDescent="0.25">
      <c r="B190" s="7" t="s">
        <v>393</v>
      </c>
      <c r="C190" s="8">
        <v>44193</v>
      </c>
      <c r="D190" s="9" t="s">
        <v>394</v>
      </c>
      <c r="E190" s="10" t="s">
        <v>22</v>
      </c>
      <c r="F190" s="18">
        <v>5</v>
      </c>
      <c r="G190" s="12">
        <v>5000</v>
      </c>
      <c r="H190" s="13">
        <f t="shared" si="18"/>
        <v>25000</v>
      </c>
      <c r="I190" s="14"/>
      <c r="J190" s="28"/>
      <c r="K190" s="15"/>
      <c r="L190" s="14"/>
      <c r="M190" s="14"/>
      <c r="N190" s="14">
        <f t="shared" si="20"/>
        <v>5</v>
      </c>
      <c r="O190" s="14"/>
      <c r="P190" s="14" t="s">
        <v>23</v>
      </c>
      <c r="Q190" s="15">
        <f t="shared" si="16"/>
        <v>25000</v>
      </c>
    </row>
    <row r="191" spans="2:18" s="17" customFormat="1" ht="15.75" x14ac:dyDescent="0.25">
      <c r="B191" s="7" t="s">
        <v>395</v>
      </c>
      <c r="C191" s="8">
        <v>44193</v>
      </c>
      <c r="D191" s="9" t="s">
        <v>396</v>
      </c>
      <c r="E191" s="10" t="s">
        <v>22</v>
      </c>
      <c r="F191" s="18">
        <v>2</v>
      </c>
      <c r="G191" s="12">
        <v>10800</v>
      </c>
      <c r="H191" s="13">
        <f t="shared" si="18"/>
        <v>21600</v>
      </c>
      <c r="I191" s="14"/>
      <c r="J191" s="28"/>
      <c r="K191" s="15"/>
      <c r="L191" s="14"/>
      <c r="M191" s="14"/>
      <c r="N191" s="14">
        <f t="shared" si="20"/>
        <v>2</v>
      </c>
      <c r="O191" s="14"/>
      <c r="P191" s="14" t="s">
        <v>23</v>
      </c>
      <c r="Q191" s="15">
        <f t="shared" si="16"/>
        <v>21600</v>
      </c>
    </row>
    <row r="192" spans="2:18" s="17" customFormat="1" ht="15.75" x14ac:dyDescent="0.25">
      <c r="B192" s="7" t="s">
        <v>397</v>
      </c>
      <c r="C192" s="8">
        <v>44193</v>
      </c>
      <c r="D192" s="10" t="s">
        <v>398</v>
      </c>
      <c r="E192" s="10" t="s">
        <v>22</v>
      </c>
      <c r="F192" s="18">
        <v>29</v>
      </c>
      <c r="G192" s="12">
        <v>33</v>
      </c>
      <c r="H192" s="13">
        <f t="shared" si="18"/>
        <v>957</v>
      </c>
      <c r="I192" s="14"/>
      <c r="J192" s="28"/>
      <c r="K192" s="15"/>
      <c r="L192" s="14"/>
      <c r="M192" s="14"/>
      <c r="N192" s="14">
        <f t="shared" si="20"/>
        <v>29</v>
      </c>
      <c r="O192" s="14"/>
      <c r="P192" s="14" t="s">
        <v>59</v>
      </c>
      <c r="Q192" s="15">
        <f t="shared" si="16"/>
        <v>957</v>
      </c>
    </row>
    <row r="193" spans="2:17" s="17" customFormat="1" ht="15.75" x14ac:dyDescent="0.25">
      <c r="B193" s="7" t="s">
        <v>399</v>
      </c>
      <c r="C193" s="22">
        <v>45042</v>
      </c>
      <c r="D193" s="10" t="s">
        <v>400</v>
      </c>
      <c r="E193" s="10" t="s">
        <v>22</v>
      </c>
      <c r="F193" s="18">
        <f>8*12</f>
        <v>96</v>
      </c>
      <c r="G193" s="12">
        <v>15</v>
      </c>
      <c r="H193" s="13">
        <f t="shared" si="18"/>
        <v>1440</v>
      </c>
      <c r="I193" s="23">
        <v>45042</v>
      </c>
      <c r="J193" s="28">
        <f>20*12</f>
        <v>240</v>
      </c>
      <c r="K193" s="15">
        <v>11.51</v>
      </c>
      <c r="L193" s="15">
        <f>+K193*J193</f>
        <v>2762.4</v>
      </c>
      <c r="M193" s="14">
        <f>12+6+12+12+12+12+12</f>
        <v>78</v>
      </c>
      <c r="N193" s="14">
        <f t="shared" si="20"/>
        <v>258</v>
      </c>
      <c r="O193" s="14"/>
      <c r="P193" s="14" t="s">
        <v>59</v>
      </c>
      <c r="Q193" s="15">
        <f t="shared" si="16"/>
        <v>3870</v>
      </c>
    </row>
    <row r="194" spans="2:17" s="17" customFormat="1" ht="15.75" x14ac:dyDescent="0.25">
      <c r="B194" s="7" t="s">
        <v>401</v>
      </c>
      <c r="C194" s="8">
        <v>44547</v>
      </c>
      <c r="D194" s="10" t="s">
        <v>402</v>
      </c>
      <c r="E194" s="10" t="s">
        <v>22</v>
      </c>
      <c r="F194" s="18">
        <v>27</v>
      </c>
      <c r="G194" s="12">
        <v>8.34</v>
      </c>
      <c r="H194" s="13">
        <f t="shared" si="18"/>
        <v>225.18</v>
      </c>
      <c r="I194" s="14"/>
      <c r="J194" s="28"/>
      <c r="K194" s="15"/>
      <c r="L194" s="14"/>
      <c r="M194" s="14"/>
      <c r="N194" s="14">
        <f t="shared" si="20"/>
        <v>27</v>
      </c>
      <c r="O194" s="14"/>
      <c r="P194" s="14" t="s">
        <v>59</v>
      </c>
      <c r="Q194" s="15">
        <f t="shared" si="16"/>
        <v>225.18</v>
      </c>
    </row>
    <row r="195" spans="2:17" s="17" customFormat="1" ht="15.75" x14ac:dyDescent="0.25">
      <c r="B195" s="7" t="s">
        <v>403</v>
      </c>
      <c r="C195" s="8">
        <v>44193</v>
      </c>
      <c r="D195" s="10" t="s">
        <v>404</v>
      </c>
      <c r="E195" s="10" t="s">
        <v>22</v>
      </c>
      <c r="F195" s="18">
        <f>12+8</f>
        <v>20</v>
      </c>
      <c r="G195" s="12">
        <v>8.34</v>
      </c>
      <c r="H195" s="13">
        <f t="shared" si="18"/>
        <v>166.8</v>
      </c>
      <c r="I195" s="14"/>
      <c r="J195" s="28">
        <v>12</v>
      </c>
      <c r="K195" s="15"/>
      <c r="L195" s="14"/>
      <c r="M195" s="14"/>
      <c r="N195" s="14">
        <f t="shared" si="20"/>
        <v>32</v>
      </c>
      <c r="O195" s="14"/>
      <c r="P195" s="14" t="s">
        <v>59</v>
      </c>
      <c r="Q195" s="15">
        <f t="shared" si="16"/>
        <v>266.88</v>
      </c>
    </row>
    <row r="196" spans="2:17" s="17" customFormat="1" ht="15.75" x14ac:dyDescent="0.25">
      <c r="B196" s="7" t="s">
        <v>405</v>
      </c>
      <c r="C196" s="8">
        <v>45042</v>
      </c>
      <c r="D196" s="10" t="s">
        <v>406</v>
      </c>
      <c r="E196" s="10" t="s">
        <v>22</v>
      </c>
      <c r="F196" s="18">
        <v>139</v>
      </c>
      <c r="G196" s="12">
        <v>5.6</v>
      </c>
      <c r="H196" s="13">
        <f t="shared" si="18"/>
        <v>778.4</v>
      </c>
      <c r="I196" s="14"/>
      <c r="J196" s="28">
        <f>20*12</f>
        <v>240</v>
      </c>
      <c r="K196" s="15">
        <v>4.43</v>
      </c>
      <c r="L196" s="15">
        <f>+K196*J196</f>
        <v>1063.1999999999998</v>
      </c>
      <c r="M196" s="14">
        <f>188+3+12+4</f>
        <v>207</v>
      </c>
      <c r="N196" s="14">
        <f t="shared" si="20"/>
        <v>172</v>
      </c>
      <c r="O196" s="14"/>
      <c r="P196" s="14" t="s">
        <v>59</v>
      </c>
      <c r="Q196" s="15">
        <f t="shared" si="16"/>
        <v>963.19999999999993</v>
      </c>
    </row>
    <row r="197" spans="2:17" s="16" customFormat="1" x14ac:dyDescent="0.3">
      <c r="B197" s="7" t="s">
        <v>407</v>
      </c>
      <c r="C197" s="8">
        <v>44193</v>
      </c>
      <c r="D197" s="10" t="s">
        <v>408</v>
      </c>
      <c r="E197" s="10" t="s">
        <v>22</v>
      </c>
      <c r="F197" s="18">
        <v>79</v>
      </c>
      <c r="G197" s="12">
        <v>160</v>
      </c>
      <c r="H197" s="13">
        <f t="shared" si="18"/>
        <v>12640</v>
      </c>
      <c r="I197" s="14"/>
      <c r="J197" s="28"/>
      <c r="K197" s="15"/>
      <c r="L197" s="14"/>
      <c r="M197" s="14">
        <v>1</v>
      </c>
      <c r="N197" s="14">
        <f t="shared" si="20"/>
        <v>78</v>
      </c>
      <c r="O197" s="14"/>
      <c r="P197" s="14" t="s">
        <v>19</v>
      </c>
      <c r="Q197" s="15">
        <f t="shared" si="16"/>
        <v>12480</v>
      </c>
    </row>
    <row r="198" spans="2:17" s="24" customFormat="1" ht="15.75" x14ac:dyDescent="0.25">
      <c r="B198" s="7" t="s">
        <v>409</v>
      </c>
      <c r="C198" s="22">
        <v>45042</v>
      </c>
      <c r="D198" s="10" t="s">
        <v>410</v>
      </c>
      <c r="E198" s="10" t="s">
        <v>22</v>
      </c>
      <c r="F198" s="18">
        <v>18</v>
      </c>
      <c r="G198" s="12">
        <v>38.65</v>
      </c>
      <c r="H198" s="13">
        <f t="shared" si="18"/>
        <v>695.69999999999993</v>
      </c>
      <c r="I198" s="23"/>
      <c r="J198" s="28">
        <v>10</v>
      </c>
      <c r="K198" s="15">
        <v>58</v>
      </c>
      <c r="L198" s="14">
        <f>+K198*J198</f>
        <v>580</v>
      </c>
      <c r="M198" s="14">
        <v>3</v>
      </c>
      <c r="N198" s="14">
        <f t="shared" si="20"/>
        <v>25</v>
      </c>
      <c r="O198" s="14" t="s">
        <v>170</v>
      </c>
      <c r="P198" s="14" t="s">
        <v>59</v>
      </c>
      <c r="Q198" s="15">
        <f t="shared" si="16"/>
        <v>966.25</v>
      </c>
    </row>
    <row r="199" spans="2:17" s="17" customFormat="1" ht="15.75" x14ac:dyDescent="0.25">
      <c r="B199" s="7" t="s">
        <v>411</v>
      </c>
      <c r="C199" s="8"/>
      <c r="D199" s="9" t="s">
        <v>412</v>
      </c>
      <c r="E199" s="10" t="s">
        <v>22</v>
      </c>
      <c r="F199" s="18">
        <v>56</v>
      </c>
      <c r="G199" s="12"/>
      <c r="H199" s="13"/>
      <c r="I199" s="14"/>
      <c r="J199" s="28"/>
      <c r="K199" s="15"/>
      <c r="L199" s="14"/>
      <c r="M199" s="14"/>
      <c r="N199" s="14">
        <f t="shared" si="20"/>
        <v>56</v>
      </c>
      <c r="O199" s="14"/>
      <c r="P199" s="14" t="s">
        <v>59</v>
      </c>
      <c r="Q199" s="15">
        <f t="shared" si="16"/>
        <v>0</v>
      </c>
    </row>
    <row r="200" spans="2:17" s="24" customFormat="1" ht="15.75" x14ac:dyDescent="0.25">
      <c r="B200" s="7" t="s">
        <v>413</v>
      </c>
      <c r="C200" s="22">
        <v>45042</v>
      </c>
      <c r="D200" s="10" t="s">
        <v>414</v>
      </c>
      <c r="E200" s="10" t="s">
        <v>22</v>
      </c>
      <c r="F200" s="18">
        <v>8</v>
      </c>
      <c r="G200" s="19">
        <v>310.33999999999997</v>
      </c>
      <c r="H200" s="13">
        <f>F200*G200</f>
        <v>2482.7199999999998</v>
      </c>
      <c r="I200" s="23">
        <v>45042</v>
      </c>
      <c r="J200" s="28">
        <v>10</v>
      </c>
      <c r="K200" s="15">
        <v>310.33999999999997</v>
      </c>
      <c r="L200" s="15">
        <f>+K200*J200</f>
        <v>3103.3999999999996</v>
      </c>
      <c r="M200" s="14">
        <v>1</v>
      </c>
      <c r="N200" s="14">
        <f t="shared" si="20"/>
        <v>17</v>
      </c>
      <c r="O200" s="14" t="s">
        <v>170</v>
      </c>
      <c r="P200" s="14" t="s">
        <v>59</v>
      </c>
      <c r="Q200" s="15">
        <f t="shared" si="16"/>
        <v>5275.78</v>
      </c>
    </row>
    <row r="201" spans="2:17" s="17" customFormat="1" ht="15.75" x14ac:dyDescent="0.25">
      <c r="B201" s="7" t="s">
        <v>415</v>
      </c>
      <c r="C201" s="8"/>
      <c r="D201" s="9" t="s">
        <v>416</v>
      </c>
      <c r="E201" s="10" t="s">
        <v>22</v>
      </c>
      <c r="F201" s="18">
        <v>15</v>
      </c>
      <c r="G201" s="12"/>
      <c r="H201" s="13"/>
      <c r="I201" s="14"/>
      <c r="J201" s="28"/>
      <c r="K201" s="15"/>
      <c r="L201" s="14"/>
      <c r="M201" s="14"/>
      <c r="N201" s="14">
        <f t="shared" si="20"/>
        <v>15</v>
      </c>
      <c r="O201" s="14"/>
      <c r="P201" s="14" t="s">
        <v>59</v>
      </c>
      <c r="Q201" s="15">
        <f t="shared" si="16"/>
        <v>0</v>
      </c>
    </row>
    <row r="202" spans="2:17" s="17" customFormat="1" ht="15.75" x14ac:dyDescent="0.25">
      <c r="B202" s="7" t="s">
        <v>417</v>
      </c>
      <c r="C202" s="8">
        <v>44193</v>
      </c>
      <c r="D202" s="10" t="s">
        <v>418</v>
      </c>
      <c r="E202" s="10" t="s">
        <v>22</v>
      </c>
      <c r="F202" s="11">
        <v>2</v>
      </c>
      <c r="G202" s="12">
        <v>175</v>
      </c>
      <c r="H202" s="13">
        <f t="shared" ref="H202:H260" si="21">F202*G202</f>
        <v>350</v>
      </c>
      <c r="I202" s="14"/>
      <c r="J202" s="28"/>
      <c r="K202" s="15"/>
      <c r="L202" s="14"/>
      <c r="M202" s="14"/>
      <c r="N202" s="14">
        <f t="shared" si="20"/>
        <v>2</v>
      </c>
      <c r="O202" s="14"/>
      <c r="P202" s="14" t="s">
        <v>59</v>
      </c>
      <c r="Q202" s="15">
        <f t="shared" si="16"/>
        <v>350</v>
      </c>
    </row>
    <row r="203" spans="2:17" s="17" customFormat="1" ht="15.75" x14ac:dyDescent="0.25">
      <c r="B203" s="7" t="s">
        <v>419</v>
      </c>
      <c r="C203" s="8">
        <v>44193</v>
      </c>
      <c r="D203" s="9" t="s">
        <v>420</v>
      </c>
      <c r="E203" s="10" t="s">
        <v>22</v>
      </c>
      <c r="F203" s="18">
        <v>1</v>
      </c>
      <c r="G203" s="12">
        <v>270.55</v>
      </c>
      <c r="H203" s="13">
        <f t="shared" si="21"/>
        <v>270.55</v>
      </c>
      <c r="I203" s="14"/>
      <c r="J203" s="28"/>
      <c r="K203" s="15"/>
      <c r="L203" s="14"/>
      <c r="M203" s="14"/>
      <c r="N203" s="14">
        <f t="shared" si="20"/>
        <v>1</v>
      </c>
      <c r="O203" s="14"/>
      <c r="P203" s="14" t="s">
        <v>23</v>
      </c>
      <c r="Q203" s="15">
        <f t="shared" si="16"/>
        <v>270.55</v>
      </c>
    </row>
    <row r="204" spans="2:17" s="17" customFormat="1" ht="15.75" x14ac:dyDescent="0.25">
      <c r="B204" s="7" t="s">
        <v>421</v>
      </c>
      <c r="C204" s="8">
        <v>44193</v>
      </c>
      <c r="D204" s="9" t="s">
        <v>422</v>
      </c>
      <c r="E204" s="10" t="s">
        <v>22</v>
      </c>
      <c r="F204" s="25">
        <v>3</v>
      </c>
      <c r="G204" s="12">
        <v>79.8</v>
      </c>
      <c r="H204" s="13">
        <f t="shared" si="21"/>
        <v>239.39999999999998</v>
      </c>
      <c r="I204" s="14"/>
      <c r="J204" s="28"/>
      <c r="K204" s="15"/>
      <c r="L204" s="14"/>
      <c r="M204" s="14"/>
      <c r="N204" s="14">
        <f t="shared" si="20"/>
        <v>3</v>
      </c>
      <c r="O204" s="14"/>
      <c r="P204" s="14" t="s">
        <v>23</v>
      </c>
      <c r="Q204" s="15">
        <f t="shared" si="16"/>
        <v>239.39999999999998</v>
      </c>
    </row>
    <row r="205" spans="2:17" s="17" customFormat="1" ht="15.75" x14ac:dyDescent="0.25">
      <c r="B205" s="7" t="s">
        <v>423</v>
      </c>
      <c r="C205" s="8">
        <v>44193</v>
      </c>
      <c r="D205" s="9" t="s">
        <v>424</v>
      </c>
      <c r="E205" s="10" t="s">
        <v>22</v>
      </c>
      <c r="F205" s="25">
        <v>7</v>
      </c>
      <c r="G205" s="12">
        <v>79.8</v>
      </c>
      <c r="H205" s="13">
        <f t="shared" si="21"/>
        <v>558.6</v>
      </c>
      <c r="I205" s="14"/>
      <c r="J205" s="28"/>
      <c r="K205" s="15"/>
      <c r="L205" s="14"/>
      <c r="M205" s="14"/>
      <c r="N205" s="14">
        <f t="shared" si="20"/>
        <v>7</v>
      </c>
      <c r="O205" s="14"/>
      <c r="P205" s="14" t="s">
        <v>23</v>
      </c>
      <c r="Q205" s="15">
        <f t="shared" si="16"/>
        <v>558.6</v>
      </c>
    </row>
    <row r="206" spans="2:17" s="17" customFormat="1" ht="15.75" x14ac:dyDescent="0.25">
      <c r="B206" s="7" t="s">
        <v>425</v>
      </c>
      <c r="C206" s="8">
        <v>44193</v>
      </c>
      <c r="D206" s="9" t="s">
        <v>426</v>
      </c>
      <c r="E206" s="10" t="s">
        <v>22</v>
      </c>
      <c r="F206" s="30">
        <v>7</v>
      </c>
      <c r="G206" s="12">
        <v>62.93</v>
      </c>
      <c r="H206" s="13">
        <f t="shared" si="21"/>
        <v>440.51</v>
      </c>
      <c r="I206" s="14"/>
      <c r="J206" s="28"/>
      <c r="K206" s="15"/>
      <c r="L206" s="14"/>
      <c r="M206" s="14"/>
      <c r="N206" s="14">
        <f t="shared" si="20"/>
        <v>7</v>
      </c>
      <c r="O206" s="14"/>
      <c r="P206" s="14" t="s">
        <v>23</v>
      </c>
      <c r="Q206" s="15">
        <f t="shared" si="16"/>
        <v>440.51</v>
      </c>
    </row>
    <row r="207" spans="2:17" s="17" customFormat="1" ht="15.75" x14ac:dyDescent="0.25">
      <c r="B207" s="7" t="s">
        <v>427</v>
      </c>
      <c r="C207" s="8">
        <v>44193</v>
      </c>
      <c r="D207" s="9" t="s">
        <v>428</v>
      </c>
      <c r="E207" s="10" t="s">
        <v>22</v>
      </c>
      <c r="F207" s="30">
        <v>21</v>
      </c>
      <c r="G207" s="12">
        <v>165</v>
      </c>
      <c r="H207" s="13">
        <f t="shared" si="21"/>
        <v>3465</v>
      </c>
      <c r="I207" s="14"/>
      <c r="J207" s="28"/>
      <c r="K207" s="15"/>
      <c r="L207" s="14"/>
      <c r="M207" s="14"/>
      <c r="N207" s="14">
        <f t="shared" si="20"/>
        <v>21</v>
      </c>
      <c r="O207" s="14"/>
      <c r="P207" s="14" t="s">
        <v>23</v>
      </c>
      <c r="Q207" s="15">
        <f t="shared" si="16"/>
        <v>3465</v>
      </c>
    </row>
    <row r="208" spans="2:17" s="17" customFormat="1" ht="15.75" x14ac:dyDescent="0.25">
      <c r="B208" s="7" t="s">
        <v>429</v>
      </c>
      <c r="C208" s="8">
        <v>44193</v>
      </c>
      <c r="D208" s="9" t="s">
        <v>430</v>
      </c>
      <c r="E208" s="10" t="s">
        <v>22</v>
      </c>
      <c r="F208" s="18">
        <v>18</v>
      </c>
      <c r="G208" s="12">
        <v>52</v>
      </c>
      <c r="H208" s="13">
        <f t="shared" si="21"/>
        <v>936</v>
      </c>
      <c r="I208" s="14"/>
      <c r="J208" s="28"/>
      <c r="K208" s="15"/>
      <c r="L208" s="14"/>
      <c r="M208" s="14">
        <v>1</v>
      </c>
      <c r="N208" s="14">
        <f t="shared" si="20"/>
        <v>17</v>
      </c>
      <c r="O208" s="14"/>
      <c r="P208" s="14" t="s">
        <v>23</v>
      </c>
      <c r="Q208" s="15">
        <f t="shared" si="16"/>
        <v>884</v>
      </c>
    </row>
    <row r="209" spans="2:17" s="17" customFormat="1" ht="15.75" x14ac:dyDescent="0.25">
      <c r="B209" s="7" t="s">
        <v>431</v>
      </c>
      <c r="C209" s="8">
        <v>44193</v>
      </c>
      <c r="D209" s="9" t="s">
        <v>432</v>
      </c>
      <c r="E209" s="10" t="s">
        <v>22</v>
      </c>
      <c r="F209" s="18">
        <v>11</v>
      </c>
      <c r="G209" s="12">
        <v>79.8</v>
      </c>
      <c r="H209" s="13">
        <f t="shared" si="21"/>
        <v>877.8</v>
      </c>
      <c r="I209" s="14"/>
      <c r="J209" s="28"/>
      <c r="K209" s="15"/>
      <c r="L209" s="14"/>
      <c r="M209" s="14"/>
      <c r="N209" s="14">
        <f t="shared" si="20"/>
        <v>11</v>
      </c>
      <c r="O209" s="14"/>
      <c r="P209" s="14" t="s">
        <v>23</v>
      </c>
      <c r="Q209" s="15">
        <f t="shared" si="16"/>
        <v>877.8</v>
      </c>
    </row>
    <row r="210" spans="2:17" s="17" customFormat="1" ht="15.75" x14ac:dyDescent="0.25">
      <c r="B210" s="7" t="s">
        <v>433</v>
      </c>
      <c r="C210" s="8">
        <v>44193</v>
      </c>
      <c r="D210" s="9" t="s">
        <v>434</v>
      </c>
      <c r="E210" s="10" t="s">
        <v>22</v>
      </c>
      <c r="F210" s="18">
        <v>1</v>
      </c>
      <c r="G210" s="12">
        <v>2075</v>
      </c>
      <c r="H210" s="13">
        <f t="shared" si="21"/>
        <v>2075</v>
      </c>
      <c r="I210" s="14"/>
      <c r="J210" s="28"/>
      <c r="K210" s="15"/>
      <c r="L210" s="14"/>
      <c r="M210" s="14"/>
      <c r="N210" s="14">
        <f t="shared" si="20"/>
        <v>1</v>
      </c>
      <c r="O210" s="14"/>
      <c r="P210" s="14" t="s">
        <v>23</v>
      </c>
      <c r="Q210" s="15">
        <f t="shared" si="16"/>
        <v>2075</v>
      </c>
    </row>
    <row r="211" spans="2:17" s="17" customFormat="1" ht="15.75" x14ac:dyDescent="0.25">
      <c r="B211" s="7" t="s">
        <v>435</v>
      </c>
      <c r="C211" s="8">
        <v>44193</v>
      </c>
      <c r="D211" s="9" t="s">
        <v>436</v>
      </c>
      <c r="E211" s="10" t="s">
        <v>22</v>
      </c>
      <c r="F211" s="30">
        <v>18</v>
      </c>
      <c r="G211" s="12">
        <v>165</v>
      </c>
      <c r="H211" s="13">
        <f t="shared" si="21"/>
        <v>2970</v>
      </c>
      <c r="I211" s="14"/>
      <c r="J211" s="28"/>
      <c r="K211" s="15"/>
      <c r="L211" s="14"/>
      <c r="M211" s="14"/>
      <c r="N211" s="14">
        <f t="shared" si="20"/>
        <v>18</v>
      </c>
      <c r="O211" s="14"/>
      <c r="P211" s="14" t="s">
        <v>23</v>
      </c>
      <c r="Q211" s="15">
        <f t="shared" si="16"/>
        <v>2970</v>
      </c>
    </row>
    <row r="212" spans="2:17" s="17" customFormat="1" ht="15.75" x14ac:dyDescent="0.25">
      <c r="B212" s="7" t="s">
        <v>437</v>
      </c>
      <c r="C212" s="8">
        <v>44193</v>
      </c>
      <c r="D212" s="9" t="s">
        <v>438</v>
      </c>
      <c r="E212" s="10" t="s">
        <v>22</v>
      </c>
      <c r="F212" s="18">
        <v>20</v>
      </c>
      <c r="G212" s="12">
        <v>79.8</v>
      </c>
      <c r="H212" s="13">
        <f t="shared" si="21"/>
        <v>1596</v>
      </c>
      <c r="I212" s="14"/>
      <c r="J212" s="28"/>
      <c r="K212" s="15"/>
      <c r="L212" s="14"/>
      <c r="M212" s="14"/>
      <c r="N212" s="14">
        <f t="shared" si="20"/>
        <v>20</v>
      </c>
      <c r="O212" s="14"/>
      <c r="P212" s="14" t="s">
        <v>23</v>
      </c>
      <c r="Q212" s="15">
        <f t="shared" si="16"/>
        <v>1596</v>
      </c>
    </row>
    <row r="213" spans="2:17" s="17" customFormat="1" ht="15.75" x14ac:dyDescent="0.25">
      <c r="B213" s="7" t="s">
        <v>439</v>
      </c>
      <c r="C213" s="8">
        <v>44193</v>
      </c>
      <c r="D213" s="9" t="s">
        <v>440</v>
      </c>
      <c r="E213" s="10" t="s">
        <v>22</v>
      </c>
      <c r="F213" s="18">
        <v>9</v>
      </c>
      <c r="G213" s="12">
        <v>79.8</v>
      </c>
      <c r="H213" s="13">
        <f t="shared" si="21"/>
        <v>718.19999999999993</v>
      </c>
      <c r="I213" s="14"/>
      <c r="J213" s="28"/>
      <c r="K213" s="15"/>
      <c r="L213" s="14"/>
      <c r="M213" s="14">
        <v>1</v>
      </c>
      <c r="N213" s="14">
        <f t="shared" si="20"/>
        <v>8</v>
      </c>
      <c r="O213" s="14"/>
      <c r="P213" s="14" t="s">
        <v>23</v>
      </c>
      <c r="Q213" s="15">
        <f t="shared" si="16"/>
        <v>638.4</v>
      </c>
    </row>
    <row r="214" spans="2:17" s="17" customFormat="1" ht="15.75" x14ac:dyDescent="0.25">
      <c r="B214" s="7" t="s">
        <v>441</v>
      </c>
      <c r="C214" s="8"/>
      <c r="D214" s="9" t="s">
        <v>442</v>
      </c>
      <c r="E214" s="10" t="s">
        <v>22</v>
      </c>
      <c r="F214" s="18">
        <v>9</v>
      </c>
      <c r="G214" s="12">
        <v>352</v>
      </c>
      <c r="H214" s="13">
        <f t="shared" si="21"/>
        <v>3168</v>
      </c>
      <c r="I214" s="14"/>
      <c r="J214" s="28"/>
      <c r="K214" s="15"/>
      <c r="L214" s="14"/>
      <c r="M214" s="14"/>
      <c r="N214" s="14">
        <f t="shared" si="20"/>
        <v>9</v>
      </c>
      <c r="O214" s="14"/>
      <c r="P214" s="14" t="s">
        <v>23</v>
      </c>
      <c r="Q214" s="15">
        <f t="shared" si="16"/>
        <v>3168</v>
      </c>
    </row>
    <row r="215" spans="2:17" s="16" customFormat="1" x14ac:dyDescent="0.3">
      <c r="B215" s="7" t="s">
        <v>443</v>
      </c>
      <c r="C215" s="22">
        <v>45019</v>
      </c>
      <c r="D215" s="9" t="s">
        <v>444</v>
      </c>
      <c r="E215" s="10" t="s">
        <v>22</v>
      </c>
      <c r="F215" s="18">
        <v>4</v>
      </c>
      <c r="G215" s="12">
        <v>600</v>
      </c>
      <c r="H215" s="13">
        <f t="shared" si="21"/>
        <v>2400</v>
      </c>
      <c r="I215" s="14"/>
      <c r="J215" s="28"/>
      <c r="K215" s="15"/>
      <c r="L215" s="14"/>
      <c r="M215" s="14"/>
      <c r="N215" s="14">
        <f t="shared" si="20"/>
        <v>4</v>
      </c>
      <c r="O215" s="14"/>
      <c r="P215" s="14" t="s">
        <v>19</v>
      </c>
      <c r="Q215" s="15">
        <f t="shared" si="16"/>
        <v>2400</v>
      </c>
    </row>
    <row r="216" spans="2:17" s="16" customFormat="1" x14ac:dyDescent="0.3">
      <c r="B216" s="7" t="s">
        <v>445</v>
      </c>
      <c r="C216" s="8">
        <v>44193</v>
      </c>
      <c r="D216" s="9" t="s">
        <v>446</v>
      </c>
      <c r="E216" s="10" t="s">
        <v>22</v>
      </c>
      <c r="F216" s="18">
        <v>15</v>
      </c>
      <c r="G216" s="12">
        <v>140</v>
      </c>
      <c r="H216" s="13">
        <f t="shared" si="21"/>
        <v>2100</v>
      </c>
      <c r="I216" s="14"/>
      <c r="J216" s="28"/>
      <c r="K216" s="15"/>
      <c r="L216" s="14"/>
      <c r="M216" s="14">
        <v>1</v>
      </c>
      <c r="N216" s="14">
        <f t="shared" si="20"/>
        <v>14</v>
      </c>
      <c r="O216" s="14"/>
      <c r="P216" s="14" t="s">
        <v>19</v>
      </c>
      <c r="Q216" s="15">
        <f t="shared" si="16"/>
        <v>1960</v>
      </c>
    </row>
    <row r="217" spans="2:17" s="17" customFormat="1" ht="15.75" x14ac:dyDescent="0.25">
      <c r="B217" s="7" t="s">
        <v>447</v>
      </c>
      <c r="C217" s="8">
        <v>44193</v>
      </c>
      <c r="D217" s="10" t="s">
        <v>448</v>
      </c>
      <c r="E217" s="10" t="s">
        <v>22</v>
      </c>
      <c r="F217" s="7">
        <v>1</v>
      </c>
      <c r="G217" s="12">
        <v>5250</v>
      </c>
      <c r="H217" s="13">
        <f t="shared" si="21"/>
        <v>5250</v>
      </c>
      <c r="I217" s="14"/>
      <c r="J217" s="28"/>
      <c r="K217" s="15"/>
      <c r="L217" s="14"/>
      <c r="M217" s="14"/>
      <c r="N217" s="14">
        <f t="shared" si="20"/>
        <v>1</v>
      </c>
      <c r="O217" s="14"/>
      <c r="P217" s="14" t="s">
        <v>59</v>
      </c>
      <c r="Q217" s="15">
        <f t="shared" ref="Q217:Q280" si="22">+G217*N217</f>
        <v>5250</v>
      </c>
    </row>
    <row r="218" spans="2:17" s="17" customFormat="1" ht="15.75" x14ac:dyDescent="0.25">
      <c r="B218" s="7" t="s">
        <v>449</v>
      </c>
      <c r="C218" s="8">
        <v>44193</v>
      </c>
      <c r="D218" s="10" t="s">
        <v>450</v>
      </c>
      <c r="E218" s="10" t="s">
        <v>22</v>
      </c>
      <c r="F218" s="7">
        <f>9+12+12+24</f>
        <v>57</v>
      </c>
      <c r="G218" s="12">
        <v>12.93</v>
      </c>
      <c r="H218" s="13">
        <f t="shared" si="21"/>
        <v>737.01</v>
      </c>
      <c r="I218" s="14"/>
      <c r="J218" s="28"/>
      <c r="K218" s="15"/>
      <c r="L218" s="14"/>
      <c r="M218" s="14"/>
      <c r="N218" s="14">
        <f t="shared" si="20"/>
        <v>57</v>
      </c>
      <c r="O218" s="14"/>
      <c r="P218" s="14" t="s">
        <v>59</v>
      </c>
      <c r="Q218" s="15">
        <f t="shared" si="22"/>
        <v>737.01</v>
      </c>
    </row>
    <row r="219" spans="2:17" s="17" customFormat="1" ht="15.75" x14ac:dyDescent="0.25">
      <c r="B219" s="7" t="s">
        <v>451</v>
      </c>
      <c r="C219" s="8">
        <v>44193</v>
      </c>
      <c r="D219" s="10" t="s">
        <v>452</v>
      </c>
      <c r="E219" s="10" t="s">
        <v>22</v>
      </c>
      <c r="F219" s="7">
        <f>16+12+12</f>
        <v>40</v>
      </c>
      <c r="G219" s="12">
        <v>14.37</v>
      </c>
      <c r="H219" s="13">
        <f t="shared" si="21"/>
        <v>574.79999999999995</v>
      </c>
      <c r="I219" s="14"/>
      <c r="J219" s="28"/>
      <c r="K219" s="15"/>
      <c r="L219" s="14"/>
      <c r="M219" s="14"/>
      <c r="N219" s="14">
        <f t="shared" si="20"/>
        <v>40</v>
      </c>
      <c r="O219" s="14"/>
      <c r="P219" s="14" t="s">
        <v>59</v>
      </c>
      <c r="Q219" s="15">
        <f t="shared" si="22"/>
        <v>574.79999999999995</v>
      </c>
    </row>
    <row r="220" spans="2:17" s="17" customFormat="1" ht="15.75" x14ac:dyDescent="0.25">
      <c r="B220" s="7" t="s">
        <v>453</v>
      </c>
      <c r="C220" s="8">
        <v>44193</v>
      </c>
      <c r="D220" s="10" t="s">
        <v>454</v>
      </c>
      <c r="E220" s="10" t="s">
        <v>22</v>
      </c>
      <c r="F220" s="7">
        <v>6</v>
      </c>
      <c r="G220" s="12">
        <v>35</v>
      </c>
      <c r="H220" s="13">
        <f t="shared" si="21"/>
        <v>210</v>
      </c>
      <c r="I220" s="14"/>
      <c r="J220" s="28"/>
      <c r="K220" s="15"/>
      <c r="L220" s="14"/>
      <c r="M220" s="14"/>
      <c r="N220" s="14">
        <f t="shared" si="20"/>
        <v>6</v>
      </c>
      <c r="O220" s="14"/>
      <c r="P220" s="14" t="s">
        <v>59</v>
      </c>
      <c r="Q220" s="15">
        <f t="shared" si="22"/>
        <v>210</v>
      </c>
    </row>
    <row r="221" spans="2:17" s="17" customFormat="1" ht="15.75" x14ac:dyDescent="0.25">
      <c r="B221" s="7" t="s">
        <v>455</v>
      </c>
      <c r="C221" s="8">
        <v>44193</v>
      </c>
      <c r="D221" s="10" t="s">
        <v>456</v>
      </c>
      <c r="E221" s="10" t="s">
        <v>22</v>
      </c>
      <c r="F221" s="7"/>
      <c r="G221" s="12">
        <v>30</v>
      </c>
      <c r="H221" s="13">
        <f t="shared" si="21"/>
        <v>0</v>
      </c>
      <c r="I221" s="14"/>
      <c r="J221" s="28"/>
      <c r="K221" s="15"/>
      <c r="L221" s="14"/>
      <c r="M221" s="14"/>
      <c r="N221" s="14">
        <f t="shared" si="20"/>
        <v>0</v>
      </c>
      <c r="O221" s="14"/>
      <c r="P221" s="14" t="s">
        <v>59</v>
      </c>
      <c r="Q221" s="15">
        <f t="shared" si="22"/>
        <v>0</v>
      </c>
    </row>
    <row r="222" spans="2:17" s="17" customFormat="1" ht="15.75" x14ac:dyDescent="0.25">
      <c r="B222" s="7" t="s">
        <v>457</v>
      </c>
      <c r="C222" s="8">
        <v>44193</v>
      </c>
      <c r="D222" s="10" t="s">
        <v>458</v>
      </c>
      <c r="E222" s="10" t="s">
        <v>22</v>
      </c>
      <c r="F222" s="7">
        <v>1300</v>
      </c>
      <c r="G222" s="12">
        <v>2.6</v>
      </c>
      <c r="H222" s="13">
        <f t="shared" si="21"/>
        <v>3380</v>
      </c>
      <c r="I222" s="14"/>
      <c r="J222" s="28"/>
      <c r="K222" s="15"/>
      <c r="L222" s="14"/>
      <c r="M222" s="14">
        <v>1150</v>
      </c>
      <c r="N222" s="14">
        <f t="shared" si="20"/>
        <v>150</v>
      </c>
      <c r="O222" s="14"/>
      <c r="P222" s="14" t="s">
        <v>59</v>
      </c>
      <c r="Q222" s="15">
        <f t="shared" si="22"/>
        <v>390</v>
      </c>
    </row>
    <row r="223" spans="2:17" s="17" customFormat="1" ht="15.75" x14ac:dyDescent="0.25">
      <c r="B223" s="7" t="s">
        <v>459</v>
      </c>
      <c r="C223" s="8">
        <v>44193</v>
      </c>
      <c r="D223" s="10" t="s">
        <v>460</v>
      </c>
      <c r="E223" s="10" t="s">
        <v>22</v>
      </c>
      <c r="F223" s="7">
        <v>1</v>
      </c>
      <c r="G223" s="12">
        <v>728.81</v>
      </c>
      <c r="H223" s="13">
        <f t="shared" si="21"/>
        <v>728.81</v>
      </c>
      <c r="I223" s="14"/>
      <c r="J223" s="28"/>
      <c r="K223" s="15"/>
      <c r="L223" s="14"/>
      <c r="M223" s="14"/>
      <c r="N223" s="14">
        <f t="shared" si="20"/>
        <v>1</v>
      </c>
      <c r="O223" s="14"/>
      <c r="P223" s="14" t="s">
        <v>59</v>
      </c>
      <c r="Q223" s="15">
        <f t="shared" si="22"/>
        <v>728.81</v>
      </c>
    </row>
    <row r="224" spans="2:17" s="17" customFormat="1" ht="15.75" x14ac:dyDescent="0.25">
      <c r="B224" s="7" t="s">
        <v>461</v>
      </c>
      <c r="C224" s="8">
        <v>44193</v>
      </c>
      <c r="D224" s="10" t="s">
        <v>462</v>
      </c>
      <c r="E224" s="10" t="s">
        <v>22</v>
      </c>
      <c r="F224" s="25">
        <v>2</v>
      </c>
      <c r="G224" s="12">
        <v>350</v>
      </c>
      <c r="H224" s="13">
        <f t="shared" si="21"/>
        <v>700</v>
      </c>
      <c r="I224" s="14"/>
      <c r="J224" s="28"/>
      <c r="K224" s="15"/>
      <c r="L224" s="14"/>
      <c r="M224" s="14"/>
      <c r="N224" s="14">
        <f t="shared" si="20"/>
        <v>2</v>
      </c>
      <c r="O224" s="14"/>
      <c r="P224" s="14" t="s">
        <v>59</v>
      </c>
      <c r="Q224" s="15">
        <f t="shared" si="22"/>
        <v>700</v>
      </c>
    </row>
    <row r="225" spans="2:17" s="17" customFormat="1" ht="15.75" x14ac:dyDescent="0.25">
      <c r="B225" s="7" t="s">
        <v>463</v>
      </c>
      <c r="C225" s="8">
        <v>44193</v>
      </c>
      <c r="D225" s="10" t="s">
        <v>464</v>
      </c>
      <c r="E225" s="10" t="s">
        <v>22</v>
      </c>
      <c r="F225" s="7">
        <v>5</v>
      </c>
      <c r="G225" s="12">
        <v>595</v>
      </c>
      <c r="H225" s="13">
        <f t="shared" si="21"/>
        <v>2975</v>
      </c>
      <c r="I225" s="14"/>
      <c r="J225" s="28"/>
      <c r="K225" s="15"/>
      <c r="L225" s="14"/>
      <c r="M225" s="14"/>
      <c r="N225" s="14">
        <f t="shared" si="20"/>
        <v>5</v>
      </c>
      <c r="O225" s="14"/>
      <c r="P225" s="14" t="s">
        <v>59</v>
      </c>
      <c r="Q225" s="15">
        <f t="shared" si="22"/>
        <v>2975</v>
      </c>
    </row>
    <row r="226" spans="2:17" s="17" customFormat="1" ht="15.75" x14ac:dyDescent="0.25">
      <c r="B226" s="7" t="s">
        <v>465</v>
      </c>
      <c r="C226" s="8">
        <v>44193</v>
      </c>
      <c r="D226" s="10" t="s">
        <v>466</v>
      </c>
      <c r="E226" s="10" t="s">
        <v>22</v>
      </c>
      <c r="F226" s="7">
        <v>2</v>
      </c>
      <c r="G226" s="12">
        <v>300</v>
      </c>
      <c r="H226" s="13">
        <f t="shared" si="21"/>
        <v>600</v>
      </c>
      <c r="I226" s="14"/>
      <c r="J226" s="28"/>
      <c r="K226" s="15"/>
      <c r="L226" s="14"/>
      <c r="M226" s="14"/>
      <c r="N226" s="14">
        <f t="shared" si="20"/>
        <v>2</v>
      </c>
      <c r="O226" s="14"/>
      <c r="P226" s="14" t="s">
        <v>59</v>
      </c>
      <c r="Q226" s="15">
        <f t="shared" si="22"/>
        <v>600</v>
      </c>
    </row>
    <row r="227" spans="2:17" s="17" customFormat="1" ht="15.75" x14ac:dyDescent="0.25">
      <c r="B227" s="7" t="s">
        <v>467</v>
      </c>
      <c r="C227" s="8">
        <v>44193</v>
      </c>
      <c r="D227" s="9" t="s">
        <v>468</v>
      </c>
      <c r="E227" s="10" t="s">
        <v>22</v>
      </c>
      <c r="F227" s="11">
        <v>0</v>
      </c>
      <c r="G227" s="12">
        <v>3950</v>
      </c>
      <c r="H227" s="13">
        <f t="shared" si="21"/>
        <v>0</v>
      </c>
      <c r="I227" s="14"/>
      <c r="J227" s="28"/>
      <c r="K227" s="15"/>
      <c r="L227" s="14"/>
      <c r="M227" s="14"/>
      <c r="N227" s="14">
        <f t="shared" si="20"/>
        <v>0</v>
      </c>
      <c r="O227" s="14"/>
      <c r="P227" s="14" t="s">
        <v>59</v>
      </c>
      <c r="Q227" s="15">
        <f t="shared" si="22"/>
        <v>0</v>
      </c>
    </row>
    <row r="228" spans="2:17" s="17" customFormat="1" ht="15.75" x14ac:dyDescent="0.25">
      <c r="B228" s="7" t="s">
        <v>469</v>
      </c>
      <c r="C228" s="7" t="s">
        <v>470</v>
      </c>
      <c r="D228" s="9" t="s">
        <v>471</v>
      </c>
      <c r="E228" s="10" t="s">
        <v>22</v>
      </c>
      <c r="F228" s="25">
        <v>6</v>
      </c>
      <c r="G228" s="19">
        <v>11000</v>
      </c>
      <c r="H228" s="13">
        <f t="shared" si="21"/>
        <v>66000</v>
      </c>
      <c r="I228" s="14"/>
      <c r="J228" s="28"/>
      <c r="K228" s="15"/>
      <c r="L228" s="14"/>
      <c r="M228" s="14"/>
      <c r="N228" s="14">
        <f t="shared" si="20"/>
        <v>6</v>
      </c>
      <c r="O228" s="14"/>
      <c r="P228" s="14" t="s">
        <v>59</v>
      </c>
      <c r="Q228" s="15">
        <f t="shared" si="22"/>
        <v>66000</v>
      </c>
    </row>
    <row r="229" spans="2:17" s="17" customFormat="1" ht="15.75" x14ac:dyDescent="0.25">
      <c r="B229" s="7" t="s">
        <v>472</v>
      </c>
      <c r="C229" s="8">
        <v>44652</v>
      </c>
      <c r="D229" s="9" t="s">
        <v>473</v>
      </c>
      <c r="E229" s="10" t="s">
        <v>22</v>
      </c>
      <c r="F229" s="18">
        <v>5</v>
      </c>
      <c r="G229" s="12">
        <v>1700</v>
      </c>
      <c r="H229" s="13">
        <f t="shared" si="21"/>
        <v>8500</v>
      </c>
      <c r="I229" s="14"/>
      <c r="J229" s="28"/>
      <c r="K229" s="15"/>
      <c r="L229" s="14"/>
      <c r="M229" s="14"/>
      <c r="N229" s="14">
        <f t="shared" si="20"/>
        <v>5</v>
      </c>
      <c r="O229" s="14"/>
      <c r="P229" s="14" t="s">
        <v>23</v>
      </c>
      <c r="Q229" s="15">
        <f t="shared" si="22"/>
        <v>8500</v>
      </c>
    </row>
    <row r="230" spans="2:17" s="17" customFormat="1" ht="15.75" x14ac:dyDescent="0.25">
      <c r="B230" s="7" t="s">
        <v>474</v>
      </c>
      <c r="C230" s="8">
        <v>44193</v>
      </c>
      <c r="D230" s="9" t="s">
        <v>475</v>
      </c>
      <c r="E230" s="10" t="s">
        <v>22</v>
      </c>
      <c r="F230" s="11">
        <v>0</v>
      </c>
      <c r="G230" s="12">
        <v>148.31</v>
      </c>
      <c r="H230" s="13">
        <f t="shared" si="21"/>
        <v>0</v>
      </c>
      <c r="I230" s="14"/>
      <c r="J230" s="28"/>
      <c r="K230" s="15"/>
      <c r="L230" s="14"/>
      <c r="M230" s="14"/>
      <c r="N230" s="14">
        <f t="shared" si="20"/>
        <v>0</v>
      </c>
      <c r="O230" s="14"/>
      <c r="P230" s="14" t="s">
        <v>23</v>
      </c>
      <c r="Q230" s="15">
        <f t="shared" si="22"/>
        <v>0</v>
      </c>
    </row>
    <row r="231" spans="2:17" s="17" customFormat="1" ht="15.75" x14ac:dyDescent="0.25">
      <c r="B231" s="7" t="s">
        <v>476</v>
      </c>
      <c r="C231" s="8">
        <v>44193</v>
      </c>
      <c r="D231" s="9" t="s">
        <v>477</v>
      </c>
      <c r="E231" s="10" t="s">
        <v>22</v>
      </c>
      <c r="F231" s="11">
        <v>0</v>
      </c>
      <c r="G231" s="12">
        <v>122.88</v>
      </c>
      <c r="H231" s="13">
        <f t="shared" si="21"/>
        <v>0</v>
      </c>
      <c r="I231" s="14"/>
      <c r="J231" s="28"/>
      <c r="K231" s="15"/>
      <c r="L231" s="14"/>
      <c r="M231" s="14"/>
      <c r="N231" s="14">
        <f t="shared" si="20"/>
        <v>0</v>
      </c>
      <c r="O231" s="14"/>
      <c r="P231" s="14" t="s">
        <v>23</v>
      </c>
      <c r="Q231" s="15">
        <f t="shared" si="22"/>
        <v>0</v>
      </c>
    </row>
    <row r="232" spans="2:17" s="17" customFormat="1" ht="15.75" x14ac:dyDescent="0.25">
      <c r="B232" s="7" t="s">
        <v>478</v>
      </c>
      <c r="C232" s="8">
        <v>44193</v>
      </c>
      <c r="D232" s="9" t="s">
        <v>479</v>
      </c>
      <c r="E232" s="10" t="s">
        <v>22</v>
      </c>
      <c r="F232" s="11">
        <v>0</v>
      </c>
      <c r="G232" s="12">
        <v>0</v>
      </c>
      <c r="H232" s="13">
        <f t="shared" si="21"/>
        <v>0</v>
      </c>
      <c r="I232" s="14"/>
      <c r="J232" s="28"/>
      <c r="K232" s="15"/>
      <c r="L232" s="14"/>
      <c r="M232" s="14"/>
      <c r="N232" s="14">
        <f t="shared" si="20"/>
        <v>0</v>
      </c>
      <c r="O232" s="14"/>
      <c r="P232" s="14" t="s">
        <v>23</v>
      </c>
      <c r="Q232" s="15">
        <f t="shared" si="22"/>
        <v>0</v>
      </c>
    </row>
    <row r="233" spans="2:17" s="17" customFormat="1" ht="15.75" x14ac:dyDescent="0.25">
      <c r="B233" s="7" t="s">
        <v>480</v>
      </c>
      <c r="C233" s="8">
        <v>44851</v>
      </c>
      <c r="D233" s="9" t="s">
        <v>481</v>
      </c>
      <c r="E233" s="10" t="s">
        <v>22</v>
      </c>
      <c r="F233" s="11">
        <v>0</v>
      </c>
      <c r="G233" s="12">
        <v>156.35</v>
      </c>
      <c r="H233" s="13">
        <f t="shared" si="21"/>
        <v>0</v>
      </c>
      <c r="I233" s="23">
        <v>44851</v>
      </c>
      <c r="J233" s="28">
        <v>100</v>
      </c>
      <c r="K233" s="15">
        <v>156.35</v>
      </c>
      <c r="L233" s="21">
        <f>+J233*K233</f>
        <v>15635</v>
      </c>
      <c r="M233" s="14">
        <f>2+1+1</f>
        <v>4</v>
      </c>
      <c r="N233" s="14">
        <f t="shared" si="20"/>
        <v>96</v>
      </c>
      <c r="O233" s="14"/>
      <c r="P233" s="14" t="s">
        <v>23</v>
      </c>
      <c r="Q233" s="15">
        <f t="shared" si="22"/>
        <v>15009.599999999999</v>
      </c>
    </row>
    <row r="234" spans="2:17" s="16" customFormat="1" x14ac:dyDescent="0.3">
      <c r="B234" s="7" t="s">
        <v>482</v>
      </c>
      <c r="C234" s="8">
        <v>44193</v>
      </c>
      <c r="D234" s="9" t="s">
        <v>483</v>
      </c>
      <c r="E234" s="10" t="s">
        <v>22</v>
      </c>
      <c r="F234" s="11">
        <v>0</v>
      </c>
      <c r="G234" s="19">
        <v>82</v>
      </c>
      <c r="H234" s="13">
        <f t="shared" si="21"/>
        <v>0</v>
      </c>
      <c r="I234" s="14"/>
      <c r="J234" s="28"/>
      <c r="K234" s="15"/>
      <c r="L234" s="14"/>
      <c r="M234" s="14">
        <v>2</v>
      </c>
      <c r="N234" s="14">
        <f t="shared" si="20"/>
        <v>-2</v>
      </c>
      <c r="O234" s="14"/>
      <c r="P234" s="14" t="s">
        <v>19</v>
      </c>
      <c r="Q234" s="15">
        <f t="shared" si="22"/>
        <v>-164</v>
      </c>
    </row>
    <row r="235" spans="2:17" s="16" customFormat="1" x14ac:dyDescent="0.3">
      <c r="B235" s="7" t="s">
        <v>484</v>
      </c>
      <c r="C235" s="8">
        <v>44193</v>
      </c>
      <c r="D235" s="9" t="s">
        <v>485</v>
      </c>
      <c r="E235" s="10" t="s">
        <v>22</v>
      </c>
      <c r="F235" s="11">
        <v>0</v>
      </c>
      <c r="G235" s="19">
        <v>14.29</v>
      </c>
      <c r="H235" s="13">
        <f t="shared" si="21"/>
        <v>0</v>
      </c>
      <c r="I235" s="14"/>
      <c r="J235" s="28"/>
      <c r="K235" s="15"/>
      <c r="L235" s="14"/>
      <c r="M235" s="14"/>
      <c r="N235" s="14">
        <f t="shared" si="20"/>
        <v>0</v>
      </c>
      <c r="O235" s="14"/>
      <c r="P235" s="14" t="s">
        <v>19</v>
      </c>
      <c r="Q235" s="15">
        <f t="shared" si="22"/>
        <v>0</v>
      </c>
    </row>
    <row r="236" spans="2:17" s="16" customFormat="1" x14ac:dyDescent="0.3">
      <c r="B236" s="7" t="s">
        <v>486</v>
      </c>
      <c r="C236" s="7" t="s">
        <v>487</v>
      </c>
      <c r="D236" s="9" t="s">
        <v>488</v>
      </c>
      <c r="E236" s="10" t="s">
        <v>22</v>
      </c>
      <c r="F236" s="11">
        <v>6</v>
      </c>
      <c r="G236" s="19">
        <v>82</v>
      </c>
      <c r="H236" s="13">
        <f t="shared" si="21"/>
        <v>492</v>
      </c>
      <c r="I236" s="14"/>
      <c r="J236" s="28"/>
      <c r="K236" s="15"/>
      <c r="L236" s="14"/>
      <c r="M236" s="14"/>
      <c r="N236" s="14">
        <f t="shared" si="20"/>
        <v>6</v>
      </c>
      <c r="O236" s="14"/>
      <c r="P236" s="14" t="s">
        <v>19</v>
      </c>
      <c r="Q236" s="15">
        <f t="shared" si="22"/>
        <v>492</v>
      </c>
    </row>
    <row r="237" spans="2:17" s="17" customFormat="1" ht="15.75" x14ac:dyDescent="0.25">
      <c r="B237" s="7" t="s">
        <v>489</v>
      </c>
      <c r="C237" s="7" t="s">
        <v>470</v>
      </c>
      <c r="D237" s="9" t="s">
        <v>490</v>
      </c>
      <c r="E237" s="10" t="s">
        <v>22</v>
      </c>
      <c r="F237" s="11">
        <v>0</v>
      </c>
      <c r="G237" s="19">
        <v>6375</v>
      </c>
      <c r="H237" s="13">
        <f t="shared" si="21"/>
        <v>0</v>
      </c>
      <c r="I237" s="14"/>
      <c r="J237" s="28"/>
      <c r="K237" s="15"/>
      <c r="L237" s="14"/>
      <c r="M237" s="14">
        <v>1</v>
      </c>
      <c r="N237" s="14">
        <f t="shared" si="20"/>
        <v>-1</v>
      </c>
      <c r="O237" s="14"/>
      <c r="P237" s="14" t="s">
        <v>23</v>
      </c>
      <c r="Q237" s="15">
        <f t="shared" si="22"/>
        <v>-6375</v>
      </c>
    </row>
    <row r="238" spans="2:17" s="17" customFormat="1" ht="15.75" x14ac:dyDescent="0.25">
      <c r="B238" s="7" t="s">
        <v>491</v>
      </c>
      <c r="C238" s="8">
        <v>44193</v>
      </c>
      <c r="D238" s="10" t="s">
        <v>492</v>
      </c>
      <c r="E238" s="10" t="s">
        <v>22</v>
      </c>
      <c r="F238" s="7">
        <v>2</v>
      </c>
      <c r="G238" s="12">
        <v>725</v>
      </c>
      <c r="H238" s="13">
        <f t="shared" si="21"/>
        <v>1450</v>
      </c>
      <c r="I238" s="14"/>
      <c r="J238" s="28"/>
      <c r="K238" s="15"/>
      <c r="L238" s="14"/>
      <c r="M238" s="14"/>
      <c r="N238" s="14">
        <f t="shared" si="20"/>
        <v>2</v>
      </c>
      <c r="O238" s="14"/>
      <c r="P238" s="14" t="s">
        <v>59</v>
      </c>
      <c r="Q238" s="15">
        <f t="shared" si="22"/>
        <v>1450</v>
      </c>
    </row>
    <row r="239" spans="2:17" s="17" customFormat="1" ht="15.75" x14ac:dyDescent="0.25">
      <c r="B239" s="7" t="s">
        <v>493</v>
      </c>
      <c r="C239" s="22">
        <v>45042</v>
      </c>
      <c r="D239" s="10" t="s">
        <v>494</v>
      </c>
      <c r="E239" s="10" t="s">
        <v>22</v>
      </c>
      <c r="F239" s="18">
        <v>40</v>
      </c>
      <c r="G239" s="12">
        <v>326.62</v>
      </c>
      <c r="H239" s="13">
        <f t="shared" si="21"/>
        <v>13064.8</v>
      </c>
      <c r="I239" s="23">
        <v>45042</v>
      </c>
      <c r="J239" s="28">
        <v>50</v>
      </c>
      <c r="K239" s="15">
        <v>279.66000000000003</v>
      </c>
      <c r="L239" s="15">
        <f>+K239*J239</f>
        <v>13983.000000000002</v>
      </c>
      <c r="M239" s="14">
        <f>17+1+1+5+1+1</f>
        <v>26</v>
      </c>
      <c r="N239" s="14">
        <f t="shared" si="20"/>
        <v>64</v>
      </c>
      <c r="O239" s="14" t="s">
        <v>170</v>
      </c>
      <c r="P239" s="14" t="s">
        <v>59</v>
      </c>
      <c r="Q239" s="15">
        <f t="shared" si="22"/>
        <v>20903.68</v>
      </c>
    </row>
    <row r="240" spans="2:17" s="17" customFormat="1" ht="15.75" x14ac:dyDescent="0.25">
      <c r="B240" s="7" t="s">
        <v>495</v>
      </c>
      <c r="C240" s="8">
        <v>44193</v>
      </c>
      <c r="D240" s="10" t="s">
        <v>496</v>
      </c>
      <c r="E240" s="10" t="s">
        <v>22</v>
      </c>
      <c r="F240" s="7">
        <v>100</v>
      </c>
      <c r="G240" s="12">
        <v>2.25</v>
      </c>
      <c r="H240" s="13">
        <f t="shared" si="21"/>
        <v>225</v>
      </c>
      <c r="I240" s="14"/>
      <c r="J240" s="28"/>
      <c r="K240" s="15"/>
      <c r="L240" s="15">
        <f t="shared" ref="L240:L251" si="23">+K240*J240</f>
        <v>0</v>
      </c>
      <c r="M240" s="14">
        <v>5</v>
      </c>
      <c r="N240" s="14">
        <f t="shared" ref="N240:N303" si="24">+F240+J240-M240</f>
        <v>95</v>
      </c>
      <c r="O240" s="14"/>
      <c r="P240" s="14" t="s">
        <v>59</v>
      </c>
      <c r="Q240" s="15">
        <f t="shared" si="22"/>
        <v>213.75</v>
      </c>
    </row>
    <row r="241" spans="2:17" s="24" customFormat="1" ht="15.75" x14ac:dyDescent="0.25">
      <c r="B241" s="7" t="s">
        <v>497</v>
      </c>
      <c r="C241" s="22">
        <v>44852</v>
      </c>
      <c r="D241" s="10" t="s">
        <v>498</v>
      </c>
      <c r="E241" s="10" t="s">
        <v>22</v>
      </c>
      <c r="F241" s="7">
        <v>7</v>
      </c>
      <c r="G241" s="12">
        <v>428.22</v>
      </c>
      <c r="H241" s="13">
        <f t="shared" si="21"/>
        <v>2997.54</v>
      </c>
      <c r="I241" s="23">
        <v>44852</v>
      </c>
      <c r="J241" s="28">
        <f>2*10</f>
        <v>20</v>
      </c>
      <c r="K241" s="15">
        <v>428.22</v>
      </c>
      <c r="L241" s="15">
        <f t="shared" si="23"/>
        <v>8564.4000000000015</v>
      </c>
      <c r="M241" s="14">
        <v>4</v>
      </c>
      <c r="N241" s="14">
        <f t="shared" si="24"/>
        <v>23</v>
      </c>
      <c r="O241" s="14" t="s">
        <v>170</v>
      </c>
      <c r="P241" s="14" t="s">
        <v>59</v>
      </c>
      <c r="Q241" s="15">
        <f t="shared" si="22"/>
        <v>9849.0600000000013</v>
      </c>
    </row>
    <row r="242" spans="2:17" s="17" customFormat="1" ht="15.75" x14ac:dyDescent="0.25">
      <c r="B242" s="7" t="s">
        <v>499</v>
      </c>
      <c r="C242" s="22">
        <v>44852</v>
      </c>
      <c r="D242" s="10" t="s">
        <v>500</v>
      </c>
      <c r="E242" s="10" t="s">
        <v>22</v>
      </c>
      <c r="F242" s="7">
        <v>61</v>
      </c>
      <c r="G242" s="12">
        <v>21.69</v>
      </c>
      <c r="H242" s="13">
        <f t="shared" si="21"/>
        <v>1323.0900000000001</v>
      </c>
      <c r="I242" s="23">
        <v>44852</v>
      </c>
      <c r="J242" s="28">
        <v>2</v>
      </c>
      <c r="K242" s="15">
        <v>21.69</v>
      </c>
      <c r="L242" s="15">
        <f t="shared" si="23"/>
        <v>43.38</v>
      </c>
      <c r="M242" s="14">
        <v>16</v>
      </c>
      <c r="N242" s="14">
        <f t="shared" si="24"/>
        <v>47</v>
      </c>
      <c r="O242" s="14" t="s">
        <v>170</v>
      </c>
      <c r="P242" s="14" t="s">
        <v>59</v>
      </c>
      <c r="Q242" s="15">
        <f t="shared" si="22"/>
        <v>1019.4300000000001</v>
      </c>
    </row>
    <row r="243" spans="2:17" s="24" customFormat="1" ht="15.75" x14ac:dyDescent="0.25">
      <c r="B243" s="7" t="s">
        <v>491</v>
      </c>
      <c r="C243" s="22">
        <v>44851</v>
      </c>
      <c r="D243" s="10" t="s">
        <v>501</v>
      </c>
      <c r="E243" s="10" t="s">
        <v>22</v>
      </c>
      <c r="F243" s="7">
        <v>2</v>
      </c>
      <c r="G243" s="12">
        <v>857.86</v>
      </c>
      <c r="H243" s="13">
        <f t="shared" si="21"/>
        <v>1715.72</v>
      </c>
      <c r="I243" s="23">
        <v>44851</v>
      </c>
      <c r="J243" s="28">
        <v>2</v>
      </c>
      <c r="K243" s="15">
        <v>857.86</v>
      </c>
      <c r="L243" s="14">
        <f>+K243*J243</f>
        <v>1715.72</v>
      </c>
      <c r="M243" s="14">
        <v>2</v>
      </c>
      <c r="N243" s="14">
        <f t="shared" si="24"/>
        <v>2</v>
      </c>
      <c r="O243" s="14" t="s">
        <v>170</v>
      </c>
      <c r="P243" s="14" t="s">
        <v>59</v>
      </c>
      <c r="Q243" s="15">
        <f t="shared" si="22"/>
        <v>1715.72</v>
      </c>
    </row>
    <row r="244" spans="2:17" s="17" customFormat="1" ht="15.75" x14ac:dyDescent="0.25">
      <c r="B244" s="7" t="s">
        <v>502</v>
      </c>
      <c r="C244" s="22">
        <v>45019</v>
      </c>
      <c r="D244" s="10" t="s">
        <v>503</v>
      </c>
      <c r="E244" s="10" t="s">
        <v>22</v>
      </c>
      <c r="F244" s="11">
        <v>367</v>
      </c>
      <c r="G244" s="12">
        <v>117.02</v>
      </c>
      <c r="H244" s="13">
        <f t="shared" si="21"/>
        <v>42946.34</v>
      </c>
      <c r="I244" s="23">
        <v>45019</v>
      </c>
      <c r="J244" s="28">
        <v>540</v>
      </c>
      <c r="K244" s="15">
        <v>117.02</v>
      </c>
      <c r="L244" s="15">
        <f t="shared" si="23"/>
        <v>63190.799999999996</v>
      </c>
      <c r="M244" s="14">
        <f>12+18+747+18+2</f>
        <v>797</v>
      </c>
      <c r="N244" s="14">
        <f t="shared" si="24"/>
        <v>110</v>
      </c>
      <c r="O244" s="14"/>
      <c r="P244" s="14" t="s">
        <v>59</v>
      </c>
      <c r="Q244" s="15">
        <f t="shared" si="22"/>
        <v>12872.199999999999</v>
      </c>
    </row>
    <row r="245" spans="2:17" s="17" customFormat="1" ht="15.75" x14ac:dyDescent="0.25">
      <c r="B245" s="7" t="s">
        <v>504</v>
      </c>
      <c r="C245" s="7" t="s">
        <v>505</v>
      </c>
      <c r="D245" s="9" t="s">
        <v>506</v>
      </c>
      <c r="E245" s="10" t="s">
        <v>22</v>
      </c>
      <c r="F245" s="18">
        <v>3</v>
      </c>
      <c r="G245" s="12">
        <v>135</v>
      </c>
      <c r="H245" s="13">
        <f t="shared" si="21"/>
        <v>405</v>
      </c>
      <c r="I245" s="14"/>
      <c r="J245" s="28"/>
      <c r="K245" s="15"/>
      <c r="L245" s="15">
        <f t="shared" si="23"/>
        <v>0</v>
      </c>
      <c r="M245" s="14"/>
      <c r="N245" s="14">
        <f t="shared" si="24"/>
        <v>3</v>
      </c>
      <c r="O245" s="14"/>
      <c r="P245" s="14" t="s">
        <v>59</v>
      </c>
      <c r="Q245" s="15">
        <f t="shared" si="22"/>
        <v>405</v>
      </c>
    </row>
    <row r="246" spans="2:17" s="24" customFormat="1" ht="15.75" x14ac:dyDescent="0.25">
      <c r="B246" s="7" t="s">
        <v>507</v>
      </c>
      <c r="C246" s="22">
        <v>45042</v>
      </c>
      <c r="D246" s="10" t="s">
        <v>508</v>
      </c>
      <c r="E246" s="10" t="s">
        <v>22</v>
      </c>
      <c r="F246" s="18">
        <v>15</v>
      </c>
      <c r="G246" s="12">
        <v>206.54</v>
      </c>
      <c r="H246" s="13">
        <f t="shared" si="21"/>
        <v>3098.1</v>
      </c>
      <c r="I246" s="23">
        <v>45042</v>
      </c>
      <c r="J246" s="28">
        <v>10</v>
      </c>
      <c r="K246" s="15">
        <v>206.54</v>
      </c>
      <c r="L246" s="14">
        <f>+K246*J246</f>
        <v>2065.4</v>
      </c>
      <c r="M246" s="14">
        <v>2</v>
      </c>
      <c r="N246" s="14">
        <f t="shared" si="24"/>
        <v>23</v>
      </c>
      <c r="O246" s="14" t="s">
        <v>170</v>
      </c>
      <c r="P246" s="14" t="s">
        <v>59</v>
      </c>
      <c r="Q246" s="15">
        <f t="shared" si="22"/>
        <v>4750.42</v>
      </c>
    </row>
    <row r="247" spans="2:17" s="17" customFormat="1" ht="15.75" x14ac:dyDescent="0.25">
      <c r="B247" s="7" t="s">
        <v>509</v>
      </c>
      <c r="C247" s="8">
        <v>44193</v>
      </c>
      <c r="D247" s="10" t="s">
        <v>510</v>
      </c>
      <c r="E247" s="10" t="s">
        <v>22</v>
      </c>
      <c r="F247" s="18">
        <v>226</v>
      </c>
      <c r="G247" s="12">
        <v>22.2</v>
      </c>
      <c r="H247" s="13">
        <f t="shared" si="21"/>
        <v>5017.2</v>
      </c>
      <c r="I247" s="14"/>
      <c r="J247" s="28"/>
      <c r="K247" s="15"/>
      <c r="L247" s="15">
        <f t="shared" si="23"/>
        <v>0</v>
      </c>
      <c r="M247" s="14"/>
      <c r="N247" s="14">
        <f t="shared" si="24"/>
        <v>226</v>
      </c>
      <c r="O247" s="14"/>
      <c r="P247" s="14" t="s">
        <v>59</v>
      </c>
      <c r="Q247" s="15">
        <f t="shared" si="22"/>
        <v>5017.2</v>
      </c>
    </row>
    <row r="248" spans="2:17" s="17" customFormat="1" ht="15.75" x14ac:dyDescent="0.25">
      <c r="B248" s="7" t="s">
        <v>511</v>
      </c>
      <c r="C248" s="22">
        <v>44610</v>
      </c>
      <c r="D248" s="10" t="s">
        <v>512</v>
      </c>
      <c r="E248" s="10" t="s">
        <v>22</v>
      </c>
      <c r="F248" s="18">
        <v>2</v>
      </c>
      <c r="G248" s="12">
        <v>284.99</v>
      </c>
      <c r="H248" s="13">
        <f t="shared" si="21"/>
        <v>569.98</v>
      </c>
      <c r="I248" s="23">
        <v>44610</v>
      </c>
      <c r="J248" s="28">
        <v>2</v>
      </c>
      <c r="K248" s="15">
        <v>284.99</v>
      </c>
      <c r="L248" s="15">
        <f t="shared" si="23"/>
        <v>569.98</v>
      </c>
      <c r="M248" s="14"/>
      <c r="N248" s="14">
        <f t="shared" si="24"/>
        <v>4</v>
      </c>
      <c r="O248" s="14" t="s">
        <v>170</v>
      </c>
      <c r="P248" s="14" t="s">
        <v>59</v>
      </c>
      <c r="Q248" s="15">
        <f t="shared" si="22"/>
        <v>1139.96</v>
      </c>
    </row>
    <row r="249" spans="2:17" s="17" customFormat="1" ht="15.75" x14ac:dyDescent="0.25">
      <c r="B249" s="7" t="s">
        <v>513</v>
      </c>
      <c r="C249" s="8">
        <v>44193</v>
      </c>
      <c r="D249" s="9" t="s">
        <v>514</v>
      </c>
      <c r="E249" s="10" t="s">
        <v>22</v>
      </c>
      <c r="F249" s="18">
        <v>11</v>
      </c>
      <c r="G249" s="12">
        <v>301</v>
      </c>
      <c r="H249" s="13">
        <f t="shared" si="21"/>
        <v>3311</v>
      </c>
      <c r="I249" s="14"/>
      <c r="J249" s="28"/>
      <c r="K249" s="15"/>
      <c r="L249" s="15">
        <f t="shared" si="23"/>
        <v>0</v>
      </c>
      <c r="M249" s="14"/>
      <c r="N249" s="14">
        <f t="shared" si="24"/>
        <v>11</v>
      </c>
      <c r="O249" s="14"/>
      <c r="P249" s="14" t="s">
        <v>59</v>
      </c>
      <c r="Q249" s="15">
        <f t="shared" si="22"/>
        <v>3311</v>
      </c>
    </row>
    <row r="250" spans="2:17" s="16" customFormat="1" x14ac:dyDescent="0.3">
      <c r="B250" s="7" t="s">
        <v>515</v>
      </c>
      <c r="C250" s="22">
        <v>45019</v>
      </c>
      <c r="D250" s="9" t="s">
        <v>516</v>
      </c>
      <c r="E250" s="10" t="s">
        <v>22</v>
      </c>
      <c r="F250" s="18">
        <v>180</v>
      </c>
      <c r="G250" s="19">
        <v>38.19</v>
      </c>
      <c r="H250" s="13">
        <f t="shared" si="21"/>
        <v>6874.2</v>
      </c>
      <c r="I250" s="23">
        <v>45019</v>
      </c>
      <c r="J250" s="28">
        <f>7*48</f>
        <v>336</v>
      </c>
      <c r="K250" s="15">
        <v>38.19</v>
      </c>
      <c r="L250" s="15">
        <f t="shared" si="23"/>
        <v>12831.84</v>
      </c>
      <c r="M250" s="14">
        <f>48+3+3+2+4+6+7+3+3+6+1+6+2</f>
        <v>94</v>
      </c>
      <c r="N250" s="14">
        <f t="shared" si="24"/>
        <v>422</v>
      </c>
      <c r="O250" s="14" t="s">
        <v>517</v>
      </c>
      <c r="P250" s="14" t="s">
        <v>19</v>
      </c>
      <c r="Q250" s="15">
        <f t="shared" si="22"/>
        <v>16116.179999999998</v>
      </c>
    </row>
    <row r="251" spans="2:17" s="24" customFormat="1" ht="15.75" x14ac:dyDescent="0.25">
      <c r="B251" s="7" t="s">
        <v>518</v>
      </c>
      <c r="C251" s="22">
        <v>44852</v>
      </c>
      <c r="D251" s="10" t="s">
        <v>519</v>
      </c>
      <c r="E251" s="10" t="s">
        <v>22</v>
      </c>
      <c r="F251" s="18">
        <f>52+12</f>
        <v>64</v>
      </c>
      <c r="G251" s="12">
        <v>44.54</v>
      </c>
      <c r="H251" s="13">
        <f t="shared" si="21"/>
        <v>2850.56</v>
      </c>
      <c r="I251" s="23">
        <v>44852</v>
      </c>
      <c r="J251" s="28">
        <v>32</v>
      </c>
      <c r="K251" s="15">
        <v>44.54</v>
      </c>
      <c r="L251" s="15">
        <f t="shared" si="23"/>
        <v>1425.28</v>
      </c>
      <c r="M251" s="14">
        <f>4+4+6</f>
        <v>14</v>
      </c>
      <c r="N251" s="14">
        <f t="shared" si="24"/>
        <v>82</v>
      </c>
      <c r="O251" s="14"/>
      <c r="P251" s="14" t="s">
        <v>19</v>
      </c>
      <c r="Q251" s="15">
        <f t="shared" si="22"/>
        <v>3652.2799999999997</v>
      </c>
    </row>
    <row r="252" spans="2:17" s="16" customFormat="1" x14ac:dyDescent="0.3">
      <c r="B252" s="7" t="s">
        <v>520</v>
      </c>
      <c r="C252" s="8">
        <v>44678</v>
      </c>
      <c r="D252" s="9" t="s">
        <v>521</v>
      </c>
      <c r="E252" s="10" t="s">
        <v>22</v>
      </c>
      <c r="F252" s="30">
        <v>16</v>
      </c>
      <c r="G252" s="12">
        <v>3000</v>
      </c>
      <c r="H252" s="13">
        <f t="shared" si="21"/>
        <v>48000</v>
      </c>
      <c r="I252" s="14"/>
      <c r="J252" s="28"/>
      <c r="K252" s="15"/>
      <c r="L252" s="14"/>
      <c r="M252" s="14"/>
      <c r="N252" s="14">
        <f t="shared" si="24"/>
        <v>16</v>
      </c>
      <c r="O252" s="14"/>
      <c r="P252" s="14" t="s">
        <v>19</v>
      </c>
      <c r="Q252" s="15">
        <f t="shared" si="22"/>
        <v>48000</v>
      </c>
    </row>
    <row r="253" spans="2:17" s="16" customFormat="1" x14ac:dyDescent="0.3">
      <c r="B253" s="7" t="s">
        <v>522</v>
      </c>
      <c r="C253" s="8">
        <v>44193</v>
      </c>
      <c r="D253" s="9" t="s">
        <v>523</v>
      </c>
      <c r="E253" s="10" t="s">
        <v>22</v>
      </c>
      <c r="F253" s="18">
        <v>0</v>
      </c>
      <c r="G253" s="12">
        <v>1500</v>
      </c>
      <c r="H253" s="13">
        <f t="shared" si="21"/>
        <v>0</v>
      </c>
      <c r="I253" s="14"/>
      <c r="J253" s="28"/>
      <c r="K253" s="15"/>
      <c r="L253" s="14"/>
      <c r="M253" s="14"/>
      <c r="N253" s="14">
        <f t="shared" si="24"/>
        <v>0</v>
      </c>
      <c r="O253" s="14"/>
      <c r="P253" s="14" t="s">
        <v>19</v>
      </c>
      <c r="Q253" s="15">
        <f t="shared" si="22"/>
        <v>0</v>
      </c>
    </row>
    <row r="254" spans="2:17" s="16" customFormat="1" x14ac:dyDescent="0.3">
      <c r="B254" s="7" t="s">
        <v>524</v>
      </c>
      <c r="C254" s="8">
        <v>44678</v>
      </c>
      <c r="D254" s="9" t="s">
        <v>525</v>
      </c>
      <c r="E254" s="10" t="s">
        <v>22</v>
      </c>
      <c r="F254" s="30">
        <v>11</v>
      </c>
      <c r="G254" s="12">
        <v>1500</v>
      </c>
      <c r="H254" s="13">
        <f t="shared" si="21"/>
        <v>16500</v>
      </c>
      <c r="I254" s="14"/>
      <c r="J254" s="28"/>
      <c r="K254" s="15"/>
      <c r="L254" s="14"/>
      <c r="M254" s="14"/>
      <c r="N254" s="14">
        <f t="shared" si="24"/>
        <v>11</v>
      </c>
      <c r="O254" s="14"/>
      <c r="P254" s="14" t="s">
        <v>19</v>
      </c>
      <c r="Q254" s="15">
        <f t="shared" si="22"/>
        <v>16500</v>
      </c>
    </row>
    <row r="255" spans="2:17" s="16" customFormat="1" x14ac:dyDescent="0.3">
      <c r="B255" s="7" t="s">
        <v>526</v>
      </c>
      <c r="C255" s="8">
        <v>44678</v>
      </c>
      <c r="D255" s="9" t="s">
        <v>527</v>
      </c>
      <c r="E255" s="10" t="s">
        <v>22</v>
      </c>
      <c r="F255" s="30">
        <v>3</v>
      </c>
      <c r="G255" s="12">
        <v>3800</v>
      </c>
      <c r="H255" s="13">
        <f t="shared" si="21"/>
        <v>11400</v>
      </c>
      <c r="I255" s="14"/>
      <c r="J255" s="28"/>
      <c r="K255" s="15"/>
      <c r="L255" s="14"/>
      <c r="M255" s="14"/>
      <c r="N255" s="14">
        <f t="shared" si="24"/>
        <v>3</v>
      </c>
      <c r="O255" s="14"/>
      <c r="P255" s="14" t="s">
        <v>19</v>
      </c>
      <c r="Q255" s="15">
        <f t="shared" si="22"/>
        <v>11400</v>
      </c>
    </row>
    <row r="256" spans="2:17" s="16" customFormat="1" x14ac:dyDescent="0.3">
      <c r="B256" s="7" t="s">
        <v>528</v>
      </c>
      <c r="C256" s="8">
        <v>44678</v>
      </c>
      <c r="D256" s="9" t="s">
        <v>529</v>
      </c>
      <c r="E256" s="10" t="s">
        <v>22</v>
      </c>
      <c r="F256" s="30">
        <v>2</v>
      </c>
      <c r="G256" s="12">
        <v>1500</v>
      </c>
      <c r="H256" s="13">
        <f t="shared" si="21"/>
        <v>3000</v>
      </c>
      <c r="I256" s="14"/>
      <c r="J256" s="28"/>
      <c r="K256" s="15"/>
      <c r="L256" s="14"/>
      <c r="M256" s="14"/>
      <c r="N256" s="14">
        <f t="shared" si="24"/>
        <v>2</v>
      </c>
      <c r="O256" s="14"/>
      <c r="P256" s="14" t="s">
        <v>19</v>
      </c>
      <c r="Q256" s="15">
        <f t="shared" si="22"/>
        <v>3000</v>
      </c>
    </row>
    <row r="257" spans="2:17" s="16" customFormat="1" x14ac:dyDescent="0.3">
      <c r="B257" s="7" t="s">
        <v>530</v>
      </c>
      <c r="C257" s="8">
        <v>44678</v>
      </c>
      <c r="D257" s="9" t="s">
        <v>531</v>
      </c>
      <c r="E257" s="10" t="s">
        <v>22</v>
      </c>
      <c r="F257" s="30">
        <v>2</v>
      </c>
      <c r="G257" s="12">
        <v>3800</v>
      </c>
      <c r="H257" s="13">
        <f t="shared" si="21"/>
        <v>7600</v>
      </c>
      <c r="I257" s="14"/>
      <c r="J257" s="28"/>
      <c r="K257" s="15"/>
      <c r="L257" s="14"/>
      <c r="M257" s="14"/>
      <c r="N257" s="14">
        <f t="shared" si="24"/>
        <v>2</v>
      </c>
      <c r="O257" s="14"/>
      <c r="P257" s="14" t="s">
        <v>19</v>
      </c>
      <c r="Q257" s="15">
        <f t="shared" si="22"/>
        <v>7600</v>
      </c>
    </row>
    <row r="258" spans="2:17" s="16" customFormat="1" x14ac:dyDescent="0.3">
      <c r="B258" s="7" t="s">
        <v>532</v>
      </c>
      <c r="C258" s="8">
        <v>44678</v>
      </c>
      <c r="D258" s="9" t="s">
        <v>533</v>
      </c>
      <c r="E258" s="10" t="s">
        <v>22</v>
      </c>
      <c r="F258" s="30">
        <v>4</v>
      </c>
      <c r="G258" s="12">
        <v>3800</v>
      </c>
      <c r="H258" s="13">
        <f t="shared" si="21"/>
        <v>15200</v>
      </c>
      <c r="I258" s="14"/>
      <c r="J258" s="28"/>
      <c r="K258" s="15"/>
      <c r="L258" s="14"/>
      <c r="M258" s="14"/>
      <c r="N258" s="14">
        <f t="shared" si="24"/>
        <v>4</v>
      </c>
      <c r="O258" s="14"/>
      <c r="P258" s="14" t="s">
        <v>19</v>
      </c>
      <c r="Q258" s="15">
        <f t="shared" si="22"/>
        <v>15200</v>
      </c>
    </row>
    <row r="259" spans="2:17" s="16" customFormat="1" x14ac:dyDescent="0.3">
      <c r="B259" s="7" t="s">
        <v>534</v>
      </c>
      <c r="C259" s="8">
        <v>44678</v>
      </c>
      <c r="D259" s="9" t="s">
        <v>535</v>
      </c>
      <c r="E259" s="10" t="s">
        <v>22</v>
      </c>
      <c r="F259" s="30">
        <v>16</v>
      </c>
      <c r="G259" s="12">
        <v>3000</v>
      </c>
      <c r="H259" s="13">
        <f t="shared" si="21"/>
        <v>48000</v>
      </c>
      <c r="I259" s="14"/>
      <c r="J259" s="28"/>
      <c r="K259" s="15"/>
      <c r="L259" s="14"/>
      <c r="M259" s="14"/>
      <c r="N259" s="14">
        <f t="shared" si="24"/>
        <v>16</v>
      </c>
      <c r="O259" s="14"/>
      <c r="P259" s="14" t="s">
        <v>19</v>
      </c>
      <c r="Q259" s="15">
        <f t="shared" si="22"/>
        <v>48000</v>
      </c>
    </row>
    <row r="260" spans="2:17" s="16" customFormat="1" x14ac:dyDescent="0.3">
      <c r="B260" s="7" t="s">
        <v>536</v>
      </c>
      <c r="C260" s="8">
        <v>44678</v>
      </c>
      <c r="D260" s="9" t="s">
        <v>537</v>
      </c>
      <c r="E260" s="10" t="s">
        <v>22</v>
      </c>
      <c r="F260" s="18">
        <v>2</v>
      </c>
      <c r="G260" s="12">
        <v>200</v>
      </c>
      <c r="H260" s="13">
        <f t="shared" si="21"/>
        <v>400</v>
      </c>
      <c r="I260" s="14"/>
      <c r="J260" s="28"/>
      <c r="K260" s="15"/>
      <c r="L260" s="14"/>
      <c r="M260" s="14"/>
      <c r="N260" s="14">
        <f t="shared" si="24"/>
        <v>2</v>
      </c>
      <c r="O260" s="14"/>
      <c r="P260" s="14" t="s">
        <v>19</v>
      </c>
      <c r="Q260" s="15">
        <f t="shared" si="22"/>
        <v>400</v>
      </c>
    </row>
    <row r="261" spans="2:17" s="17" customFormat="1" ht="15.75" x14ac:dyDescent="0.25">
      <c r="B261" s="7" t="s">
        <v>538</v>
      </c>
      <c r="C261" s="8">
        <v>44193</v>
      </c>
      <c r="D261" s="10" t="s">
        <v>539</v>
      </c>
      <c r="E261" s="10" t="s">
        <v>22</v>
      </c>
      <c r="F261" s="18">
        <v>3</v>
      </c>
      <c r="G261" s="12">
        <v>75</v>
      </c>
      <c r="H261" s="13">
        <f>F261*G261</f>
        <v>225</v>
      </c>
      <c r="I261" s="14"/>
      <c r="J261" s="28"/>
      <c r="K261" s="15"/>
      <c r="L261" s="14"/>
      <c r="M261" s="14"/>
      <c r="N261" s="14">
        <f t="shared" si="24"/>
        <v>3</v>
      </c>
      <c r="O261" s="14"/>
      <c r="P261" s="14" t="s">
        <v>59</v>
      </c>
      <c r="Q261" s="15">
        <f t="shared" si="22"/>
        <v>225</v>
      </c>
    </row>
    <row r="262" spans="2:17" s="17" customFormat="1" ht="15.75" x14ac:dyDescent="0.25">
      <c r="B262" s="7" t="s">
        <v>540</v>
      </c>
      <c r="C262" s="8">
        <v>44193</v>
      </c>
      <c r="D262" s="10" t="s">
        <v>541</v>
      </c>
      <c r="E262" s="10" t="s">
        <v>22</v>
      </c>
      <c r="F262" s="18">
        <v>300</v>
      </c>
      <c r="G262" s="12">
        <v>29</v>
      </c>
      <c r="H262" s="13">
        <f>F262*G262</f>
        <v>8700</v>
      </c>
      <c r="I262" s="14"/>
      <c r="J262" s="28"/>
      <c r="K262" s="15"/>
      <c r="L262" s="14"/>
      <c r="M262" s="14"/>
      <c r="N262" s="14">
        <f t="shared" si="24"/>
        <v>300</v>
      </c>
      <c r="O262" s="14"/>
      <c r="P262" s="14" t="s">
        <v>59</v>
      </c>
      <c r="Q262" s="15">
        <f t="shared" si="22"/>
        <v>8700</v>
      </c>
    </row>
    <row r="263" spans="2:17" s="17" customFormat="1" ht="15.75" x14ac:dyDescent="0.25">
      <c r="B263" s="7" t="s">
        <v>542</v>
      </c>
      <c r="C263" s="8">
        <v>44193</v>
      </c>
      <c r="D263" s="9" t="s">
        <v>543</v>
      </c>
      <c r="E263" s="10" t="s">
        <v>22</v>
      </c>
      <c r="F263" s="18">
        <v>16</v>
      </c>
      <c r="G263" s="12">
        <v>143</v>
      </c>
      <c r="H263" s="13">
        <f>F263*G263</f>
        <v>2288</v>
      </c>
      <c r="I263" s="14"/>
      <c r="J263" s="28"/>
      <c r="K263" s="15"/>
      <c r="L263" s="14"/>
      <c r="M263" s="14"/>
      <c r="N263" s="14">
        <f t="shared" si="24"/>
        <v>16</v>
      </c>
      <c r="O263" s="14"/>
      <c r="P263" s="14" t="s">
        <v>23</v>
      </c>
      <c r="Q263" s="15">
        <f t="shared" si="22"/>
        <v>2288</v>
      </c>
    </row>
    <row r="264" spans="2:17" s="17" customFormat="1" ht="15.75" x14ac:dyDescent="0.25">
      <c r="B264" s="7" t="s">
        <v>544</v>
      </c>
      <c r="C264" s="8">
        <v>44193</v>
      </c>
      <c r="D264" s="10" t="s">
        <v>545</v>
      </c>
      <c r="E264" s="10" t="s">
        <v>22</v>
      </c>
      <c r="F264" s="30">
        <v>112</v>
      </c>
      <c r="G264" s="12">
        <v>8.5</v>
      </c>
      <c r="H264" s="13">
        <f t="shared" ref="H264:H271" si="25">F264*G264</f>
        <v>952</v>
      </c>
      <c r="I264" s="14"/>
      <c r="J264" s="28"/>
      <c r="K264" s="15"/>
      <c r="L264" s="14"/>
      <c r="M264" s="14"/>
      <c r="N264" s="14">
        <f t="shared" si="24"/>
        <v>112</v>
      </c>
      <c r="O264" s="14"/>
      <c r="P264" s="14" t="s">
        <v>59</v>
      </c>
      <c r="Q264" s="15">
        <f t="shared" si="22"/>
        <v>952</v>
      </c>
    </row>
    <row r="265" spans="2:17" s="17" customFormat="1" ht="15.75" x14ac:dyDescent="0.25">
      <c r="B265" s="7" t="s">
        <v>546</v>
      </c>
      <c r="C265" s="8">
        <v>44193</v>
      </c>
      <c r="D265" s="10" t="s">
        <v>547</v>
      </c>
      <c r="E265" s="10" t="s">
        <v>22</v>
      </c>
      <c r="F265" s="30">
        <v>24</v>
      </c>
      <c r="G265" s="12">
        <v>12</v>
      </c>
      <c r="H265" s="13">
        <f t="shared" si="25"/>
        <v>288</v>
      </c>
      <c r="I265" s="14"/>
      <c r="J265" s="28"/>
      <c r="K265" s="15"/>
      <c r="L265" s="14"/>
      <c r="M265" s="14"/>
      <c r="N265" s="14">
        <f t="shared" si="24"/>
        <v>24</v>
      </c>
      <c r="O265" s="14"/>
      <c r="P265" s="14" t="s">
        <v>59</v>
      </c>
      <c r="Q265" s="15">
        <f t="shared" si="22"/>
        <v>288</v>
      </c>
    </row>
    <row r="266" spans="2:17" s="17" customFormat="1" ht="15.75" x14ac:dyDescent="0.25">
      <c r="B266" s="7" t="s">
        <v>548</v>
      </c>
      <c r="C266" s="8">
        <v>44193</v>
      </c>
      <c r="D266" s="10" t="s">
        <v>549</v>
      </c>
      <c r="E266" s="10" t="s">
        <v>22</v>
      </c>
      <c r="F266" s="18">
        <v>34</v>
      </c>
      <c r="G266" s="12">
        <v>8</v>
      </c>
      <c r="H266" s="13">
        <f t="shared" si="25"/>
        <v>272</v>
      </c>
      <c r="I266" s="14"/>
      <c r="J266" s="28"/>
      <c r="K266" s="15"/>
      <c r="L266" s="14"/>
      <c r="M266" s="14"/>
      <c r="N266" s="14">
        <f t="shared" si="24"/>
        <v>34</v>
      </c>
      <c r="O266" s="14"/>
      <c r="P266" s="14" t="s">
        <v>59</v>
      </c>
      <c r="Q266" s="15">
        <f t="shared" si="22"/>
        <v>272</v>
      </c>
    </row>
    <row r="267" spans="2:17" s="24" customFormat="1" ht="15.75" x14ac:dyDescent="0.25">
      <c r="B267" s="7" t="s">
        <v>550</v>
      </c>
      <c r="C267" s="22">
        <v>45042</v>
      </c>
      <c r="D267" s="10" t="s">
        <v>551</v>
      </c>
      <c r="E267" s="10" t="s">
        <v>22</v>
      </c>
      <c r="F267" s="18">
        <v>22</v>
      </c>
      <c r="G267" s="12">
        <v>91.99</v>
      </c>
      <c r="H267" s="13">
        <f t="shared" si="25"/>
        <v>2023.78</v>
      </c>
      <c r="I267" s="23"/>
      <c r="J267" s="28"/>
      <c r="K267" s="15"/>
      <c r="L267" s="21">
        <f>+J267*K267</f>
        <v>0</v>
      </c>
      <c r="M267" s="14"/>
      <c r="N267" s="14">
        <f t="shared" si="24"/>
        <v>22</v>
      </c>
      <c r="O267" s="14" t="s">
        <v>170</v>
      </c>
      <c r="P267" s="14" t="s">
        <v>59</v>
      </c>
      <c r="Q267" s="15">
        <f t="shared" si="22"/>
        <v>2023.78</v>
      </c>
    </row>
    <row r="268" spans="2:17" s="17" customFormat="1" ht="31.5" x14ac:dyDescent="0.25">
      <c r="B268" s="7" t="s">
        <v>552</v>
      </c>
      <c r="C268" s="22">
        <v>44851</v>
      </c>
      <c r="D268" s="10" t="s">
        <v>553</v>
      </c>
      <c r="E268" s="10" t="s">
        <v>22</v>
      </c>
      <c r="F268" s="18">
        <v>1</v>
      </c>
      <c r="G268" s="12">
        <v>188.21</v>
      </c>
      <c r="H268" s="13">
        <f t="shared" si="25"/>
        <v>188.21</v>
      </c>
      <c r="I268" s="23">
        <v>44851</v>
      </c>
      <c r="J268" s="28">
        <v>20</v>
      </c>
      <c r="K268" s="15">
        <v>188.21</v>
      </c>
      <c r="L268" s="21">
        <f>+J268*K268</f>
        <v>3764.2000000000003</v>
      </c>
      <c r="M268" s="14">
        <v>1</v>
      </c>
      <c r="N268" s="14">
        <f t="shared" si="24"/>
        <v>20</v>
      </c>
      <c r="O268" s="31" t="s">
        <v>517</v>
      </c>
      <c r="P268" s="14" t="s">
        <v>23</v>
      </c>
      <c r="Q268" s="15">
        <f t="shared" si="22"/>
        <v>3764.2000000000003</v>
      </c>
    </row>
    <row r="269" spans="2:17" s="17" customFormat="1" ht="15.75" x14ac:dyDescent="0.25">
      <c r="B269" s="7" t="s">
        <v>554</v>
      </c>
      <c r="C269" s="22">
        <v>45042</v>
      </c>
      <c r="D269" s="10" t="s">
        <v>555</v>
      </c>
      <c r="E269" s="10" t="s">
        <v>22</v>
      </c>
      <c r="F269" s="18"/>
      <c r="G269" s="12">
        <v>25.42</v>
      </c>
      <c r="H269" s="13">
        <f t="shared" si="25"/>
        <v>0</v>
      </c>
      <c r="I269" s="23">
        <v>45042</v>
      </c>
      <c r="J269" s="28">
        <v>240</v>
      </c>
      <c r="K269" s="15">
        <v>30.11</v>
      </c>
      <c r="L269" s="15">
        <f>+J269*K269</f>
        <v>7226.4</v>
      </c>
      <c r="M269" s="14">
        <v>22</v>
      </c>
      <c r="N269" s="14">
        <f t="shared" si="24"/>
        <v>218</v>
      </c>
      <c r="O269" s="14"/>
      <c r="P269" s="14" t="s">
        <v>59</v>
      </c>
      <c r="Q269" s="15">
        <f t="shared" si="22"/>
        <v>5541.56</v>
      </c>
    </row>
    <row r="270" spans="2:17" s="17" customFormat="1" ht="15.75" x14ac:dyDescent="0.25">
      <c r="B270" s="7" t="s">
        <v>556</v>
      </c>
      <c r="C270" s="22">
        <v>44852</v>
      </c>
      <c r="D270" s="10" t="s">
        <v>557</v>
      </c>
      <c r="E270" s="10" t="s">
        <v>22</v>
      </c>
      <c r="F270" s="18"/>
      <c r="G270" s="12">
        <v>23.82</v>
      </c>
      <c r="H270" s="13">
        <f t="shared" si="25"/>
        <v>0</v>
      </c>
      <c r="I270" s="23">
        <v>44852</v>
      </c>
      <c r="J270" s="28">
        <f>15*12</f>
        <v>180</v>
      </c>
      <c r="K270" s="15">
        <v>40.69</v>
      </c>
      <c r="L270" s="21">
        <f>+J270*K270</f>
        <v>7324.2</v>
      </c>
      <c r="M270" s="14">
        <f>72+12+6</f>
        <v>90</v>
      </c>
      <c r="N270" s="14">
        <f t="shared" si="24"/>
        <v>90</v>
      </c>
      <c r="O270" s="14" t="s">
        <v>170</v>
      </c>
      <c r="P270" s="14" t="s">
        <v>59</v>
      </c>
      <c r="Q270" s="15">
        <f t="shared" si="22"/>
        <v>2143.8000000000002</v>
      </c>
    </row>
    <row r="271" spans="2:17" s="17" customFormat="1" ht="15.75" x14ac:dyDescent="0.25">
      <c r="B271" s="7" t="s">
        <v>558</v>
      </c>
      <c r="C271" s="8">
        <v>44193</v>
      </c>
      <c r="D271" s="9" t="s">
        <v>559</v>
      </c>
      <c r="E271" s="10" t="s">
        <v>22</v>
      </c>
      <c r="F271" s="18">
        <v>4</v>
      </c>
      <c r="G271" s="12">
        <v>45</v>
      </c>
      <c r="H271" s="13">
        <f t="shared" si="25"/>
        <v>180</v>
      </c>
      <c r="I271" s="14"/>
      <c r="J271" s="28"/>
      <c r="K271" s="15"/>
      <c r="L271" s="14"/>
      <c r="M271" s="14">
        <v>4</v>
      </c>
      <c r="N271" s="14">
        <f t="shared" si="24"/>
        <v>0</v>
      </c>
      <c r="O271" s="14"/>
      <c r="P271" s="14" t="s">
        <v>59</v>
      </c>
      <c r="Q271" s="15">
        <f t="shared" si="22"/>
        <v>0</v>
      </c>
    </row>
    <row r="272" spans="2:17" s="17" customFormat="1" ht="15.75" x14ac:dyDescent="0.25">
      <c r="B272" s="7" t="s">
        <v>560</v>
      </c>
      <c r="C272" s="7" t="s">
        <v>561</v>
      </c>
      <c r="D272" s="10" t="s">
        <v>562</v>
      </c>
      <c r="E272" s="10" t="s">
        <v>22</v>
      </c>
      <c r="F272" s="18">
        <v>7</v>
      </c>
      <c r="G272" s="19">
        <v>48</v>
      </c>
      <c r="H272" s="13">
        <f>F272*G272</f>
        <v>336</v>
      </c>
      <c r="I272" s="14"/>
      <c r="J272" s="28"/>
      <c r="K272" s="15"/>
      <c r="L272" s="14"/>
      <c r="M272" s="14">
        <v>7</v>
      </c>
      <c r="N272" s="14">
        <f t="shared" si="24"/>
        <v>0</v>
      </c>
      <c r="O272" s="14"/>
      <c r="P272" s="14" t="s">
        <v>59</v>
      </c>
      <c r="Q272" s="15">
        <f t="shared" si="22"/>
        <v>0</v>
      </c>
    </row>
    <row r="273" spans="2:17" s="17" customFormat="1" ht="15.75" x14ac:dyDescent="0.25">
      <c r="B273" s="7" t="s">
        <v>563</v>
      </c>
      <c r="C273" s="8"/>
      <c r="D273" s="9" t="s">
        <v>564</v>
      </c>
      <c r="E273" s="10" t="s">
        <v>22</v>
      </c>
      <c r="F273" s="18">
        <v>6</v>
      </c>
      <c r="G273" s="12"/>
      <c r="H273" s="13"/>
      <c r="I273" s="14"/>
      <c r="J273" s="28"/>
      <c r="K273" s="15"/>
      <c r="L273" s="14"/>
      <c r="M273" s="14"/>
      <c r="N273" s="14">
        <f t="shared" si="24"/>
        <v>6</v>
      </c>
      <c r="O273" s="14"/>
      <c r="P273" s="14" t="s">
        <v>23</v>
      </c>
      <c r="Q273" s="15">
        <f t="shared" si="22"/>
        <v>0</v>
      </c>
    </row>
    <row r="274" spans="2:17" s="16" customFormat="1" x14ac:dyDescent="0.3">
      <c r="B274" s="7" t="s">
        <v>565</v>
      </c>
      <c r="C274" s="8">
        <v>44193</v>
      </c>
      <c r="D274" s="9" t="s">
        <v>566</v>
      </c>
      <c r="E274" s="10" t="s">
        <v>22</v>
      </c>
      <c r="F274" s="18">
        <v>20</v>
      </c>
      <c r="G274" s="12">
        <v>1449.14</v>
      </c>
      <c r="H274" s="13">
        <f t="shared" ref="H274:H286" si="26">F274*G274</f>
        <v>28982.800000000003</v>
      </c>
      <c r="I274" s="14"/>
      <c r="J274" s="28"/>
      <c r="K274" s="15"/>
      <c r="L274" s="14"/>
      <c r="M274" s="14"/>
      <c r="N274" s="14">
        <f t="shared" si="24"/>
        <v>20</v>
      </c>
      <c r="O274" s="14"/>
      <c r="P274" s="14" t="s">
        <v>19</v>
      </c>
      <c r="Q274" s="15">
        <f t="shared" si="22"/>
        <v>28982.800000000003</v>
      </c>
    </row>
    <row r="275" spans="2:17" s="16" customFormat="1" x14ac:dyDescent="0.3">
      <c r="B275" s="7" t="s">
        <v>567</v>
      </c>
      <c r="C275" s="22">
        <v>45019</v>
      </c>
      <c r="D275" s="9" t="s">
        <v>568</v>
      </c>
      <c r="E275" s="10" t="s">
        <v>22</v>
      </c>
      <c r="F275" s="18">
        <v>3</v>
      </c>
      <c r="G275" s="12">
        <v>3481</v>
      </c>
      <c r="H275" s="13">
        <f t="shared" si="26"/>
        <v>10443</v>
      </c>
      <c r="I275" s="23">
        <v>45019</v>
      </c>
      <c r="J275" s="28">
        <v>30</v>
      </c>
      <c r="K275" s="15">
        <v>300.89999999999998</v>
      </c>
      <c r="L275" s="14">
        <f>+K275/10</f>
        <v>30.089999999999996</v>
      </c>
      <c r="M275" s="14">
        <v>5</v>
      </c>
      <c r="N275" s="14">
        <f t="shared" si="24"/>
        <v>28</v>
      </c>
      <c r="O275" s="14" t="s">
        <v>337</v>
      </c>
      <c r="P275" s="14" t="s">
        <v>19</v>
      </c>
      <c r="Q275" s="15">
        <f t="shared" si="22"/>
        <v>97468</v>
      </c>
    </row>
    <row r="276" spans="2:17" s="17" customFormat="1" ht="15.75" x14ac:dyDescent="0.25">
      <c r="B276" s="7" t="s">
        <v>569</v>
      </c>
      <c r="C276" s="8">
        <v>44193</v>
      </c>
      <c r="D276" s="9" t="s">
        <v>570</v>
      </c>
      <c r="E276" s="10" t="s">
        <v>22</v>
      </c>
      <c r="F276" s="18">
        <v>7</v>
      </c>
      <c r="G276" s="12">
        <v>38</v>
      </c>
      <c r="H276" s="13">
        <f t="shared" si="26"/>
        <v>266</v>
      </c>
      <c r="I276" s="14"/>
      <c r="J276" s="28"/>
      <c r="K276" s="15"/>
      <c r="L276" s="14"/>
      <c r="M276" s="14"/>
      <c r="N276" s="14">
        <f t="shared" si="24"/>
        <v>7</v>
      </c>
      <c r="O276" s="14"/>
      <c r="P276" s="14" t="s">
        <v>23</v>
      </c>
      <c r="Q276" s="15">
        <f t="shared" si="22"/>
        <v>266</v>
      </c>
    </row>
    <row r="277" spans="2:17" s="17" customFormat="1" ht="15.75" x14ac:dyDescent="0.25">
      <c r="B277" s="7" t="s">
        <v>571</v>
      </c>
      <c r="C277" s="7" t="s">
        <v>561</v>
      </c>
      <c r="D277" s="9" t="s">
        <v>572</v>
      </c>
      <c r="E277" s="10" t="s">
        <v>22</v>
      </c>
      <c r="F277" s="18">
        <v>12</v>
      </c>
      <c r="G277" s="12">
        <v>38</v>
      </c>
      <c r="H277" s="13">
        <f t="shared" si="26"/>
        <v>456</v>
      </c>
      <c r="I277" s="14"/>
      <c r="J277" s="28"/>
      <c r="K277" s="15"/>
      <c r="L277" s="14"/>
      <c r="M277" s="14"/>
      <c r="N277" s="14">
        <f t="shared" si="24"/>
        <v>12</v>
      </c>
      <c r="O277" s="14"/>
      <c r="P277" s="14" t="s">
        <v>23</v>
      </c>
      <c r="Q277" s="15">
        <f t="shared" si="22"/>
        <v>456</v>
      </c>
    </row>
    <row r="278" spans="2:17" s="17" customFormat="1" ht="15.75" x14ac:dyDescent="0.25">
      <c r="B278" s="7" t="s">
        <v>573</v>
      </c>
      <c r="C278" s="8">
        <v>44193</v>
      </c>
      <c r="D278" s="9" t="s">
        <v>574</v>
      </c>
      <c r="E278" s="10" t="s">
        <v>22</v>
      </c>
      <c r="F278" s="18">
        <v>1</v>
      </c>
      <c r="G278" s="12">
        <v>38</v>
      </c>
      <c r="H278" s="13">
        <f t="shared" si="26"/>
        <v>38</v>
      </c>
      <c r="I278" s="14"/>
      <c r="J278" s="28"/>
      <c r="K278" s="15"/>
      <c r="L278" s="14"/>
      <c r="M278" s="14"/>
      <c r="N278" s="14">
        <f t="shared" si="24"/>
        <v>1</v>
      </c>
      <c r="O278" s="14"/>
      <c r="P278" s="14" t="s">
        <v>23</v>
      </c>
      <c r="Q278" s="15">
        <f t="shared" si="22"/>
        <v>38</v>
      </c>
    </row>
    <row r="279" spans="2:17" s="17" customFormat="1" ht="15.75" x14ac:dyDescent="0.25">
      <c r="B279" s="7" t="s">
        <v>575</v>
      </c>
      <c r="C279" s="8">
        <v>44193</v>
      </c>
      <c r="D279" s="9" t="s">
        <v>576</v>
      </c>
      <c r="E279" s="10" t="s">
        <v>22</v>
      </c>
      <c r="F279" s="18">
        <v>1</v>
      </c>
      <c r="G279" s="12">
        <v>41</v>
      </c>
      <c r="H279" s="13">
        <f t="shared" si="26"/>
        <v>41</v>
      </c>
      <c r="I279" s="14"/>
      <c r="J279" s="28"/>
      <c r="K279" s="15"/>
      <c r="L279" s="14"/>
      <c r="M279" s="14"/>
      <c r="N279" s="14">
        <f t="shared" si="24"/>
        <v>1</v>
      </c>
      <c r="O279" s="14"/>
      <c r="P279" s="14" t="s">
        <v>23</v>
      </c>
      <c r="Q279" s="15">
        <f t="shared" si="22"/>
        <v>41</v>
      </c>
    </row>
    <row r="280" spans="2:17" s="17" customFormat="1" ht="15.75" x14ac:dyDescent="0.25">
      <c r="B280" s="7" t="s">
        <v>577</v>
      </c>
      <c r="C280" s="8">
        <v>44193</v>
      </c>
      <c r="D280" s="9" t="s">
        <v>578</v>
      </c>
      <c r="E280" s="10" t="s">
        <v>22</v>
      </c>
      <c r="F280" s="18">
        <v>1</v>
      </c>
      <c r="G280" s="12">
        <v>38</v>
      </c>
      <c r="H280" s="13">
        <f t="shared" si="26"/>
        <v>38</v>
      </c>
      <c r="I280" s="14"/>
      <c r="J280" s="28"/>
      <c r="K280" s="15"/>
      <c r="L280" s="14"/>
      <c r="M280" s="14"/>
      <c r="N280" s="14">
        <f t="shared" si="24"/>
        <v>1</v>
      </c>
      <c r="O280" s="14"/>
      <c r="P280" s="14" t="s">
        <v>23</v>
      </c>
      <c r="Q280" s="15">
        <f t="shared" si="22"/>
        <v>38</v>
      </c>
    </row>
    <row r="281" spans="2:17" s="17" customFormat="1" ht="15.75" x14ac:dyDescent="0.25">
      <c r="B281" s="7" t="s">
        <v>579</v>
      </c>
      <c r="C281" s="8">
        <v>44193</v>
      </c>
      <c r="D281" s="9" t="s">
        <v>580</v>
      </c>
      <c r="E281" s="10" t="s">
        <v>22</v>
      </c>
      <c r="F281" s="18">
        <v>1</v>
      </c>
      <c r="G281" s="12">
        <v>38</v>
      </c>
      <c r="H281" s="13">
        <f t="shared" si="26"/>
        <v>38</v>
      </c>
      <c r="I281" s="14"/>
      <c r="J281" s="28"/>
      <c r="K281" s="15"/>
      <c r="L281" s="14"/>
      <c r="M281" s="14"/>
      <c r="N281" s="14">
        <f t="shared" si="24"/>
        <v>1</v>
      </c>
      <c r="O281" s="14"/>
      <c r="P281" s="14" t="s">
        <v>23</v>
      </c>
      <c r="Q281" s="15">
        <f t="shared" ref="Q281:Q344" si="27">+G281*N281</f>
        <v>38</v>
      </c>
    </row>
    <row r="282" spans="2:17" s="17" customFormat="1" ht="15.75" x14ac:dyDescent="0.25">
      <c r="B282" s="7" t="s">
        <v>581</v>
      </c>
      <c r="C282" s="7" t="s">
        <v>561</v>
      </c>
      <c r="D282" s="9" t="s">
        <v>582</v>
      </c>
      <c r="E282" s="10" t="s">
        <v>22</v>
      </c>
      <c r="F282" s="18">
        <v>1</v>
      </c>
      <c r="G282" s="12">
        <v>38</v>
      </c>
      <c r="H282" s="13">
        <f t="shared" si="26"/>
        <v>38</v>
      </c>
      <c r="I282" s="14"/>
      <c r="J282" s="28"/>
      <c r="K282" s="15"/>
      <c r="L282" s="14"/>
      <c r="M282" s="14"/>
      <c r="N282" s="14">
        <f t="shared" si="24"/>
        <v>1</v>
      </c>
      <c r="O282" s="14"/>
      <c r="P282" s="14" t="s">
        <v>23</v>
      </c>
      <c r="Q282" s="15">
        <f t="shared" si="27"/>
        <v>38</v>
      </c>
    </row>
    <row r="283" spans="2:17" s="17" customFormat="1" ht="15.75" x14ac:dyDescent="0.25">
      <c r="B283" s="7" t="s">
        <v>583</v>
      </c>
      <c r="C283" s="8">
        <v>44193</v>
      </c>
      <c r="D283" s="9" t="s">
        <v>584</v>
      </c>
      <c r="E283" s="10" t="s">
        <v>22</v>
      </c>
      <c r="F283" s="18">
        <v>1</v>
      </c>
      <c r="G283" s="12">
        <v>38</v>
      </c>
      <c r="H283" s="13">
        <f t="shared" si="26"/>
        <v>38</v>
      </c>
      <c r="I283" s="14"/>
      <c r="J283" s="28"/>
      <c r="K283" s="15"/>
      <c r="L283" s="14"/>
      <c r="M283" s="14"/>
      <c r="N283" s="14">
        <f t="shared" si="24"/>
        <v>1</v>
      </c>
      <c r="O283" s="14"/>
      <c r="P283" s="14" t="s">
        <v>23</v>
      </c>
      <c r="Q283" s="15">
        <f t="shared" si="27"/>
        <v>38</v>
      </c>
    </row>
    <row r="284" spans="2:17" s="17" customFormat="1" ht="15.75" x14ac:dyDescent="0.25">
      <c r="B284" s="7" t="s">
        <v>585</v>
      </c>
      <c r="C284" s="8">
        <v>44193</v>
      </c>
      <c r="D284" s="9" t="s">
        <v>586</v>
      </c>
      <c r="E284" s="10" t="s">
        <v>22</v>
      </c>
      <c r="F284" s="18">
        <v>7</v>
      </c>
      <c r="G284" s="12">
        <v>537</v>
      </c>
      <c r="H284" s="13">
        <f t="shared" si="26"/>
        <v>3759</v>
      </c>
      <c r="I284" s="14"/>
      <c r="J284" s="28"/>
      <c r="K284" s="15"/>
      <c r="L284" s="14"/>
      <c r="M284" s="14"/>
      <c r="N284" s="14">
        <f t="shared" si="24"/>
        <v>7</v>
      </c>
      <c r="O284" s="14"/>
      <c r="P284" s="14" t="s">
        <v>23</v>
      </c>
      <c r="Q284" s="15">
        <f t="shared" si="27"/>
        <v>3759</v>
      </c>
    </row>
    <row r="285" spans="2:17" s="17" customFormat="1" ht="15.75" x14ac:dyDescent="0.25">
      <c r="B285" s="7" t="s">
        <v>587</v>
      </c>
      <c r="C285" s="8">
        <v>44193</v>
      </c>
      <c r="D285" s="9" t="s">
        <v>588</v>
      </c>
      <c r="E285" s="10" t="s">
        <v>22</v>
      </c>
      <c r="F285" s="18">
        <v>3</v>
      </c>
      <c r="G285" s="12">
        <v>537</v>
      </c>
      <c r="H285" s="13">
        <f t="shared" si="26"/>
        <v>1611</v>
      </c>
      <c r="I285" s="14"/>
      <c r="J285" s="28"/>
      <c r="K285" s="15"/>
      <c r="L285" s="14"/>
      <c r="M285" s="14"/>
      <c r="N285" s="14">
        <f t="shared" si="24"/>
        <v>3</v>
      </c>
      <c r="O285" s="14"/>
      <c r="P285" s="14" t="s">
        <v>23</v>
      </c>
      <c r="Q285" s="15">
        <f t="shared" si="27"/>
        <v>1611</v>
      </c>
    </row>
    <row r="286" spans="2:17" s="17" customFormat="1" ht="15.75" x14ac:dyDescent="0.25">
      <c r="B286" s="7" t="s">
        <v>589</v>
      </c>
      <c r="C286" s="8">
        <v>44193</v>
      </c>
      <c r="D286" s="10" t="s">
        <v>590</v>
      </c>
      <c r="E286" s="10" t="s">
        <v>22</v>
      </c>
      <c r="F286" s="18">
        <v>13</v>
      </c>
      <c r="G286" s="12">
        <v>13.87</v>
      </c>
      <c r="H286" s="13">
        <f t="shared" si="26"/>
        <v>180.31</v>
      </c>
      <c r="I286" s="14"/>
      <c r="J286" s="28"/>
      <c r="K286" s="15"/>
      <c r="L286" s="14"/>
      <c r="M286" s="14"/>
      <c r="N286" s="14">
        <f t="shared" si="24"/>
        <v>13</v>
      </c>
      <c r="O286" s="14"/>
      <c r="P286" s="14" t="s">
        <v>59</v>
      </c>
      <c r="Q286" s="15">
        <f t="shared" si="27"/>
        <v>180.31</v>
      </c>
    </row>
    <row r="287" spans="2:17" s="17" customFormat="1" ht="15.75" x14ac:dyDescent="0.25">
      <c r="B287" s="7" t="s">
        <v>591</v>
      </c>
      <c r="C287" s="8"/>
      <c r="D287" s="9" t="s">
        <v>592</v>
      </c>
      <c r="E287" s="10" t="s">
        <v>22</v>
      </c>
      <c r="F287" s="18">
        <v>5</v>
      </c>
      <c r="G287" s="12"/>
      <c r="H287" s="13"/>
      <c r="I287" s="14"/>
      <c r="J287" s="28"/>
      <c r="K287" s="15"/>
      <c r="L287" s="14"/>
      <c r="M287" s="14"/>
      <c r="N287" s="14">
        <f t="shared" si="24"/>
        <v>5</v>
      </c>
      <c r="O287" s="14"/>
      <c r="P287" s="14" t="s">
        <v>23</v>
      </c>
      <c r="Q287" s="15">
        <f t="shared" si="27"/>
        <v>0</v>
      </c>
    </row>
    <row r="288" spans="2:17" s="17" customFormat="1" ht="15.75" x14ac:dyDescent="0.25">
      <c r="B288" s="7" t="s">
        <v>593</v>
      </c>
      <c r="C288" s="8"/>
      <c r="D288" s="9" t="s">
        <v>594</v>
      </c>
      <c r="E288" s="10" t="s">
        <v>22</v>
      </c>
      <c r="F288" s="18">
        <v>9</v>
      </c>
      <c r="G288" s="12"/>
      <c r="H288" s="13"/>
      <c r="I288" s="14"/>
      <c r="J288" s="28"/>
      <c r="K288" s="15"/>
      <c r="L288" s="14"/>
      <c r="M288" s="14"/>
      <c r="N288" s="14">
        <f t="shared" si="24"/>
        <v>9</v>
      </c>
      <c r="O288" s="14"/>
      <c r="P288" s="14" t="s">
        <v>23</v>
      </c>
      <c r="Q288" s="15">
        <f t="shared" si="27"/>
        <v>0</v>
      </c>
    </row>
    <row r="289" spans="2:17" s="24" customFormat="1" ht="15.75" x14ac:dyDescent="0.25">
      <c r="B289" s="7" t="s">
        <v>595</v>
      </c>
      <c r="C289" s="22">
        <v>44852</v>
      </c>
      <c r="D289" s="9" t="s">
        <v>596</v>
      </c>
      <c r="E289" s="10" t="s">
        <v>22</v>
      </c>
      <c r="F289" s="18">
        <f>17+14</f>
        <v>31</v>
      </c>
      <c r="G289" s="12">
        <v>25.52</v>
      </c>
      <c r="H289" s="21">
        <f>+F289*G289</f>
        <v>791.12</v>
      </c>
      <c r="I289" s="23">
        <v>44852</v>
      </c>
      <c r="J289" s="28">
        <v>15</v>
      </c>
      <c r="K289" s="15">
        <v>25.52</v>
      </c>
      <c r="L289" s="21">
        <f>+J289*K289</f>
        <v>382.8</v>
      </c>
      <c r="M289" s="14">
        <v>2</v>
      </c>
      <c r="N289" s="14">
        <f t="shared" si="24"/>
        <v>44</v>
      </c>
      <c r="O289" s="14" t="s">
        <v>170</v>
      </c>
      <c r="P289" s="14" t="s">
        <v>59</v>
      </c>
      <c r="Q289" s="15">
        <f t="shared" si="27"/>
        <v>1122.8799999999999</v>
      </c>
    </row>
    <row r="290" spans="2:17" s="24" customFormat="1" ht="15.75" x14ac:dyDescent="0.25">
      <c r="B290" s="7" t="s">
        <v>597</v>
      </c>
      <c r="C290" s="8">
        <v>44729</v>
      </c>
      <c r="D290" s="9" t="s">
        <v>598</v>
      </c>
      <c r="E290" s="10" t="s">
        <v>22</v>
      </c>
      <c r="F290" s="18">
        <v>12</v>
      </c>
      <c r="G290" s="12">
        <v>1637.5</v>
      </c>
      <c r="H290" s="13">
        <f>+F290*G290</f>
        <v>19650</v>
      </c>
      <c r="I290" s="14"/>
      <c r="J290" s="28"/>
      <c r="K290" s="15"/>
      <c r="L290" s="14"/>
      <c r="M290" s="14"/>
      <c r="N290" s="14">
        <f t="shared" si="24"/>
        <v>12</v>
      </c>
      <c r="O290" s="14"/>
      <c r="P290" s="14" t="s">
        <v>23</v>
      </c>
      <c r="Q290" s="15">
        <f t="shared" si="27"/>
        <v>19650</v>
      </c>
    </row>
    <row r="291" spans="2:17" s="16" customFormat="1" x14ac:dyDescent="0.3">
      <c r="B291" s="7" t="s">
        <v>599</v>
      </c>
      <c r="C291" s="8">
        <v>44652</v>
      </c>
      <c r="D291" s="9" t="s">
        <v>600</v>
      </c>
      <c r="E291" s="10" t="s">
        <v>22</v>
      </c>
      <c r="F291" s="18">
        <f>11+6+12+11</f>
        <v>40</v>
      </c>
      <c r="G291" s="12">
        <v>159</v>
      </c>
      <c r="H291" s="13">
        <f>+F291*G291</f>
        <v>6360</v>
      </c>
      <c r="I291" s="14"/>
      <c r="J291" s="28"/>
      <c r="K291" s="15"/>
      <c r="L291" s="14"/>
      <c r="M291" s="14">
        <f>12+2</f>
        <v>14</v>
      </c>
      <c r="N291" s="14">
        <f t="shared" si="24"/>
        <v>26</v>
      </c>
      <c r="O291" s="14"/>
      <c r="P291" s="14" t="s">
        <v>19</v>
      </c>
      <c r="Q291" s="15">
        <f t="shared" si="27"/>
        <v>4134</v>
      </c>
    </row>
    <row r="292" spans="2:17" s="16" customFormat="1" x14ac:dyDescent="0.3">
      <c r="B292" s="7" t="s">
        <v>601</v>
      </c>
      <c r="C292" s="8">
        <v>44652</v>
      </c>
      <c r="D292" s="9" t="s">
        <v>602</v>
      </c>
      <c r="E292" s="10" t="s">
        <v>22</v>
      </c>
      <c r="F292" s="18">
        <v>11</v>
      </c>
      <c r="G292" s="12"/>
      <c r="H292" s="13">
        <f>+F292*G292</f>
        <v>0</v>
      </c>
      <c r="I292" s="14"/>
      <c r="J292" s="28"/>
      <c r="K292" s="15"/>
      <c r="L292" s="14"/>
      <c r="M292" s="14">
        <v>11</v>
      </c>
      <c r="N292" s="14">
        <f t="shared" si="24"/>
        <v>0</v>
      </c>
      <c r="O292" s="14"/>
      <c r="P292" s="14" t="s">
        <v>19</v>
      </c>
      <c r="Q292" s="15">
        <f t="shared" si="27"/>
        <v>0</v>
      </c>
    </row>
    <row r="293" spans="2:17" s="16" customFormat="1" x14ac:dyDescent="0.3">
      <c r="B293" s="7" t="s">
        <v>603</v>
      </c>
      <c r="C293" s="8">
        <v>44652</v>
      </c>
      <c r="D293" s="9" t="s">
        <v>604</v>
      </c>
      <c r="E293" s="10" t="s">
        <v>22</v>
      </c>
      <c r="F293" s="18">
        <f>9+11+7</f>
        <v>27</v>
      </c>
      <c r="G293" s="12">
        <v>145</v>
      </c>
      <c r="H293" s="13">
        <f>+F293*G293</f>
        <v>3915</v>
      </c>
      <c r="I293" s="14"/>
      <c r="J293" s="28"/>
      <c r="K293" s="15"/>
      <c r="L293" s="14"/>
      <c r="M293" s="14">
        <v>21</v>
      </c>
      <c r="N293" s="14">
        <f t="shared" si="24"/>
        <v>6</v>
      </c>
      <c r="O293" s="14"/>
      <c r="P293" s="14" t="s">
        <v>19</v>
      </c>
      <c r="Q293" s="15">
        <f t="shared" si="27"/>
        <v>870</v>
      </c>
    </row>
    <row r="294" spans="2:17" s="17" customFormat="1" ht="15.75" x14ac:dyDescent="0.25">
      <c r="B294" s="7" t="s">
        <v>605</v>
      </c>
      <c r="C294" s="8"/>
      <c r="D294" s="9" t="s">
        <v>606</v>
      </c>
      <c r="E294" s="10" t="s">
        <v>22</v>
      </c>
      <c r="F294" s="18">
        <v>29</v>
      </c>
      <c r="G294" s="12">
        <v>29.35</v>
      </c>
      <c r="H294" s="13">
        <f t="shared" ref="H294:H310" si="28">+F294*G294</f>
        <v>851.15000000000009</v>
      </c>
      <c r="I294" s="14"/>
      <c r="J294" s="28"/>
      <c r="K294" s="15"/>
      <c r="L294" s="14"/>
      <c r="M294" s="14"/>
      <c r="N294" s="14">
        <f t="shared" si="24"/>
        <v>29</v>
      </c>
      <c r="O294" s="14"/>
      <c r="P294" s="14" t="s">
        <v>23</v>
      </c>
      <c r="Q294" s="15">
        <f t="shared" si="27"/>
        <v>851.15000000000009</v>
      </c>
    </row>
    <row r="295" spans="2:17" s="17" customFormat="1" ht="15.75" x14ac:dyDescent="0.25">
      <c r="B295" s="7" t="s">
        <v>607</v>
      </c>
      <c r="C295" s="8"/>
      <c r="D295" s="9" t="s">
        <v>608</v>
      </c>
      <c r="E295" s="10" t="s">
        <v>22</v>
      </c>
      <c r="F295" s="18">
        <v>8</v>
      </c>
      <c r="G295" s="12"/>
      <c r="H295" s="13">
        <f t="shared" si="28"/>
        <v>0</v>
      </c>
      <c r="I295" s="14"/>
      <c r="J295" s="28"/>
      <c r="K295" s="15"/>
      <c r="L295" s="14"/>
      <c r="M295" s="14"/>
      <c r="N295" s="14">
        <f t="shared" si="24"/>
        <v>8</v>
      </c>
      <c r="O295" s="14"/>
      <c r="P295" s="14" t="s">
        <v>23</v>
      </c>
      <c r="Q295" s="15">
        <f t="shared" si="27"/>
        <v>0</v>
      </c>
    </row>
    <row r="296" spans="2:17" s="17" customFormat="1" ht="15.75" x14ac:dyDescent="0.25">
      <c r="B296" s="7" t="s">
        <v>609</v>
      </c>
      <c r="C296" s="8"/>
      <c r="D296" s="9" t="s">
        <v>610</v>
      </c>
      <c r="E296" s="10" t="s">
        <v>22</v>
      </c>
      <c r="F296" s="18">
        <f>3+1</f>
        <v>4</v>
      </c>
      <c r="G296" s="12"/>
      <c r="H296" s="13">
        <f t="shared" si="28"/>
        <v>0</v>
      </c>
      <c r="I296" s="14"/>
      <c r="J296" s="28"/>
      <c r="K296" s="15"/>
      <c r="L296" s="14"/>
      <c r="M296" s="14">
        <v>1</v>
      </c>
      <c r="N296" s="14">
        <f t="shared" si="24"/>
        <v>3</v>
      </c>
      <c r="O296" s="14"/>
      <c r="P296" s="14" t="s">
        <v>23</v>
      </c>
      <c r="Q296" s="15">
        <f t="shared" si="27"/>
        <v>0</v>
      </c>
    </row>
    <row r="297" spans="2:17" s="17" customFormat="1" ht="15.75" x14ac:dyDescent="0.25">
      <c r="B297" s="7" t="s">
        <v>611</v>
      </c>
      <c r="C297" s="8"/>
      <c r="D297" s="9" t="s">
        <v>612</v>
      </c>
      <c r="E297" s="10" t="s">
        <v>22</v>
      </c>
      <c r="F297" s="18">
        <v>2</v>
      </c>
      <c r="G297" s="12"/>
      <c r="H297" s="13">
        <f t="shared" si="28"/>
        <v>0</v>
      </c>
      <c r="I297" s="14"/>
      <c r="J297" s="28"/>
      <c r="K297" s="15"/>
      <c r="L297" s="14"/>
      <c r="M297" s="14"/>
      <c r="N297" s="14">
        <f t="shared" si="24"/>
        <v>2</v>
      </c>
      <c r="O297" s="14"/>
      <c r="P297" s="14" t="s">
        <v>23</v>
      </c>
      <c r="Q297" s="15">
        <f t="shared" si="27"/>
        <v>0</v>
      </c>
    </row>
    <row r="298" spans="2:17" s="17" customFormat="1" ht="15.75" x14ac:dyDescent="0.25">
      <c r="B298" s="7" t="s">
        <v>613</v>
      </c>
      <c r="C298" s="8">
        <v>44193</v>
      </c>
      <c r="D298" s="9" t="s">
        <v>614</v>
      </c>
      <c r="E298" s="10" t="s">
        <v>22</v>
      </c>
      <c r="F298" s="18">
        <v>1</v>
      </c>
      <c r="G298" s="12">
        <v>18.86</v>
      </c>
      <c r="H298" s="13">
        <f t="shared" si="28"/>
        <v>18.86</v>
      </c>
      <c r="I298" s="14"/>
      <c r="J298" s="28"/>
      <c r="K298" s="15"/>
      <c r="L298" s="14"/>
      <c r="M298" s="14"/>
      <c r="N298" s="14">
        <f t="shared" si="24"/>
        <v>1</v>
      </c>
      <c r="O298" s="14"/>
      <c r="P298" s="14" t="s">
        <v>23</v>
      </c>
      <c r="Q298" s="15">
        <f t="shared" si="27"/>
        <v>18.86</v>
      </c>
    </row>
    <row r="299" spans="2:17" s="17" customFormat="1" ht="15.75" x14ac:dyDescent="0.25">
      <c r="B299" s="7" t="s">
        <v>615</v>
      </c>
      <c r="C299" s="8">
        <v>44193</v>
      </c>
      <c r="D299" s="9" t="s">
        <v>616</v>
      </c>
      <c r="E299" s="10" t="s">
        <v>22</v>
      </c>
      <c r="F299" s="18">
        <v>1</v>
      </c>
      <c r="G299" s="12"/>
      <c r="H299" s="13">
        <f t="shared" si="28"/>
        <v>0</v>
      </c>
      <c r="I299" s="14"/>
      <c r="J299" s="28"/>
      <c r="K299" s="15"/>
      <c r="L299" s="14"/>
      <c r="M299" s="14"/>
      <c r="N299" s="14">
        <f t="shared" si="24"/>
        <v>1</v>
      </c>
      <c r="O299" s="14"/>
      <c r="P299" s="14" t="s">
        <v>23</v>
      </c>
      <c r="Q299" s="15">
        <f t="shared" si="27"/>
        <v>0</v>
      </c>
    </row>
    <row r="300" spans="2:17" s="17" customFormat="1" ht="15.75" x14ac:dyDescent="0.25">
      <c r="B300" s="7" t="s">
        <v>617</v>
      </c>
      <c r="C300" s="8">
        <v>44193</v>
      </c>
      <c r="D300" s="9" t="s">
        <v>618</v>
      </c>
      <c r="E300" s="10" t="s">
        <v>22</v>
      </c>
      <c r="F300" s="18">
        <v>7</v>
      </c>
      <c r="G300" s="12"/>
      <c r="H300" s="13">
        <f t="shared" si="28"/>
        <v>0</v>
      </c>
      <c r="I300" s="14"/>
      <c r="J300" s="28"/>
      <c r="K300" s="15"/>
      <c r="L300" s="14"/>
      <c r="M300" s="14"/>
      <c r="N300" s="14">
        <f t="shared" si="24"/>
        <v>7</v>
      </c>
      <c r="O300" s="14"/>
      <c r="P300" s="14" t="s">
        <v>23</v>
      </c>
      <c r="Q300" s="15">
        <f t="shared" si="27"/>
        <v>0</v>
      </c>
    </row>
    <row r="301" spans="2:17" s="17" customFormat="1" ht="15.75" x14ac:dyDescent="0.25">
      <c r="B301" s="7" t="s">
        <v>619</v>
      </c>
      <c r="C301" s="8">
        <v>44193</v>
      </c>
      <c r="D301" s="9" t="s">
        <v>620</v>
      </c>
      <c r="E301" s="10" t="s">
        <v>22</v>
      </c>
      <c r="F301" s="18">
        <v>6</v>
      </c>
      <c r="G301" s="12">
        <v>176</v>
      </c>
      <c r="H301" s="13">
        <f t="shared" si="28"/>
        <v>1056</v>
      </c>
      <c r="I301" s="14"/>
      <c r="J301" s="28"/>
      <c r="K301" s="15"/>
      <c r="L301" s="14"/>
      <c r="M301" s="14">
        <v>2</v>
      </c>
      <c r="N301" s="14">
        <f t="shared" si="24"/>
        <v>4</v>
      </c>
      <c r="O301" s="14"/>
      <c r="P301" s="14" t="s">
        <v>59</v>
      </c>
      <c r="Q301" s="15">
        <f t="shared" si="27"/>
        <v>704</v>
      </c>
    </row>
    <row r="302" spans="2:17" s="17" customFormat="1" ht="15.75" x14ac:dyDescent="0.25">
      <c r="B302" s="7" t="s">
        <v>621</v>
      </c>
      <c r="C302" s="8">
        <v>44193</v>
      </c>
      <c r="D302" s="9" t="s">
        <v>622</v>
      </c>
      <c r="E302" s="10" t="s">
        <v>22</v>
      </c>
      <c r="F302" s="18">
        <v>3</v>
      </c>
      <c r="G302" s="12">
        <v>234</v>
      </c>
      <c r="H302" s="13">
        <f t="shared" si="28"/>
        <v>702</v>
      </c>
      <c r="I302" s="14"/>
      <c r="J302" s="28"/>
      <c r="K302" s="15"/>
      <c r="L302" s="14"/>
      <c r="M302" s="14"/>
      <c r="N302" s="14">
        <f t="shared" si="24"/>
        <v>3</v>
      </c>
      <c r="O302" s="14"/>
      <c r="P302" s="14" t="s">
        <v>23</v>
      </c>
      <c r="Q302" s="15">
        <f t="shared" si="27"/>
        <v>702</v>
      </c>
    </row>
    <row r="303" spans="2:17" s="16" customFormat="1" x14ac:dyDescent="0.3">
      <c r="B303" s="7" t="s">
        <v>623</v>
      </c>
      <c r="C303" s="22">
        <v>44755</v>
      </c>
      <c r="D303" s="9" t="s">
        <v>624</v>
      </c>
      <c r="E303" s="10" t="s">
        <v>22</v>
      </c>
      <c r="F303" s="18">
        <v>0</v>
      </c>
      <c r="G303" s="12">
        <v>50.84</v>
      </c>
      <c r="H303" s="13">
        <f t="shared" si="28"/>
        <v>0</v>
      </c>
      <c r="I303" s="23"/>
      <c r="J303" s="28">
        <v>56</v>
      </c>
      <c r="K303" s="15">
        <v>50.84</v>
      </c>
      <c r="L303" s="21">
        <f>+J303*K303</f>
        <v>2847.04</v>
      </c>
      <c r="M303" s="32"/>
      <c r="N303" s="14">
        <f t="shared" si="24"/>
        <v>56</v>
      </c>
      <c r="O303" s="14"/>
      <c r="P303" s="14" t="s">
        <v>19</v>
      </c>
      <c r="Q303" s="15">
        <f t="shared" si="27"/>
        <v>2847.04</v>
      </c>
    </row>
    <row r="304" spans="2:17" s="17" customFormat="1" ht="15.75" x14ac:dyDescent="0.25">
      <c r="B304" s="7" t="s">
        <v>625</v>
      </c>
      <c r="C304" s="8"/>
      <c r="D304" s="9" t="s">
        <v>626</v>
      </c>
      <c r="E304" s="10" t="s">
        <v>22</v>
      </c>
      <c r="F304" s="18">
        <v>120</v>
      </c>
      <c r="G304" s="12"/>
      <c r="H304" s="13">
        <f t="shared" si="28"/>
        <v>0</v>
      </c>
      <c r="I304" s="14"/>
      <c r="J304" s="28"/>
      <c r="K304" s="15"/>
      <c r="L304" s="14"/>
      <c r="M304" s="14"/>
      <c r="N304" s="14">
        <f t="shared" ref="N304:N367" si="29">+F304+J304-M304</f>
        <v>120</v>
      </c>
      <c r="O304" s="14"/>
      <c r="P304" s="14" t="s">
        <v>23</v>
      </c>
      <c r="Q304" s="15">
        <f t="shared" si="27"/>
        <v>0</v>
      </c>
    </row>
    <row r="305" spans="2:17" s="17" customFormat="1" ht="15.75" x14ac:dyDescent="0.25">
      <c r="B305" s="7" t="s">
        <v>627</v>
      </c>
      <c r="C305" s="8"/>
      <c r="D305" s="9" t="s">
        <v>628</v>
      </c>
      <c r="E305" s="10" t="s">
        <v>22</v>
      </c>
      <c r="F305" s="18">
        <v>15</v>
      </c>
      <c r="G305" s="12"/>
      <c r="H305" s="13">
        <f t="shared" si="28"/>
        <v>0</v>
      </c>
      <c r="I305" s="23"/>
      <c r="J305" s="28"/>
      <c r="K305" s="15"/>
      <c r="L305" s="21"/>
      <c r="M305" s="21">
        <v>2</v>
      </c>
      <c r="N305" s="14">
        <f t="shared" si="29"/>
        <v>13</v>
      </c>
      <c r="O305" s="14"/>
      <c r="P305" s="14" t="s">
        <v>23</v>
      </c>
      <c r="Q305" s="15">
        <f t="shared" si="27"/>
        <v>0</v>
      </c>
    </row>
    <row r="306" spans="2:17" s="17" customFormat="1" ht="15.75" x14ac:dyDescent="0.25">
      <c r="B306" s="7" t="s">
        <v>629</v>
      </c>
      <c r="C306" s="8"/>
      <c r="D306" s="9" t="s">
        <v>630</v>
      </c>
      <c r="E306" s="10" t="s">
        <v>22</v>
      </c>
      <c r="F306" s="18">
        <v>9</v>
      </c>
      <c r="G306" s="12"/>
      <c r="H306" s="13">
        <f t="shared" si="28"/>
        <v>0</v>
      </c>
      <c r="I306" s="14"/>
      <c r="J306" s="28"/>
      <c r="K306" s="15"/>
      <c r="L306" s="14"/>
      <c r="M306" s="14"/>
      <c r="N306" s="14">
        <f t="shared" si="29"/>
        <v>9</v>
      </c>
      <c r="O306" s="14"/>
      <c r="P306" s="14" t="s">
        <v>23</v>
      </c>
      <c r="Q306" s="15">
        <f t="shared" si="27"/>
        <v>0</v>
      </c>
    </row>
    <row r="307" spans="2:17" s="17" customFormat="1" ht="15.75" x14ac:dyDescent="0.25">
      <c r="B307" s="7" t="s">
        <v>631</v>
      </c>
      <c r="C307" s="8"/>
      <c r="D307" s="9" t="s">
        <v>632</v>
      </c>
      <c r="E307" s="10" t="s">
        <v>22</v>
      </c>
      <c r="F307" s="18">
        <v>19</v>
      </c>
      <c r="G307" s="12"/>
      <c r="H307" s="13">
        <f t="shared" si="28"/>
        <v>0</v>
      </c>
      <c r="I307" s="14"/>
      <c r="J307" s="28"/>
      <c r="K307" s="15"/>
      <c r="L307" s="14"/>
      <c r="M307" s="14">
        <v>1</v>
      </c>
      <c r="N307" s="14">
        <f t="shared" si="29"/>
        <v>18</v>
      </c>
      <c r="O307" s="14"/>
      <c r="P307" s="14" t="s">
        <v>23</v>
      </c>
      <c r="Q307" s="15">
        <f t="shared" si="27"/>
        <v>0</v>
      </c>
    </row>
    <row r="308" spans="2:17" s="17" customFormat="1" ht="15.75" x14ac:dyDescent="0.25">
      <c r="B308" s="7" t="s">
        <v>633</v>
      </c>
      <c r="C308" s="8"/>
      <c r="D308" s="9" t="s">
        <v>634</v>
      </c>
      <c r="E308" s="10" t="s">
        <v>22</v>
      </c>
      <c r="F308" s="18">
        <v>21</v>
      </c>
      <c r="G308" s="12"/>
      <c r="H308" s="13">
        <f t="shared" si="28"/>
        <v>0</v>
      </c>
      <c r="I308" s="14"/>
      <c r="J308" s="28"/>
      <c r="K308" s="15"/>
      <c r="L308" s="14"/>
      <c r="M308" s="14"/>
      <c r="N308" s="14">
        <f t="shared" si="29"/>
        <v>21</v>
      </c>
      <c r="O308" s="14"/>
      <c r="P308" s="14" t="s">
        <v>23</v>
      </c>
      <c r="Q308" s="15">
        <f t="shared" si="27"/>
        <v>0</v>
      </c>
    </row>
    <row r="309" spans="2:17" s="17" customFormat="1" ht="15.75" x14ac:dyDescent="0.25">
      <c r="B309" s="7" t="s">
        <v>635</v>
      </c>
      <c r="C309" s="8"/>
      <c r="D309" s="9" t="s">
        <v>636</v>
      </c>
      <c r="E309" s="10" t="s">
        <v>22</v>
      </c>
      <c r="F309" s="18">
        <f>2+18</f>
        <v>20</v>
      </c>
      <c r="G309" s="12"/>
      <c r="H309" s="13">
        <f t="shared" si="28"/>
        <v>0</v>
      </c>
      <c r="I309" s="14"/>
      <c r="J309" s="28"/>
      <c r="K309" s="15"/>
      <c r="L309" s="14"/>
      <c r="M309" s="14"/>
      <c r="N309" s="14">
        <f t="shared" si="29"/>
        <v>20</v>
      </c>
      <c r="O309" s="14"/>
      <c r="P309" s="14" t="s">
        <v>23</v>
      </c>
      <c r="Q309" s="15">
        <f t="shared" si="27"/>
        <v>0</v>
      </c>
    </row>
    <row r="310" spans="2:17" s="17" customFormat="1" ht="15.75" x14ac:dyDescent="0.25">
      <c r="B310" s="7" t="s">
        <v>637</v>
      </c>
      <c r="C310" s="8">
        <v>44193</v>
      </c>
      <c r="D310" s="9" t="s">
        <v>638</v>
      </c>
      <c r="E310" s="10" t="s">
        <v>22</v>
      </c>
      <c r="F310" s="18">
        <v>19</v>
      </c>
      <c r="G310" s="12">
        <v>30</v>
      </c>
      <c r="H310" s="13">
        <f t="shared" si="28"/>
        <v>570</v>
      </c>
      <c r="I310" s="14"/>
      <c r="J310" s="28"/>
      <c r="K310" s="15"/>
      <c r="L310" s="14"/>
      <c r="M310" s="14"/>
      <c r="N310" s="14">
        <f t="shared" si="29"/>
        <v>19</v>
      </c>
      <c r="O310" s="14"/>
      <c r="P310" s="14" t="s">
        <v>23</v>
      </c>
      <c r="Q310" s="15">
        <f t="shared" si="27"/>
        <v>570</v>
      </c>
    </row>
    <row r="311" spans="2:17" s="17" customFormat="1" ht="15.75" x14ac:dyDescent="0.25">
      <c r="B311" s="7" t="s">
        <v>639</v>
      </c>
      <c r="C311" s="8">
        <v>45020</v>
      </c>
      <c r="D311" s="9" t="s">
        <v>640</v>
      </c>
      <c r="E311" s="10" t="s">
        <v>22</v>
      </c>
      <c r="F311" s="18">
        <v>20</v>
      </c>
      <c r="G311" s="12">
        <v>413</v>
      </c>
      <c r="H311" s="13">
        <f>+F311*G311</f>
        <v>8260</v>
      </c>
      <c r="I311" s="14"/>
      <c r="J311" s="28"/>
      <c r="K311" s="15"/>
      <c r="L311" s="14"/>
      <c r="M311" s="14"/>
      <c r="N311" s="14">
        <f t="shared" si="29"/>
        <v>20</v>
      </c>
      <c r="O311" s="14"/>
      <c r="P311" s="14" t="s">
        <v>23</v>
      </c>
      <c r="Q311" s="15">
        <f t="shared" si="27"/>
        <v>8260</v>
      </c>
    </row>
    <row r="312" spans="2:17" s="17" customFormat="1" ht="15.75" x14ac:dyDescent="0.25">
      <c r="B312" s="7" t="s">
        <v>641</v>
      </c>
      <c r="C312" s="8"/>
      <c r="D312" s="9" t="s">
        <v>638</v>
      </c>
      <c r="E312" s="10" t="s">
        <v>22</v>
      </c>
      <c r="F312" s="18">
        <v>19</v>
      </c>
      <c r="G312" s="12"/>
      <c r="H312" s="13"/>
      <c r="I312" s="14"/>
      <c r="J312" s="28"/>
      <c r="K312" s="15"/>
      <c r="L312" s="14"/>
      <c r="M312" s="14"/>
      <c r="N312" s="14">
        <f t="shared" si="29"/>
        <v>19</v>
      </c>
      <c r="O312" s="14"/>
      <c r="P312" s="14" t="s">
        <v>23</v>
      </c>
      <c r="Q312" s="15">
        <f t="shared" si="27"/>
        <v>0</v>
      </c>
    </row>
    <row r="313" spans="2:17" s="16" customFormat="1" x14ac:dyDescent="0.3">
      <c r="B313" s="7" t="s">
        <v>642</v>
      </c>
      <c r="C313" s="8"/>
      <c r="D313" s="9" t="s">
        <v>643</v>
      </c>
      <c r="E313" s="10" t="s">
        <v>22</v>
      </c>
      <c r="F313" s="18">
        <v>5</v>
      </c>
      <c r="G313" s="12"/>
      <c r="H313" s="13"/>
      <c r="I313" s="14"/>
      <c r="J313" s="28"/>
      <c r="K313" s="15"/>
      <c r="L313" s="14"/>
      <c r="M313" s="14"/>
      <c r="N313" s="14">
        <f t="shared" si="29"/>
        <v>5</v>
      </c>
      <c r="O313" s="14"/>
      <c r="P313" s="14" t="s">
        <v>19</v>
      </c>
      <c r="Q313" s="15">
        <f t="shared" si="27"/>
        <v>0</v>
      </c>
    </row>
    <row r="314" spans="2:17" s="16" customFormat="1" x14ac:dyDescent="0.3">
      <c r="B314" s="7" t="s">
        <v>644</v>
      </c>
      <c r="C314" s="8"/>
      <c r="D314" s="9" t="s">
        <v>645</v>
      </c>
      <c r="E314" s="10" t="s">
        <v>22</v>
      </c>
      <c r="F314" s="18">
        <f>12+10+11</f>
        <v>33</v>
      </c>
      <c r="G314" s="12">
        <v>150</v>
      </c>
      <c r="H314" s="13"/>
      <c r="I314" s="14"/>
      <c r="J314" s="28"/>
      <c r="K314" s="15"/>
      <c r="L314" s="14"/>
      <c r="M314" s="14">
        <v>1</v>
      </c>
      <c r="N314" s="14">
        <f t="shared" si="29"/>
        <v>32</v>
      </c>
      <c r="O314" s="14"/>
      <c r="P314" s="14" t="s">
        <v>19</v>
      </c>
      <c r="Q314" s="15">
        <f t="shared" si="27"/>
        <v>4800</v>
      </c>
    </row>
    <row r="315" spans="2:17" s="16" customFormat="1" x14ac:dyDescent="0.3">
      <c r="B315" s="7" t="s">
        <v>646</v>
      </c>
      <c r="C315" s="8"/>
      <c r="D315" s="9" t="s">
        <v>647</v>
      </c>
      <c r="E315" s="10" t="s">
        <v>22</v>
      </c>
      <c r="F315" s="18">
        <v>1</v>
      </c>
      <c r="G315" s="12"/>
      <c r="H315" s="13"/>
      <c r="I315" s="14"/>
      <c r="J315" s="28"/>
      <c r="K315" s="15"/>
      <c r="L315" s="14"/>
      <c r="M315" s="14"/>
      <c r="N315" s="14">
        <f t="shared" si="29"/>
        <v>1</v>
      </c>
      <c r="O315" s="14"/>
      <c r="P315" s="14" t="s">
        <v>19</v>
      </c>
      <c r="Q315" s="15">
        <f t="shared" si="27"/>
        <v>0</v>
      </c>
    </row>
    <row r="316" spans="2:17" s="16" customFormat="1" x14ac:dyDescent="0.3">
      <c r="B316" s="7" t="s">
        <v>648</v>
      </c>
      <c r="C316" s="22">
        <v>45019</v>
      </c>
      <c r="D316" s="9" t="s">
        <v>649</v>
      </c>
      <c r="E316" s="10" t="s">
        <v>22</v>
      </c>
      <c r="F316" s="18"/>
      <c r="G316" s="12">
        <v>128.91999999999999</v>
      </c>
      <c r="H316" s="13"/>
      <c r="I316" s="23">
        <v>45019</v>
      </c>
      <c r="J316" s="28">
        <v>50</v>
      </c>
      <c r="K316" s="15">
        <v>128.91999999999999</v>
      </c>
      <c r="L316" s="14">
        <f>+K316*J316</f>
        <v>6445.9999999999991</v>
      </c>
      <c r="M316" s="14">
        <f>10+2+1</f>
        <v>13</v>
      </c>
      <c r="N316" s="14">
        <f t="shared" si="29"/>
        <v>37</v>
      </c>
      <c r="O316" s="14"/>
      <c r="P316" s="14" t="s">
        <v>19</v>
      </c>
      <c r="Q316" s="15">
        <f t="shared" si="27"/>
        <v>4770.04</v>
      </c>
    </row>
    <row r="317" spans="2:17" s="17" customFormat="1" ht="15.75" x14ac:dyDescent="0.25">
      <c r="B317" s="7" t="s">
        <v>650</v>
      </c>
      <c r="C317" s="8"/>
      <c r="D317" s="9" t="s">
        <v>651</v>
      </c>
      <c r="E317" s="10" t="s">
        <v>22</v>
      </c>
      <c r="F317" s="18"/>
      <c r="G317" s="12"/>
      <c r="H317" s="13"/>
      <c r="I317" s="14"/>
      <c r="J317" s="28"/>
      <c r="K317" s="15"/>
      <c r="L317" s="14"/>
      <c r="M317" s="14">
        <f>1+1</f>
        <v>2</v>
      </c>
      <c r="N317" s="14">
        <f t="shared" si="29"/>
        <v>-2</v>
      </c>
      <c r="O317" s="14"/>
      <c r="P317" s="14" t="s">
        <v>59</v>
      </c>
      <c r="Q317" s="15">
        <f t="shared" si="27"/>
        <v>0</v>
      </c>
    </row>
    <row r="318" spans="2:17" s="17" customFormat="1" ht="15.75" x14ac:dyDescent="0.25">
      <c r="B318" s="7" t="s">
        <v>652</v>
      </c>
      <c r="C318" s="8"/>
      <c r="D318" s="9" t="s">
        <v>653</v>
      </c>
      <c r="E318" s="10" t="s">
        <v>22</v>
      </c>
      <c r="F318" s="18"/>
      <c r="G318" s="12"/>
      <c r="H318" s="13"/>
      <c r="I318" s="14"/>
      <c r="J318" s="28"/>
      <c r="K318" s="15"/>
      <c r="L318" s="14"/>
      <c r="M318" s="14">
        <f>1+1+15+1</f>
        <v>18</v>
      </c>
      <c r="N318" s="14">
        <f t="shared" si="29"/>
        <v>-18</v>
      </c>
      <c r="O318" s="14"/>
      <c r="P318" s="14" t="s">
        <v>23</v>
      </c>
      <c r="Q318" s="15">
        <f t="shared" si="27"/>
        <v>0</v>
      </c>
    </row>
    <row r="319" spans="2:17" s="17" customFormat="1" ht="15.75" x14ac:dyDescent="0.25">
      <c r="B319" s="7" t="s">
        <v>654</v>
      </c>
      <c r="C319" s="8">
        <v>44193</v>
      </c>
      <c r="D319" s="9" t="s">
        <v>223</v>
      </c>
      <c r="E319" s="10" t="s">
        <v>22</v>
      </c>
      <c r="F319" s="18">
        <v>25</v>
      </c>
      <c r="G319" s="12">
        <v>5.78</v>
      </c>
      <c r="H319" s="13">
        <f>+F319*G319</f>
        <v>144.5</v>
      </c>
      <c r="I319" s="14"/>
      <c r="J319" s="28"/>
      <c r="K319" s="15"/>
      <c r="L319" s="14"/>
      <c r="M319" s="14">
        <v>1</v>
      </c>
      <c r="N319" s="14">
        <f t="shared" si="29"/>
        <v>24</v>
      </c>
      <c r="O319" s="14"/>
      <c r="P319" s="14" t="s">
        <v>23</v>
      </c>
      <c r="Q319" s="15">
        <f t="shared" si="27"/>
        <v>138.72</v>
      </c>
    </row>
    <row r="320" spans="2:17" s="17" customFormat="1" ht="15.75" x14ac:dyDescent="0.25">
      <c r="B320" s="7" t="s">
        <v>655</v>
      </c>
      <c r="C320" s="8"/>
      <c r="D320" s="9" t="s">
        <v>656</v>
      </c>
      <c r="E320" s="10" t="s">
        <v>22</v>
      </c>
      <c r="F320" s="18"/>
      <c r="G320" s="12"/>
      <c r="H320" s="13"/>
      <c r="I320" s="14"/>
      <c r="J320" s="28"/>
      <c r="K320" s="15"/>
      <c r="L320" s="14"/>
      <c r="M320" s="14">
        <v>2</v>
      </c>
      <c r="N320" s="14">
        <f t="shared" si="29"/>
        <v>-2</v>
      </c>
      <c r="O320" s="14"/>
      <c r="P320" s="14" t="s">
        <v>23</v>
      </c>
      <c r="Q320" s="15">
        <f t="shared" si="27"/>
        <v>0</v>
      </c>
    </row>
    <row r="321" spans="2:17" s="17" customFormat="1" ht="15.75" x14ac:dyDescent="0.25">
      <c r="B321" s="7" t="s">
        <v>657</v>
      </c>
      <c r="C321" s="8"/>
      <c r="D321" s="9" t="s">
        <v>658</v>
      </c>
      <c r="E321" s="10" t="s">
        <v>22</v>
      </c>
      <c r="F321" s="18"/>
      <c r="G321" s="12"/>
      <c r="H321" s="13"/>
      <c r="I321" s="14"/>
      <c r="J321" s="28"/>
      <c r="K321" s="15"/>
      <c r="L321" s="14"/>
      <c r="M321" s="14">
        <v>1</v>
      </c>
      <c r="N321" s="14">
        <f t="shared" si="29"/>
        <v>-1</v>
      </c>
      <c r="O321" s="14"/>
      <c r="P321" s="14" t="s">
        <v>23</v>
      </c>
      <c r="Q321" s="15">
        <f t="shared" si="27"/>
        <v>0</v>
      </c>
    </row>
    <row r="322" spans="2:17" s="17" customFormat="1" ht="15.75" x14ac:dyDescent="0.25">
      <c r="B322" s="7" t="s">
        <v>659</v>
      </c>
      <c r="C322" s="8"/>
      <c r="D322" s="9" t="s">
        <v>660</v>
      </c>
      <c r="E322" s="10" t="s">
        <v>22</v>
      </c>
      <c r="F322" s="18"/>
      <c r="G322" s="12"/>
      <c r="H322" s="13"/>
      <c r="I322" s="14"/>
      <c r="J322" s="28"/>
      <c r="K322" s="15"/>
      <c r="L322" s="14"/>
      <c r="M322" s="14">
        <v>1</v>
      </c>
      <c r="N322" s="14">
        <f t="shared" si="29"/>
        <v>-1</v>
      </c>
      <c r="O322" s="14"/>
      <c r="P322" s="14" t="s">
        <v>23</v>
      </c>
      <c r="Q322" s="15">
        <f t="shared" si="27"/>
        <v>0</v>
      </c>
    </row>
    <row r="323" spans="2:17" s="17" customFormat="1" ht="15.75" x14ac:dyDescent="0.25">
      <c r="B323" s="7" t="s">
        <v>661</v>
      </c>
      <c r="C323" s="22">
        <v>45019</v>
      </c>
      <c r="D323" s="9" t="s">
        <v>662</v>
      </c>
      <c r="E323" s="10" t="s">
        <v>22</v>
      </c>
      <c r="F323" s="18">
        <v>967</v>
      </c>
      <c r="G323" s="12">
        <v>58.51</v>
      </c>
      <c r="H323" s="13"/>
      <c r="I323" s="23">
        <v>45019</v>
      </c>
      <c r="J323" s="28">
        <f>30*12</f>
        <v>360</v>
      </c>
      <c r="K323" s="15">
        <v>58.51</v>
      </c>
      <c r="L323" s="15">
        <f>+K323*J323</f>
        <v>21063.599999999999</v>
      </c>
      <c r="M323" s="14">
        <f>967+12+2+36+24+24</f>
        <v>1065</v>
      </c>
      <c r="N323" s="14">
        <f t="shared" si="29"/>
        <v>262</v>
      </c>
      <c r="O323" s="14"/>
      <c r="P323" s="14" t="s">
        <v>23</v>
      </c>
      <c r="Q323" s="15">
        <f t="shared" si="27"/>
        <v>15329.619999999999</v>
      </c>
    </row>
    <row r="324" spans="2:17" s="17" customFormat="1" ht="15.75" x14ac:dyDescent="0.25">
      <c r="B324" s="7" t="s">
        <v>663</v>
      </c>
      <c r="C324" s="8"/>
      <c r="D324" s="9" t="s">
        <v>664</v>
      </c>
      <c r="E324" s="10" t="s">
        <v>22</v>
      </c>
      <c r="F324" s="18"/>
      <c r="G324" s="12"/>
      <c r="H324" s="13"/>
      <c r="I324" s="14"/>
      <c r="J324" s="28"/>
      <c r="K324" s="15"/>
      <c r="L324" s="15">
        <f t="shared" ref="L324:L325" si="30">+K324*J324</f>
        <v>0</v>
      </c>
      <c r="M324" s="14">
        <v>1</v>
      </c>
      <c r="N324" s="14">
        <f t="shared" si="29"/>
        <v>-1</v>
      </c>
      <c r="O324" s="14"/>
      <c r="P324" s="14" t="s">
        <v>23</v>
      </c>
      <c r="Q324" s="15">
        <f t="shared" si="27"/>
        <v>0</v>
      </c>
    </row>
    <row r="325" spans="2:17" s="16" customFormat="1" x14ac:dyDescent="0.3">
      <c r="B325" s="7" t="s">
        <v>665</v>
      </c>
      <c r="C325" s="8"/>
      <c r="D325" s="9" t="s">
        <v>666</v>
      </c>
      <c r="E325" s="10" t="s">
        <v>22</v>
      </c>
      <c r="F325" s="18"/>
      <c r="G325" s="12"/>
      <c r="H325" s="13"/>
      <c r="I325" s="14"/>
      <c r="J325" s="28">
        <v>130</v>
      </c>
      <c r="K325" s="15"/>
      <c r="L325" s="15">
        <f t="shared" si="30"/>
        <v>0</v>
      </c>
      <c r="M325" s="14">
        <v>6</v>
      </c>
      <c r="N325" s="14">
        <f t="shared" si="29"/>
        <v>124</v>
      </c>
      <c r="O325" s="14"/>
      <c r="P325" s="14" t="s">
        <v>19</v>
      </c>
      <c r="Q325" s="15">
        <f t="shared" si="27"/>
        <v>0</v>
      </c>
    </row>
    <row r="326" spans="2:17" s="16" customFormat="1" x14ac:dyDescent="0.3">
      <c r="B326" s="7" t="s">
        <v>667</v>
      </c>
      <c r="C326" s="8">
        <v>45019</v>
      </c>
      <c r="D326" s="9" t="s">
        <v>668</v>
      </c>
      <c r="E326" s="10" t="s">
        <v>22</v>
      </c>
      <c r="F326" s="18"/>
      <c r="G326" s="12">
        <v>41.3</v>
      </c>
      <c r="H326" s="13"/>
      <c r="I326" s="23">
        <v>45019</v>
      </c>
      <c r="J326" s="28">
        <f>120+102</f>
        <v>222</v>
      </c>
      <c r="K326" s="15">
        <v>41.3</v>
      </c>
      <c r="L326" s="15">
        <f>+K326*J326</f>
        <v>9168.5999999999985</v>
      </c>
      <c r="M326" s="14">
        <f>1+1+2+2+1+1+4</f>
        <v>12</v>
      </c>
      <c r="N326" s="14">
        <f t="shared" si="29"/>
        <v>210</v>
      </c>
      <c r="O326" s="14"/>
      <c r="P326" s="14" t="s">
        <v>19</v>
      </c>
      <c r="Q326" s="15">
        <f t="shared" si="27"/>
        <v>8673</v>
      </c>
    </row>
    <row r="327" spans="2:17" s="24" customFormat="1" ht="15.75" x14ac:dyDescent="0.25">
      <c r="B327" s="7" t="s">
        <v>669</v>
      </c>
      <c r="C327" s="22">
        <v>44852</v>
      </c>
      <c r="D327" s="9" t="s">
        <v>670</v>
      </c>
      <c r="E327" s="10" t="s">
        <v>22</v>
      </c>
      <c r="F327" s="18"/>
      <c r="G327" s="12">
        <v>36</v>
      </c>
      <c r="H327" s="13"/>
      <c r="I327" s="23">
        <v>44852</v>
      </c>
      <c r="J327" s="28">
        <v>20</v>
      </c>
      <c r="K327" s="15">
        <v>19.329999999999998</v>
      </c>
      <c r="L327" s="21">
        <f>+J327*K327</f>
        <v>386.59999999999997</v>
      </c>
      <c r="M327" s="14">
        <f>1+1+2+2+5</f>
        <v>11</v>
      </c>
      <c r="N327" s="14">
        <f t="shared" si="29"/>
        <v>9</v>
      </c>
      <c r="O327" s="14" t="s">
        <v>170</v>
      </c>
      <c r="P327" s="14" t="s">
        <v>59</v>
      </c>
      <c r="Q327" s="15">
        <f t="shared" si="27"/>
        <v>324</v>
      </c>
    </row>
    <row r="328" spans="2:17" s="24" customFormat="1" ht="15.75" x14ac:dyDescent="0.25">
      <c r="B328" s="7" t="s">
        <v>671</v>
      </c>
      <c r="C328" s="22">
        <v>44852</v>
      </c>
      <c r="D328" s="9" t="s">
        <v>672</v>
      </c>
      <c r="E328" s="10" t="s">
        <v>22</v>
      </c>
      <c r="F328" s="18">
        <v>6</v>
      </c>
      <c r="G328" s="12">
        <v>145.80000000000001</v>
      </c>
      <c r="H328" s="13"/>
      <c r="I328" s="23">
        <v>44852</v>
      </c>
      <c r="J328" s="28">
        <v>10</v>
      </c>
      <c r="K328" s="15">
        <v>145.80000000000001</v>
      </c>
      <c r="L328" s="21">
        <f>+J328*K328</f>
        <v>1458</v>
      </c>
      <c r="M328" s="14">
        <v>7</v>
      </c>
      <c r="N328" s="14">
        <f t="shared" si="29"/>
        <v>9</v>
      </c>
      <c r="O328" s="14" t="s">
        <v>170</v>
      </c>
      <c r="P328" s="14" t="s">
        <v>59</v>
      </c>
      <c r="Q328" s="15">
        <f t="shared" si="27"/>
        <v>1312.2</v>
      </c>
    </row>
    <row r="329" spans="2:17" s="24" customFormat="1" ht="15.75" x14ac:dyDescent="0.25">
      <c r="B329" s="7" t="s">
        <v>673</v>
      </c>
      <c r="C329" s="22">
        <v>45042</v>
      </c>
      <c r="D329" s="9" t="s">
        <v>674</v>
      </c>
      <c r="E329" s="10" t="s">
        <v>22</v>
      </c>
      <c r="F329" s="18"/>
      <c r="G329" s="12">
        <v>97.59</v>
      </c>
      <c r="H329" s="13"/>
      <c r="I329" s="23">
        <v>45042</v>
      </c>
      <c r="J329" s="28">
        <v>10</v>
      </c>
      <c r="K329" s="15">
        <v>116.29</v>
      </c>
      <c r="L329" s="21">
        <f>+J329*K329</f>
        <v>1162.9000000000001</v>
      </c>
      <c r="M329" s="14">
        <f>3+2</f>
        <v>5</v>
      </c>
      <c r="N329" s="14">
        <f t="shared" si="29"/>
        <v>5</v>
      </c>
      <c r="O329" s="14" t="s">
        <v>170</v>
      </c>
      <c r="P329" s="14" t="s">
        <v>59</v>
      </c>
      <c r="Q329" s="15">
        <f t="shared" si="27"/>
        <v>487.95000000000005</v>
      </c>
    </row>
    <row r="330" spans="2:17" s="16" customFormat="1" x14ac:dyDescent="0.3">
      <c r="B330" s="7" t="s">
        <v>675</v>
      </c>
      <c r="C330" s="8"/>
      <c r="D330" s="9" t="s">
        <v>676</v>
      </c>
      <c r="E330" s="10" t="s">
        <v>22</v>
      </c>
      <c r="F330" s="18"/>
      <c r="G330" s="12"/>
      <c r="H330" s="13"/>
      <c r="I330" s="14"/>
      <c r="J330" s="28"/>
      <c r="K330" s="15"/>
      <c r="L330" s="14"/>
      <c r="M330" s="14">
        <v>2</v>
      </c>
      <c r="N330" s="14">
        <f t="shared" si="29"/>
        <v>-2</v>
      </c>
      <c r="O330" s="14"/>
      <c r="P330" s="14" t="s">
        <v>23</v>
      </c>
      <c r="Q330" s="15">
        <f t="shared" si="27"/>
        <v>0</v>
      </c>
    </row>
    <row r="331" spans="2:17" s="16" customFormat="1" ht="32.25" x14ac:dyDescent="0.3">
      <c r="B331" s="7" t="s">
        <v>677</v>
      </c>
      <c r="C331" s="22">
        <v>44851</v>
      </c>
      <c r="D331" s="9" t="s">
        <v>678</v>
      </c>
      <c r="E331" s="10" t="s">
        <v>22</v>
      </c>
      <c r="F331" s="18"/>
      <c r="G331" s="12">
        <v>672.78</v>
      </c>
      <c r="H331" s="13"/>
      <c r="I331" s="23">
        <v>44851</v>
      </c>
      <c r="J331" s="28">
        <v>25</v>
      </c>
      <c r="K331" s="15">
        <v>672.78</v>
      </c>
      <c r="L331" s="21">
        <f>+J331*K331</f>
        <v>16819.5</v>
      </c>
      <c r="M331" s="14">
        <v>3</v>
      </c>
      <c r="N331" s="14">
        <f t="shared" si="29"/>
        <v>22</v>
      </c>
      <c r="O331" s="31" t="s">
        <v>517</v>
      </c>
      <c r="P331" s="14" t="s">
        <v>23</v>
      </c>
      <c r="Q331" s="15">
        <f>+G331*N331</f>
        <v>14801.16</v>
      </c>
    </row>
    <row r="332" spans="2:17" s="16" customFormat="1" x14ac:dyDescent="0.3">
      <c r="B332" s="7" t="s">
        <v>679</v>
      </c>
      <c r="C332" s="22">
        <v>44852</v>
      </c>
      <c r="D332" s="9" t="s">
        <v>680</v>
      </c>
      <c r="E332" s="10" t="s">
        <v>22</v>
      </c>
      <c r="F332" s="18"/>
      <c r="G332" s="12">
        <v>1713.36</v>
      </c>
      <c r="H332" s="13"/>
      <c r="I332" s="23">
        <v>44852</v>
      </c>
      <c r="J332" s="28">
        <v>12</v>
      </c>
      <c r="K332" s="15">
        <f>1452+261.36</f>
        <v>1713.3600000000001</v>
      </c>
      <c r="L332" s="21">
        <f>+J332*K332</f>
        <v>20560.32</v>
      </c>
      <c r="M332" s="14">
        <v>1</v>
      </c>
      <c r="N332" s="14">
        <f t="shared" si="29"/>
        <v>11</v>
      </c>
      <c r="O332" s="14"/>
      <c r="P332" s="14" t="s">
        <v>23</v>
      </c>
      <c r="Q332" s="15">
        <f t="shared" si="27"/>
        <v>18846.96</v>
      </c>
    </row>
    <row r="333" spans="2:17" s="16" customFormat="1" x14ac:dyDescent="0.3">
      <c r="B333" s="7" t="s">
        <v>681</v>
      </c>
      <c r="C333" s="22">
        <v>44852</v>
      </c>
      <c r="D333" s="9" t="s">
        <v>682</v>
      </c>
      <c r="E333" s="10" t="s">
        <v>22</v>
      </c>
      <c r="F333" s="18"/>
      <c r="G333" s="12">
        <v>4967.8</v>
      </c>
      <c r="H333" s="13"/>
      <c r="I333" s="23">
        <v>44852</v>
      </c>
      <c r="J333" s="28">
        <v>15</v>
      </c>
      <c r="K333" s="15">
        <f>4210+757.8</f>
        <v>4967.8</v>
      </c>
      <c r="L333" s="21">
        <f>+J333*K333</f>
        <v>74517</v>
      </c>
      <c r="M333" s="14">
        <v>1</v>
      </c>
      <c r="N333" s="14">
        <f t="shared" si="29"/>
        <v>14</v>
      </c>
      <c r="O333" s="14"/>
      <c r="P333" s="14" t="s">
        <v>23</v>
      </c>
      <c r="Q333" s="15">
        <f t="shared" si="27"/>
        <v>69549.2</v>
      </c>
    </row>
    <row r="334" spans="2:17" s="16" customFormat="1" x14ac:dyDescent="0.3">
      <c r="B334" s="7" t="s">
        <v>683</v>
      </c>
      <c r="C334" s="22">
        <v>44852</v>
      </c>
      <c r="D334" s="9" t="s">
        <v>684</v>
      </c>
      <c r="E334" s="10" t="s">
        <v>22</v>
      </c>
      <c r="F334" s="18"/>
      <c r="G334" s="12">
        <v>3776</v>
      </c>
      <c r="H334" s="13"/>
      <c r="I334" s="23">
        <v>44852</v>
      </c>
      <c r="J334" s="28">
        <v>16</v>
      </c>
      <c r="K334" s="15">
        <f>3200+576</f>
        <v>3776</v>
      </c>
      <c r="L334" s="21">
        <f>+J334*K334</f>
        <v>60416</v>
      </c>
      <c r="M334" s="14"/>
      <c r="N334" s="14">
        <f t="shared" si="29"/>
        <v>16</v>
      </c>
      <c r="O334" s="14"/>
      <c r="P334" s="14" t="s">
        <v>23</v>
      </c>
      <c r="Q334" s="15">
        <f t="shared" si="27"/>
        <v>60416</v>
      </c>
    </row>
    <row r="335" spans="2:17" s="16" customFormat="1" x14ac:dyDescent="0.3">
      <c r="B335" s="7" t="s">
        <v>685</v>
      </c>
      <c r="C335" s="22">
        <v>44852</v>
      </c>
      <c r="D335" s="9" t="s">
        <v>686</v>
      </c>
      <c r="E335" s="10" t="s">
        <v>22</v>
      </c>
      <c r="F335" s="18"/>
      <c r="G335" s="12">
        <v>2254.98</v>
      </c>
      <c r="H335" s="13"/>
      <c r="I335" s="23">
        <v>44852</v>
      </c>
      <c r="J335" s="28">
        <v>5</v>
      </c>
      <c r="K335" s="15">
        <f>1911+343.98</f>
        <v>2254.98</v>
      </c>
      <c r="L335" s="21">
        <f t="shared" ref="L335:L345" si="31">+J335*K335</f>
        <v>11274.9</v>
      </c>
      <c r="M335" s="14"/>
      <c r="N335" s="14">
        <f t="shared" si="29"/>
        <v>5</v>
      </c>
      <c r="O335" s="14"/>
      <c r="P335" s="14" t="s">
        <v>23</v>
      </c>
      <c r="Q335" s="15">
        <f t="shared" si="27"/>
        <v>11274.9</v>
      </c>
    </row>
    <row r="336" spans="2:17" s="16" customFormat="1" x14ac:dyDescent="0.3">
      <c r="B336" s="7" t="s">
        <v>687</v>
      </c>
      <c r="C336" s="22">
        <v>44852</v>
      </c>
      <c r="D336" s="9" t="s">
        <v>688</v>
      </c>
      <c r="E336" s="10" t="s">
        <v>22</v>
      </c>
      <c r="F336" s="18"/>
      <c r="G336" s="12">
        <v>3776</v>
      </c>
      <c r="H336" s="13"/>
      <c r="I336" s="23">
        <v>44852</v>
      </c>
      <c r="J336" s="28">
        <v>20</v>
      </c>
      <c r="K336" s="15">
        <f>3200+576</f>
        <v>3776</v>
      </c>
      <c r="L336" s="21">
        <f t="shared" si="31"/>
        <v>75520</v>
      </c>
      <c r="M336" s="14">
        <f>1+1</f>
        <v>2</v>
      </c>
      <c r="N336" s="14">
        <f t="shared" si="29"/>
        <v>18</v>
      </c>
      <c r="O336" s="14"/>
      <c r="P336" s="14" t="s">
        <v>23</v>
      </c>
      <c r="Q336" s="15">
        <f t="shared" si="27"/>
        <v>67968</v>
      </c>
    </row>
    <row r="337" spans="2:17" s="16" customFormat="1" x14ac:dyDescent="0.3">
      <c r="B337" s="7" t="s">
        <v>689</v>
      </c>
      <c r="C337" s="22">
        <v>44852</v>
      </c>
      <c r="D337" s="9" t="s">
        <v>690</v>
      </c>
      <c r="E337" s="10" t="s">
        <v>22</v>
      </c>
      <c r="F337" s="18"/>
      <c r="G337" s="12">
        <v>5664</v>
      </c>
      <c r="H337" s="13"/>
      <c r="I337" s="23">
        <v>44852</v>
      </c>
      <c r="J337" s="28">
        <v>10</v>
      </c>
      <c r="K337" s="15">
        <f>4800+864</f>
        <v>5664</v>
      </c>
      <c r="L337" s="21">
        <f t="shared" si="31"/>
        <v>56640</v>
      </c>
      <c r="M337" s="14"/>
      <c r="N337" s="14">
        <f t="shared" si="29"/>
        <v>10</v>
      </c>
      <c r="O337" s="14"/>
      <c r="P337" s="14" t="s">
        <v>23</v>
      </c>
      <c r="Q337" s="15">
        <f t="shared" si="27"/>
        <v>56640</v>
      </c>
    </row>
    <row r="338" spans="2:17" s="16" customFormat="1" x14ac:dyDescent="0.3">
      <c r="B338" s="7" t="s">
        <v>691</v>
      </c>
      <c r="C338" s="22">
        <v>44852</v>
      </c>
      <c r="D338" s="9" t="s">
        <v>692</v>
      </c>
      <c r="E338" s="10" t="s">
        <v>22</v>
      </c>
      <c r="F338" s="18"/>
      <c r="G338" s="12">
        <f>2050+369</f>
        <v>2419</v>
      </c>
      <c r="H338" s="13"/>
      <c r="I338" s="23">
        <v>44852</v>
      </c>
      <c r="J338" s="28">
        <v>35</v>
      </c>
      <c r="K338" s="15">
        <f>2050+369</f>
        <v>2419</v>
      </c>
      <c r="L338" s="21">
        <f t="shared" si="31"/>
        <v>84665</v>
      </c>
      <c r="M338" s="14">
        <v>2</v>
      </c>
      <c r="N338" s="14">
        <f t="shared" si="29"/>
        <v>33</v>
      </c>
      <c r="O338" s="14"/>
      <c r="P338" s="14" t="s">
        <v>23</v>
      </c>
      <c r="Q338" s="15">
        <f t="shared" si="27"/>
        <v>79827</v>
      </c>
    </row>
    <row r="339" spans="2:17" s="16" customFormat="1" x14ac:dyDescent="0.3">
      <c r="B339" s="7" t="s">
        <v>693</v>
      </c>
      <c r="C339" s="22">
        <v>44852</v>
      </c>
      <c r="D339" s="9" t="s">
        <v>694</v>
      </c>
      <c r="E339" s="10" t="s">
        <v>22</v>
      </c>
      <c r="F339" s="18"/>
      <c r="G339" s="12">
        <f>3737+672.66</f>
        <v>4409.66</v>
      </c>
      <c r="H339" s="13"/>
      <c r="I339" s="23">
        <v>44852</v>
      </c>
      <c r="J339" s="28">
        <v>5</v>
      </c>
      <c r="K339" s="15">
        <f>3737+672.66</f>
        <v>4409.66</v>
      </c>
      <c r="L339" s="21">
        <f t="shared" si="31"/>
        <v>22048.3</v>
      </c>
      <c r="M339" s="14"/>
      <c r="N339" s="14">
        <f t="shared" si="29"/>
        <v>5</v>
      </c>
      <c r="O339" s="14"/>
      <c r="P339" s="14" t="s">
        <v>23</v>
      </c>
      <c r="Q339" s="15">
        <f t="shared" si="27"/>
        <v>22048.3</v>
      </c>
    </row>
    <row r="340" spans="2:17" s="16" customFormat="1" x14ac:dyDescent="0.3">
      <c r="B340" s="7" t="s">
        <v>695</v>
      </c>
      <c r="C340" s="22">
        <v>44862</v>
      </c>
      <c r="D340" s="9" t="s">
        <v>696</v>
      </c>
      <c r="E340" s="10" t="s">
        <v>22</v>
      </c>
      <c r="F340" s="18"/>
      <c r="G340" s="12">
        <f>8750+1575</f>
        <v>10325</v>
      </c>
      <c r="H340" s="13"/>
      <c r="I340" s="23">
        <v>44862</v>
      </c>
      <c r="J340" s="28">
        <v>40</v>
      </c>
      <c r="K340" s="15">
        <f>8750+1575</f>
        <v>10325</v>
      </c>
      <c r="L340" s="21">
        <f t="shared" si="31"/>
        <v>413000</v>
      </c>
      <c r="M340" s="14">
        <v>18</v>
      </c>
      <c r="N340" s="14">
        <f t="shared" si="29"/>
        <v>22</v>
      </c>
      <c r="O340" s="14"/>
      <c r="P340" s="14" t="s">
        <v>23</v>
      </c>
      <c r="Q340" s="15">
        <f t="shared" si="27"/>
        <v>227150</v>
      </c>
    </row>
    <row r="341" spans="2:17" s="16" customFormat="1" x14ac:dyDescent="0.3">
      <c r="B341" s="7" t="s">
        <v>697</v>
      </c>
      <c r="C341" s="22">
        <v>44862</v>
      </c>
      <c r="D341" s="9" t="s">
        <v>698</v>
      </c>
      <c r="E341" s="10" t="s">
        <v>22</v>
      </c>
      <c r="F341" s="18"/>
      <c r="G341" s="12">
        <f>1311+235.98</f>
        <v>1546.98</v>
      </c>
      <c r="H341" s="13"/>
      <c r="I341" s="23">
        <v>44862</v>
      </c>
      <c r="J341" s="28">
        <v>4</v>
      </c>
      <c r="K341" s="15">
        <f>1311+235.98</f>
        <v>1546.98</v>
      </c>
      <c r="L341" s="21">
        <f t="shared" si="31"/>
        <v>6187.92</v>
      </c>
      <c r="M341" s="14"/>
      <c r="N341" s="14">
        <f t="shared" si="29"/>
        <v>4</v>
      </c>
      <c r="O341" s="14"/>
      <c r="P341" s="14" t="s">
        <v>23</v>
      </c>
      <c r="Q341" s="15">
        <f t="shared" si="27"/>
        <v>6187.92</v>
      </c>
    </row>
    <row r="342" spans="2:17" s="16" customFormat="1" x14ac:dyDescent="0.3">
      <c r="B342" s="7" t="s">
        <v>699</v>
      </c>
      <c r="C342" s="33"/>
      <c r="D342" s="9" t="s">
        <v>700</v>
      </c>
      <c r="E342" s="10" t="s">
        <v>22</v>
      </c>
      <c r="F342" s="18"/>
      <c r="G342" s="12"/>
      <c r="H342" s="13"/>
      <c r="I342" s="14"/>
      <c r="J342" s="28"/>
      <c r="K342" s="15"/>
      <c r="L342" s="21">
        <f t="shared" si="31"/>
        <v>0</v>
      </c>
      <c r="M342" s="14">
        <v>1</v>
      </c>
      <c r="N342" s="14">
        <f t="shared" si="29"/>
        <v>-1</v>
      </c>
      <c r="O342" s="14"/>
      <c r="P342" s="14" t="s">
        <v>23</v>
      </c>
      <c r="Q342" s="15">
        <f t="shared" si="27"/>
        <v>0</v>
      </c>
    </row>
    <row r="343" spans="2:17" s="16" customFormat="1" x14ac:dyDescent="0.3">
      <c r="B343" s="7" t="s">
        <v>701</v>
      </c>
      <c r="C343" s="22">
        <v>45020</v>
      </c>
      <c r="D343" s="9" t="s">
        <v>702</v>
      </c>
      <c r="E343" s="10" t="s">
        <v>22</v>
      </c>
      <c r="F343" s="18"/>
      <c r="G343" s="12">
        <v>4012</v>
      </c>
      <c r="H343" s="13"/>
      <c r="I343" s="23">
        <v>45020</v>
      </c>
      <c r="J343" s="28">
        <v>2</v>
      </c>
      <c r="K343" s="15">
        <v>4012</v>
      </c>
      <c r="L343" s="21">
        <f t="shared" si="31"/>
        <v>8024</v>
      </c>
      <c r="M343" s="14">
        <v>5</v>
      </c>
      <c r="N343" s="14">
        <f t="shared" si="29"/>
        <v>-3</v>
      </c>
      <c r="O343" s="14"/>
      <c r="P343" s="14" t="s">
        <v>23</v>
      </c>
      <c r="Q343" s="15">
        <f t="shared" si="27"/>
        <v>-12036</v>
      </c>
    </row>
    <row r="344" spans="2:17" s="16" customFormat="1" x14ac:dyDescent="0.3">
      <c r="B344" s="7" t="s">
        <v>703</v>
      </c>
      <c r="C344" s="22">
        <v>44903</v>
      </c>
      <c r="D344" s="9" t="s">
        <v>704</v>
      </c>
      <c r="E344" s="10" t="s">
        <v>22</v>
      </c>
      <c r="F344" s="18"/>
      <c r="G344" s="12">
        <v>118.15</v>
      </c>
      <c r="H344" s="13"/>
      <c r="I344" s="23">
        <v>44903</v>
      </c>
      <c r="J344" s="28">
        <f>2*12</f>
        <v>24</v>
      </c>
      <c r="K344" s="15">
        <v>118.15</v>
      </c>
      <c r="L344" s="21">
        <f t="shared" si="31"/>
        <v>2835.6000000000004</v>
      </c>
      <c r="M344" s="14">
        <f>3+3</f>
        <v>6</v>
      </c>
      <c r="N344" s="14">
        <f t="shared" si="29"/>
        <v>18</v>
      </c>
      <c r="O344" s="14"/>
      <c r="P344" s="14" t="s">
        <v>23</v>
      </c>
      <c r="Q344" s="15">
        <f t="shared" si="27"/>
        <v>2126.7000000000003</v>
      </c>
    </row>
    <row r="345" spans="2:17" s="16" customFormat="1" ht="32.25" x14ac:dyDescent="0.3">
      <c r="B345" s="7" t="s">
        <v>705</v>
      </c>
      <c r="C345" s="22">
        <v>44851</v>
      </c>
      <c r="D345" s="9" t="s">
        <v>706</v>
      </c>
      <c r="E345" s="10" t="s">
        <v>22</v>
      </c>
      <c r="F345" s="18"/>
      <c r="G345" s="12">
        <v>240.72</v>
      </c>
      <c r="H345" s="13"/>
      <c r="I345" s="23">
        <v>44851</v>
      </c>
      <c r="J345" s="28">
        <v>30</v>
      </c>
      <c r="K345" s="15">
        <v>240.72</v>
      </c>
      <c r="L345" s="21">
        <f t="shared" si="31"/>
        <v>7221.6</v>
      </c>
      <c r="M345" s="14"/>
      <c r="N345" s="14">
        <f t="shared" si="29"/>
        <v>30</v>
      </c>
      <c r="O345" s="31" t="s">
        <v>517</v>
      </c>
      <c r="P345" s="14" t="s">
        <v>23</v>
      </c>
      <c r="Q345" s="15">
        <f t="shared" ref="Q345:Q408" si="32">+G345*N345</f>
        <v>7221.6</v>
      </c>
    </row>
    <row r="346" spans="2:17" s="16" customFormat="1" ht="32.25" x14ac:dyDescent="0.3">
      <c r="B346" s="7" t="s">
        <v>707</v>
      </c>
      <c r="C346" s="22">
        <v>44851</v>
      </c>
      <c r="D346" s="9" t="s">
        <v>708</v>
      </c>
      <c r="E346" s="10" t="s">
        <v>22</v>
      </c>
      <c r="F346" s="18"/>
      <c r="G346" s="12">
        <v>40.119999999999997</v>
      </c>
      <c r="H346" s="13"/>
      <c r="I346" s="23">
        <v>44851</v>
      </c>
      <c r="J346" s="28">
        <v>10</v>
      </c>
      <c r="K346" s="15">
        <v>40.119999999999997</v>
      </c>
      <c r="L346" s="21">
        <f>+J346*K346</f>
        <v>401.2</v>
      </c>
      <c r="M346" s="14"/>
      <c r="N346" s="14">
        <f t="shared" si="29"/>
        <v>10</v>
      </c>
      <c r="O346" s="31" t="s">
        <v>517</v>
      </c>
      <c r="P346" s="14" t="s">
        <v>23</v>
      </c>
      <c r="Q346" s="15">
        <f t="shared" si="32"/>
        <v>401.2</v>
      </c>
    </row>
    <row r="347" spans="2:17" s="16" customFormat="1" ht="32.25" x14ac:dyDescent="0.3">
      <c r="B347" s="7" t="s">
        <v>709</v>
      </c>
      <c r="C347" s="22">
        <v>44851</v>
      </c>
      <c r="D347" s="9" t="s">
        <v>710</v>
      </c>
      <c r="E347" s="10" t="s">
        <v>22</v>
      </c>
      <c r="F347" s="18"/>
      <c r="G347" s="12">
        <v>141.6</v>
      </c>
      <c r="H347" s="13"/>
      <c r="I347" s="23">
        <v>44851</v>
      </c>
      <c r="J347" s="28">
        <v>25</v>
      </c>
      <c r="K347" s="15">
        <v>141.6</v>
      </c>
      <c r="L347" s="21">
        <f t="shared" ref="L347:L365" si="33">+J347*K347</f>
        <v>3540</v>
      </c>
      <c r="M347" s="14"/>
      <c r="N347" s="14">
        <f t="shared" si="29"/>
        <v>25</v>
      </c>
      <c r="O347" s="31" t="s">
        <v>517</v>
      </c>
      <c r="P347" s="14" t="s">
        <v>23</v>
      </c>
      <c r="Q347" s="15">
        <f t="shared" si="32"/>
        <v>3540</v>
      </c>
    </row>
    <row r="348" spans="2:17" s="16" customFormat="1" ht="32.25" x14ac:dyDescent="0.3">
      <c r="B348" s="7" t="s">
        <v>711</v>
      </c>
      <c r="C348" s="22">
        <v>44851</v>
      </c>
      <c r="D348" s="9" t="s">
        <v>712</v>
      </c>
      <c r="E348" s="10" t="s">
        <v>22</v>
      </c>
      <c r="F348" s="18"/>
      <c r="G348" s="12">
        <v>1443.73</v>
      </c>
      <c r="H348" s="13"/>
      <c r="I348" s="23">
        <v>44851</v>
      </c>
      <c r="J348" s="28">
        <v>4</v>
      </c>
      <c r="K348" s="15">
        <v>1443.73</v>
      </c>
      <c r="L348" s="15">
        <f t="shared" si="33"/>
        <v>5774.92</v>
      </c>
      <c r="M348" s="14"/>
      <c r="N348" s="14">
        <f t="shared" si="29"/>
        <v>4</v>
      </c>
      <c r="O348" s="31" t="s">
        <v>517</v>
      </c>
      <c r="P348" s="14" t="s">
        <v>23</v>
      </c>
      <c r="Q348" s="15">
        <f t="shared" si="32"/>
        <v>5774.92</v>
      </c>
    </row>
    <row r="349" spans="2:17" s="16" customFormat="1" ht="32.25" x14ac:dyDescent="0.3">
      <c r="B349" s="7" t="s">
        <v>713</v>
      </c>
      <c r="C349" s="22">
        <v>44851</v>
      </c>
      <c r="D349" s="9" t="s">
        <v>714</v>
      </c>
      <c r="E349" s="10" t="s">
        <v>22</v>
      </c>
      <c r="F349" s="18"/>
      <c r="G349" s="12">
        <v>1177.05</v>
      </c>
      <c r="H349" s="13"/>
      <c r="I349" s="23">
        <v>44851</v>
      </c>
      <c r="J349" s="28">
        <v>10</v>
      </c>
      <c r="K349" s="15">
        <v>1177.05</v>
      </c>
      <c r="L349" s="15">
        <f t="shared" si="33"/>
        <v>11770.5</v>
      </c>
      <c r="M349" s="14">
        <v>1</v>
      </c>
      <c r="N349" s="14">
        <f t="shared" si="29"/>
        <v>9</v>
      </c>
      <c r="O349" s="31" t="s">
        <v>517</v>
      </c>
      <c r="P349" s="14" t="s">
        <v>23</v>
      </c>
      <c r="Q349" s="15">
        <f t="shared" si="32"/>
        <v>10593.449999999999</v>
      </c>
    </row>
    <row r="350" spans="2:17" s="16" customFormat="1" ht="32.25" x14ac:dyDescent="0.3">
      <c r="B350" s="7" t="s">
        <v>715</v>
      </c>
      <c r="C350" s="22">
        <v>44851</v>
      </c>
      <c r="D350" s="9" t="s">
        <v>716</v>
      </c>
      <c r="E350" s="10" t="s">
        <v>22</v>
      </c>
      <c r="F350" s="18"/>
      <c r="G350" s="12">
        <v>1330.45</v>
      </c>
      <c r="H350" s="13"/>
      <c r="I350" s="23">
        <v>44851</v>
      </c>
      <c r="J350" s="28">
        <v>4</v>
      </c>
      <c r="K350" s="15">
        <v>1330.45</v>
      </c>
      <c r="L350" s="15">
        <f t="shared" si="33"/>
        <v>5321.8</v>
      </c>
      <c r="M350" s="14"/>
      <c r="N350" s="14">
        <f t="shared" si="29"/>
        <v>4</v>
      </c>
      <c r="O350" s="31" t="s">
        <v>517</v>
      </c>
      <c r="P350" s="14" t="s">
        <v>23</v>
      </c>
      <c r="Q350" s="15">
        <f t="shared" si="32"/>
        <v>5321.8</v>
      </c>
    </row>
    <row r="351" spans="2:17" s="16" customFormat="1" ht="32.25" x14ac:dyDescent="0.3">
      <c r="B351" s="7" t="s">
        <v>717</v>
      </c>
      <c r="C351" s="22">
        <v>44851</v>
      </c>
      <c r="D351" s="9" t="s">
        <v>718</v>
      </c>
      <c r="E351" s="10" t="s">
        <v>22</v>
      </c>
      <c r="F351" s="18"/>
      <c r="G351" s="12">
        <v>676.14</v>
      </c>
      <c r="H351" s="13"/>
      <c r="I351" s="23">
        <v>44851</v>
      </c>
      <c r="J351" s="28">
        <v>4</v>
      </c>
      <c r="K351" s="15">
        <v>676.14</v>
      </c>
      <c r="L351" s="15">
        <f t="shared" si="33"/>
        <v>2704.56</v>
      </c>
      <c r="M351" s="14"/>
      <c r="N351" s="14">
        <f t="shared" si="29"/>
        <v>4</v>
      </c>
      <c r="O351" s="31" t="s">
        <v>517</v>
      </c>
      <c r="P351" s="14" t="s">
        <v>23</v>
      </c>
      <c r="Q351" s="15">
        <f t="shared" si="32"/>
        <v>2704.56</v>
      </c>
    </row>
    <row r="352" spans="2:17" s="16" customFormat="1" ht="32.25" x14ac:dyDescent="0.3">
      <c r="B352" s="7" t="s">
        <v>719</v>
      </c>
      <c r="C352" s="22">
        <v>44851</v>
      </c>
      <c r="D352" s="9" t="s">
        <v>720</v>
      </c>
      <c r="E352" s="10" t="s">
        <v>22</v>
      </c>
      <c r="F352" s="18"/>
      <c r="G352" s="12">
        <v>693.84</v>
      </c>
      <c r="H352" s="13"/>
      <c r="I352" s="23">
        <v>44851</v>
      </c>
      <c r="J352" s="28">
        <v>4</v>
      </c>
      <c r="K352" s="15">
        <v>693.84</v>
      </c>
      <c r="L352" s="15">
        <f t="shared" si="33"/>
        <v>2775.36</v>
      </c>
      <c r="M352" s="14"/>
      <c r="N352" s="14">
        <f t="shared" si="29"/>
        <v>4</v>
      </c>
      <c r="O352" s="31" t="s">
        <v>517</v>
      </c>
      <c r="P352" s="14" t="s">
        <v>23</v>
      </c>
      <c r="Q352" s="15">
        <f t="shared" si="32"/>
        <v>2775.36</v>
      </c>
    </row>
    <row r="353" spans="2:17" customFormat="1" ht="31.5" x14ac:dyDescent="0.25">
      <c r="B353" s="7" t="s">
        <v>721</v>
      </c>
      <c r="C353" s="22">
        <v>44851</v>
      </c>
      <c r="D353" s="9" t="s">
        <v>722</v>
      </c>
      <c r="E353" s="10" t="s">
        <v>22</v>
      </c>
      <c r="F353" s="18"/>
      <c r="G353" s="12">
        <v>1632.53</v>
      </c>
      <c r="H353" s="13"/>
      <c r="I353" s="23">
        <v>44851</v>
      </c>
      <c r="J353" s="28">
        <v>4</v>
      </c>
      <c r="K353" s="15">
        <v>1632.53</v>
      </c>
      <c r="L353" s="15">
        <f t="shared" si="33"/>
        <v>6530.12</v>
      </c>
      <c r="M353" s="14"/>
      <c r="N353" s="14">
        <f t="shared" si="29"/>
        <v>4</v>
      </c>
      <c r="O353" s="31" t="s">
        <v>517</v>
      </c>
      <c r="P353" s="14" t="s">
        <v>23</v>
      </c>
      <c r="Q353" s="15">
        <f t="shared" si="32"/>
        <v>6530.12</v>
      </c>
    </row>
    <row r="354" spans="2:17" s="34" customFormat="1" ht="31.5" x14ac:dyDescent="0.25">
      <c r="B354" s="7" t="s">
        <v>723</v>
      </c>
      <c r="C354" s="22">
        <v>44851</v>
      </c>
      <c r="D354" s="9" t="s">
        <v>724</v>
      </c>
      <c r="E354" s="10" t="s">
        <v>22</v>
      </c>
      <c r="F354" s="18"/>
      <c r="G354" s="12">
        <v>3268.6</v>
      </c>
      <c r="H354" s="13"/>
      <c r="I354" s="23">
        <v>44851</v>
      </c>
      <c r="J354" s="28">
        <v>1</v>
      </c>
      <c r="K354" s="15">
        <v>3268.6</v>
      </c>
      <c r="L354" s="15">
        <f t="shared" si="33"/>
        <v>3268.6</v>
      </c>
      <c r="M354" s="14"/>
      <c r="N354" s="14">
        <f t="shared" si="29"/>
        <v>1</v>
      </c>
      <c r="O354" s="31" t="s">
        <v>517</v>
      </c>
      <c r="P354" s="14" t="s">
        <v>23</v>
      </c>
      <c r="Q354" s="15">
        <f t="shared" si="32"/>
        <v>3268.6</v>
      </c>
    </row>
    <row r="355" spans="2:17" ht="32.25" x14ac:dyDescent="0.3">
      <c r="B355" s="7" t="s">
        <v>725</v>
      </c>
      <c r="C355" s="22">
        <v>44851</v>
      </c>
      <c r="D355" s="9" t="s">
        <v>726</v>
      </c>
      <c r="E355" s="10" t="s">
        <v>22</v>
      </c>
      <c r="F355" s="18"/>
      <c r="G355" s="12">
        <v>3908.16</v>
      </c>
      <c r="H355" s="13"/>
      <c r="I355" s="23">
        <v>44851</v>
      </c>
      <c r="J355" s="28">
        <v>15</v>
      </c>
      <c r="K355" s="15">
        <v>3908.16</v>
      </c>
      <c r="L355" s="15">
        <f t="shared" si="33"/>
        <v>58622.399999999994</v>
      </c>
      <c r="M355" s="14"/>
      <c r="N355" s="14">
        <f t="shared" si="29"/>
        <v>15</v>
      </c>
      <c r="O355" s="31" t="s">
        <v>517</v>
      </c>
      <c r="P355" s="14" t="s">
        <v>23</v>
      </c>
      <c r="Q355" s="15">
        <f t="shared" si="32"/>
        <v>58622.399999999994</v>
      </c>
    </row>
    <row r="356" spans="2:17" ht="23.25" customHeight="1" x14ac:dyDescent="0.3">
      <c r="B356" s="7" t="s">
        <v>727</v>
      </c>
      <c r="C356" s="22">
        <v>44851</v>
      </c>
      <c r="D356" s="9" t="s">
        <v>728</v>
      </c>
      <c r="E356" s="10" t="s">
        <v>22</v>
      </c>
      <c r="F356" s="18"/>
      <c r="G356" s="12">
        <v>1711</v>
      </c>
      <c r="H356" s="13"/>
      <c r="I356" s="23">
        <v>44851</v>
      </c>
      <c r="J356" s="28">
        <v>20</v>
      </c>
      <c r="K356" s="15">
        <v>1711</v>
      </c>
      <c r="L356" s="15">
        <f t="shared" si="33"/>
        <v>34220</v>
      </c>
      <c r="M356" s="14">
        <v>1</v>
      </c>
      <c r="N356" s="14">
        <f t="shared" si="29"/>
        <v>19</v>
      </c>
      <c r="O356" s="31" t="s">
        <v>517</v>
      </c>
      <c r="P356" s="14" t="s">
        <v>23</v>
      </c>
      <c r="Q356" s="15">
        <f t="shared" si="32"/>
        <v>32509</v>
      </c>
    </row>
    <row r="357" spans="2:17" ht="32.25" x14ac:dyDescent="0.3">
      <c r="B357" s="7" t="s">
        <v>729</v>
      </c>
      <c r="C357" s="22">
        <v>44851</v>
      </c>
      <c r="D357" s="9" t="s">
        <v>730</v>
      </c>
      <c r="E357" s="10" t="s">
        <v>22</v>
      </c>
      <c r="F357" s="18"/>
      <c r="G357" s="12">
        <v>1165.8399999999999</v>
      </c>
      <c r="H357" s="13"/>
      <c r="I357" s="23">
        <v>44851</v>
      </c>
      <c r="J357" s="28">
        <v>5</v>
      </c>
      <c r="K357" s="15">
        <v>1165.8399999999999</v>
      </c>
      <c r="L357" s="15">
        <f t="shared" si="33"/>
        <v>5829.2</v>
      </c>
      <c r="M357" s="14"/>
      <c r="N357" s="14">
        <v>4</v>
      </c>
      <c r="O357" s="31" t="s">
        <v>517</v>
      </c>
      <c r="P357" s="14" t="s">
        <v>23</v>
      </c>
      <c r="Q357" s="15">
        <f t="shared" si="32"/>
        <v>4663.3599999999997</v>
      </c>
    </row>
    <row r="358" spans="2:17" ht="23.25" customHeight="1" x14ac:dyDescent="0.3">
      <c r="B358" s="7" t="s">
        <v>731</v>
      </c>
      <c r="C358" s="22">
        <v>44851</v>
      </c>
      <c r="D358" s="9" t="s">
        <v>732</v>
      </c>
      <c r="E358" s="10" t="s">
        <v>22</v>
      </c>
      <c r="F358" s="18"/>
      <c r="G358" s="12">
        <v>4399.04</v>
      </c>
      <c r="H358" s="13"/>
      <c r="I358" s="23">
        <v>44851</v>
      </c>
      <c r="J358" s="28">
        <v>5</v>
      </c>
      <c r="K358" s="15">
        <v>4399.04</v>
      </c>
      <c r="L358" s="15">
        <f t="shared" si="33"/>
        <v>21995.200000000001</v>
      </c>
      <c r="M358" s="14"/>
      <c r="N358" s="14">
        <f t="shared" si="29"/>
        <v>5</v>
      </c>
      <c r="O358" s="31" t="s">
        <v>517</v>
      </c>
      <c r="P358" s="14" t="s">
        <v>23</v>
      </c>
      <c r="Q358" s="15">
        <f t="shared" si="32"/>
        <v>21995.200000000001</v>
      </c>
    </row>
    <row r="359" spans="2:17" ht="32.25" x14ac:dyDescent="0.3">
      <c r="B359" s="7" t="s">
        <v>733</v>
      </c>
      <c r="C359" s="22">
        <v>44851</v>
      </c>
      <c r="D359" s="9" t="s">
        <v>734</v>
      </c>
      <c r="E359" s="10" t="s">
        <v>22</v>
      </c>
      <c r="F359" s="18"/>
      <c r="G359" s="12">
        <v>4399.04</v>
      </c>
      <c r="H359" s="13"/>
      <c r="I359" s="23">
        <v>44851</v>
      </c>
      <c r="J359" s="28">
        <v>5</v>
      </c>
      <c r="K359" s="15">
        <v>4399.04</v>
      </c>
      <c r="L359" s="15">
        <f t="shared" si="33"/>
        <v>21995.200000000001</v>
      </c>
      <c r="M359" s="14"/>
      <c r="N359" s="14">
        <f t="shared" si="29"/>
        <v>5</v>
      </c>
      <c r="O359" s="31" t="s">
        <v>517</v>
      </c>
      <c r="P359" s="14" t="s">
        <v>23</v>
      </c>
      <c r="Q359" s="15">
        <f t="shared" si="32"/>
        <v>21995.200000000001</v>
      </c>
    </row>
    <row r="360" spans="2:17" ht="32.25" x14ac:dyDescent="0.3">
      <c r="B360" s="7" t="s">
        <v>735</v>
      </c>
      <c r="C360" s="22">
        <v>44851</v>
      </c>
      <c r="D360" s="9" t="s">
        <v>736</v>
      </c>
      <c r="E360" s="10" t="s">
        <v>22</v>
      </c>
      <c r="F360" s="18"/>
      <c r="G360" s="12">
        <v>4399.04</v>
      </c>
      <c r="H360" s="13"/>
      <c r="I360" s="23">
        <v>44851</v>
      </c>
      <c r="J360" s="28">
        <v>5</v>
      </c>
      <c r="K360" s="15">
        <v>4399.04</v>
      </c>
      <c r="L360" s="15">
        <f t="shared" si="33"/>
        <v>21995.200000000001</v>
      </c>
      <c r="M360" s="14"/>
      <c r="N360" s="14">
        <f t="shared" si="29"/>
        <v>5</v>
      </c>
      <c r="O360" s="31" t="s">
        <v>517</v>
      </c>
      <c r="P360" s="14" t="s">
        <v>23</v>
      </c>
      <c r="Q360" s="15">
        <f t="shared" si="32"/>
        <v>21995.200000000001</v>
      </c>
    </row>
    <row r="361" spans="2:17" ht="32.25" x14ac:dyDescent="0.3">
      <c r="B361" s="7" t="s">
        <v>737</v>
      </c>
      <c r="C361" s="22">
        <v>44851</v>
      </c>
      <c r="D361" s="9" t="s">
        <v>738</v>
      </c>
      <c r="E361" s="10" t="s">
        <v>22</v>
      </c>
      <c r="F361" s="18"/>
      <c r="G361" s="12">
        <v>1869.12</v>
      </c>
      <c r="H361" s="13"/>
      <c r="I361" s="23">
        <v>44851</v>
      </c>
      <c r="J361" s="28">
        <v>12</v>
      </c>
      <c r="K361" s="15">
        <v>1869.12</v>
      </c>
      <c r="L361" s="15">
        <f t="shared" si="33"/>
        <v>22429.439999999999</v>
      </c>
      <c r="M361" s="14"/>
      <c r="N361" s="14">
        <f t="shared" si="29"/>
        <v>12</v>
      </c>
      <c r="O361" s="31" t="s">
        <v>517</v>
      </c>
      <c r="P361" s="14" t="s">
        <v>23</v>
      </c>
      <c r="Q361" s="15">
        <f t="shared" si="32"/>
        <v>22429.439999999999</v>
      </c>
    </row>
    <row r="362" spans="2:17" ht="32.25" x14ac:dyDescent="0.3">
      <c r="B362" s="7" t="s">
        <v>739</v>
      </c>
      <c r="C362" s="22">
        <v>44851</v>
      </c>
      <c r="D362" s="9" t="s">
        <v>740</v>
      </c>
      <c r="E362" s="10" t="s">
        <v>22</v>
      </c>
      <c r="F362" s="18"/>
      <c r="G362" s="12">
        <v>41.3</v>
      </c>
      <c r="H362" s="13"/>
      <c r="I362" s="23">
        <v>44851</v>
      </c>
      <c r="J362" s="28">
        <v>30</v>
      </c>
      <c r="K362" s="15">
        <v>41.3</v>
      </c>
      <c r="L362" s="15">
        <f t="shared" si="33"/>
        <v>1239</v>
      </c>
      <c r="M362" s="14"/>
      <c r="N362" s="14">
        <f t="shared" si="29"/>
        <v>30</v>
      </c>
      <c r="O362" s="31" t="s">
        <v>517</v>
      </c>
      <c r="P362" s="14" t="s">
        <v>23</v>
      </c>
      <c r="Q362" s="15">
        <f t="shared" si="32"/>
        <v>1239</v>
      </c>
    </row>
    <row r="363" spans="2:17" s="24" customFormat="1" ht="15.75" x14ac:dyDescent="0.25">
      <c r="B363" s="7" t="s">
        <v>741</v>
      </c>
      <c r="C363" s="22">
        <v>44852</v>
      </c>
      <c r="D363" s="9" t="s">
        <v>742</v>
      </c>
      <c r="E363" s="10" t="s">
        <v>22</v>
      </c>
      <c r="F363" s="18"/>
      <c r="G363" s="12">
        <v>18.77</v>
      </c>
      <c r="H363" s="13"/>
      <c r="I363" s="23">
        <v>44852</v>
      </c>
      <c r="J363" s="28">
        <v>10</v>
      </c>
      <c r="K363" s="15">
        <v>18.77</v>
      </c>
      <c r="L363" s="15">
        <f t="shared" si="33"/>
        <v>187.7</v>
      </c>
      <c r="M363" s="14"/>
      <c r="N363" s="14">
        <f t="shared" si="29"/>
        <v>10</v>
      </c>
      <c r="O363" s="31" t="s">
        <v>170</v>
      </c>
      <c r="P363" s="14" t="s">
        <v>59</v>
      </c>
      <c r="Q363" s="15">
        <f t="shared" si="32"/>
        <v>187.7</v>
      </c>
    </row>
    <row r="364" spans="2:17" s="24" customFormat="1" ht="15.75" x14ac:dyDescent="0.25">
      <c r="B364" s="7" t="s">
        <v>743</v>
      </c>
      <c r="C364" s="22">
        <v>44852</v>
      </c>
      <c r="D364" s="9" t="s">
        <v>744</v>
      </c>
      <c r="E364" s="10" t="s">
        <v>22</v>
      </c>
      <c r="F364" s="18">
        <v>56</v>
      </c>
      <c r="G364" s="12">
        <v>44.55</v>
      </c>
      <c r="H364" s="13"/>
      <c r="I364" s="23">
        <v>44852</v>
      </c>
      <c r="J364" s="28">
        <v>40</v>
      </c>
      <c r="K364" s="15">
        <v>44.55</v>
      </c>
      <c r="L364" s="15">
        <f t="shared" si="33"/>
        <v>1782</v>
      </c>
      <c r="M364" s="14">
        <v>4</v>
      </c>
      <c r="N364" s="14">
        <f>+F364+J364-M364</f>
        <v>92</v>
      </c>
      <c r="O364" s="31" t="s">
        <v>170</v>
      </c>
      <c r="P364" s="14" t="s">
        <v>59</v>
      </c>
      <c r="Q364" s="15">
        <f t="shared" si="32"/>
        <v>4098.5999999999995</v>
      </c>
    </row>
    <row r="365" spans="2:17" s="24" customFormat="1" ht="15.75" x14ac:dyDescent="0.25">
      <c r="B365" s="7" t="s">
        <v>745</v>
      </c>
      <c r="C365" s="22">
        <v>44851</v>
      </c>
      <c r="D365" s="9" t="s">
        <v>746</v>
      </c>
      <c r="E365" s="10" t="s">
        <v>22</v>
      </c>
      <c r="F365" s="18">
        <v>1</v>
      </c>
      <c r="G365" s="12">
        <v>650</v>
      </c>
      <c r="H365" s="13"/>
      <c r="I365" s="23">
        <v>44851</v>
      </c>
      <c r="J365" s="28">
        <v>2</v>
      </c>
      <c r="K365" s="15">
        <v>650</v>
      </c>
      <c r="L365" s="15">
        <f t="shared" si="33"/>
        <v>1300</v>
      </c>
      <c r="M365" s="14"/>
      <c r="N365" s="14">
        <f t="shared" si="29"/>
        <v>3</v>
      </c>
      <c r="O365" s="31" t="s">
        <v>170</v>
      </c>
      <c r="P365" s="14" t="s">
        <v>59</v>
      </c>
      <c r="Q365" s="15">
        <f t="shared" si="32"/>
        <v>1950</v>
      </c>
    </row>
    <row r="366" spans="2:17" s="24" customFormat="1" ht="15.75" x14ac:dyDescent="0.25">
      <c r="B366" s="7" t="s">
        <v>747</v>
      </c>
      <c r="C366" s="22">
        <v>44852</v>
      </c>
      <c r="D366" s="9" t="s">
        <v>748</v>
      </c>
      <c r="E366" s="10" t="s">
        <v>22</v>
      </c>
      <c r="F366" s="18"/>
      <c r="G366" s="12">
        <v>27</v>
      </c>
      <c r="H366" s="13"/>
      <c r="I366" s="23">
        <v>44852</v>
      </c>
      <c r="J366" s="28">
        <f>10*12</f>
        <v>120</v>
      </c>
      <c r="K366" s="15">
        <v>27</v>
      </c>
      <c r="L366" s="15">
        <f>+K366*J366</f>
        <v>3240</v>
      </c>
      <c r="M366" s="14">
        <v>72</v>
      </c>
      <c r="N366" s="14">
        <f t="shared" si="29"/>
        <v>48</v>
      </c>
      <c r="O366" s="31" t="s">
        <v>170</v>
      </c>
      <c r="P366" s="14" t="s">
        <v>59</v>
      </c>
      <c r="Q366" s="15">
        <f t="shared" si="32"/>
        <v>1296</v>
      </c>
    </row>
    <row r="367" spans="2:17" s="24" customFormat="1" ht="15.75" x14ac:dyDescent="0.25">
      <c r="B367" s="7" t="s">
        <v>749</v>
      </c>
      <c r="C367" s="22">
        <v>44852</v>
      </c>
      <c r="D367" s="9" t="s">
        <v>750</v>
      </c>
      <c r="E367" s="10" t="s">
        <v>22</v>
      </c>
      <c r="F367" s="18"/>
      <c r="G367" s="12">
        <v>45.89</v>
      </c>
      <c r="H367" s="13"/>
      <c r="I367" s="23">
        <v>44852</v>
      </c>
      <c r="J367" s="28">
        <v>120</v>
      </c>
      <c r="K367" s="15">
        <v>45.89</v>
      </c>
      <c r="L367" s="15">
        <f>+K367*J367</f>
        <v>5506.8</v>
      </c>
      <c r="M367" s="14">
        <v>72</v>
      </c>
      <c r="N367" s="14">
        <f t="shared" si="29"/>
        <v>48</v>
      </c>
      <c r="O367" s="31" t="s">
        <v>170</v>
      </c>
      <c r="P367" s="14" t="s">
        <v>59</v>
      </c>
      <c r="Q367" s="15">
        <f t="shared" si="32"/>
        <v>2202.7200000000003</v>
      </c>
    </row>
    <row r="368" spans="2:17" s="24" customFormat="1" ht="15.75" x14ac:dyDescent="0.25">
      <c r="B368" s="7" t="s">
        <v>751</v>
      </c>
      <c r="C368" s="22">
        <v>44852</v>
      </c>
      <c r="D368" s="9" t="s">
        <v>752</v>
      </c>
      <c r="E368" s="10" t="s">
        <v>22</v>
      </c>
      <c r="F368" s="18"/>
      <c r="G368" s="12">
        <v>51.33</v>
      </c>
      <c r="H368" s="13"/>
      <c r="I368" s="23">
        <v>44852</v>
      </c>
      <c r="J368" s="28">
        <v>120</v>
      </c>
      <c r="K368" s="15">
        <v>51.33</v>
      </c>
      <c r="L368" s="15">
        <f t="shared" ref="L368:L383" si="34">+K368*J368</f>
        <v>6159.5999999999995</v>
      </c>
      <c r="M368" s="14"/>
      <c r="N368" s="14">
        <f t="shared" ref="N368:N426" si="35">+F368+J368-M368</f>
        <v>120</v>
      </c>
      <c r="O368" s="31" t="s">
        <v>170</v>
      </c>
      <c r="P368" s="14" t="s">
        <v>59</v>
      </c>
      <c r="Q368" s="15">
        <f t="shared" si="32"/>
        <v>6159.5999999999995</v>
      </c>
    </row>
    <row r="369" spans="2:17" s="24" customFormat="1" ht="15.75" x14ac:dyDescent="0.25">
      <c r="B369" s="7" t="s">
        <v>753</v>
      </c>
      <c r="C369" s="22">
        <v>44852</v>
      </c>
      <c r="D369" s="9" t="s">
        <v>754</v>
      </c>
      <c r="E369" s="10" t="s">
        <v>22</v>
      </c>
      <c r="F369" s="18"/>
      <c r="G369" s="12">
        <v>127.65</v>
      </c>
      <c r="H369" s="13"/>
      <c r="I369" s="23">
        <v>44852</v>
      </c>
      <c r="J369" s="28">
        <v>120</v>
      </c>
      <c r="K369" s="15">
        <v>127.65</v>
      </c>
      <c r="L369" s="15">
        <f t="shared" si="34"/>
        <v>15318</v>
      </c>
      <c r="M369" s="14"/>
      <c r="N369" s="14">
        <f t="shared" si="35"/>
        <v>120</v>
      </c>
      <c r="O369" s="31" t="s">
        <v>170</v>
      </c>
      <c r="P369" s="14" t="s">
        <v>59</v>
      </c>
      <c r="Q369" s="15">
        <f t="shared" si="32"/>
        <v>15318</v>
      </c>
    </row>
    <row r="370" spans="2:17" s="24" customFormat="1" ht="15.75" x14ac:dyDescent="0.25">
      <c r="B370" s="7" t="s">
        <v>755</v>
      </c>
      <c r="C370" s="22">
        <v>44852</v>
      </c>
      <c r="D370" s="9" t="s">
        <v>756</v>
      </c>
      <c r="E370" s="10" t="s">
        <v>22</v>
      </c>
      <c r="F370" s="18"/>
      <c r="G370" s="12">
        <v>5442.16</v>
      </c>
      <c r="H370" s="13"/>
      <c r="I370" s="23">
        <v>44852</v>
      </c>
      <c r="J370" s="28">
        <v>5</v>
      </c>
      <c r="K370" s="15">
        <v>5442.16</v>
      </c>
      <c r="L370" s="15">
        <f t="shared" si="34"/>
        <v>27210.799999999999</v>
      </c>
      <c r="M370" s="14">
        <v>1</v>
      </c>
      <c r="N370" s="14">
        <f t="shared" si="35"/>
        <v>4</v>
      </c>
      <c r="O370" s="31" t="s">
        <v>170</v>
      </c>
      <c r="P370" s="14" t="s">
        <v>59</v>
      </c>
      <c r="Q370" s="15">
        <f t="shared" si="32"/>
        <v>21768.639999999999</v>
      </c>
    </row>
    <row r="371" spans="2:17" s="24" customFormat="1" ht="15.75" x14ac:dyDescent="0.25">
      <c r="B371" s="7" t="s">
        <v>757</v>
      </c>
      <c r="C371" s="22">
        <v>44852</v>
      </c>
      <c r="D371" s="9" t="s">
        <v>758</v>
      </c>
      <c r="E371" s="10" t="s">
        <v>22</v>
      </c>
      <c r="F371" s="18"/>
      <c r="G371" s="12">
        <v>5330</v>
      </c>
      <c r="H371" s="13"/>
      <c r="I371" s="23">
        <v>44852</v>
      </c>
      <c r="J371" s="28">
        <v>1</v>
      </c>
      <c r="K371" s="15">
        <v>5330</v>
      </c>
      <c r="L371" s="15">
        <f t="shared" si="34"/>
        <v>5330</v>
      </c>
      <c r="M371" s="14">
        <v>1</v>
      </c>
      <c r="N371" s="14">
        <f t="shared" si="35"/>
        <v>0</v>
      </c>
      <c r="O371" s="31" t="s">
        <v>170</v>
      </c>
      <c r="P371" s="14" t="s">
        <v>59</v>
      </c>
      <c r="Q371" s="15">
        <f t="shared" si="32"/>
        <v>0</v>
      </c>
    </row>
    <row r="372" spans="2:17" s="24" customFormat="1" ht="15.75" x14ac:dyDescent="0.25">
      <c r="B372" s="7" t="s">
        <v>759</v>
      </c>
      <c r="C372" s="22">
        <v>44852</v>
      </c>
      <c r="D372" s="9" t="s">
        <v>760</v>
      </c>
      <c r="E372" s="10" t="s">
        <v>22</v>
      </c>
      <c r="F372" s="18"/>
      <c r="G372" s="12">
        <v>678.24</v>
      </c>
      <c r="H372" s="13"/>
      <c r="I372" s="23">
        <v>44852</v>
      </c>
      <c r="J372" s="28">
        <v>5</v>
      </c>
      <c r="K372" s="15">
        <v>678.24</v>
      </c>
      <c r="L372" s="15">
        <f t="shared" si="34"/>
        <v>3391.2</v>
      </c>
      <c r="M372" s="14">
        <v>1</v>
      </c>
      <c r="N372" s="14">
        <f t="shared" si="35"/>
        <v>4</v>
      </c>
      <c r="O372" s="31" t="s">
        <v>170</v>
      </c>
      <c r="P372" s="14" t="s">
        <v>59</v>
      </c>
      <c r="Q372" s="15">
        <f t="shared" si="32"/>
        <v>2712.96</v>
      </c>
    </row>
    <row r="373" spans="2:17" s="24" customFormat="1" ht="15.75" x14ac:dyDescent="0.25">
      <c r="B373" s="7" t="s">
        <v>761</v>
      </c>
      <c r="C373" s="22">
        <v>44852</v>
      </c>
      <c r="D373" s="9" t="s">
        <v>762</v>
      </c>
      <c r="E373" s="10" t="s">
        <v>22</v>
      </c>
      <c r="F373" s="18"/>
      <c r="G373" s="12">
        <v>678.24</v>
      </c>
      <c r="H373" s="13"/>
      <c r="I373" s="23">
        <v>44852</v>
      </c>
      <c r="J373" s="28">
        <v>5</v>
      </c>
      <c r="K373" s="15">
        <v>678.24</v>
      </c>
      <c r="L373" s="15">
        <f t="shared" si="34"/>
        <v>3391.2</v>
      </c>
      <c r="M373" s="14">
        <v>1</v>
      </c>
      <c r="N373" s="14">
        <f t="shared" si="35"/>
        <v>4</v>
      </c>
      <c r="O373" s="31" t="s">
        <v>170</v>
      </c>
      <c r="P373" s="14" t="s">
        <v>59</v>
      </c>
      <c r="Q373" s="15">
        <f t="shared" si="32"/>
        <v>2712.96</v>
      </c>
    </row>
    <row r="374" spans="2:17" s="24" customFormat="1" ht="15.75" x14ac:dyDescent="0.25">
      <c r="B374" s="7" t="s">
        <v>763</v>
      </c>
      <c r="C374" s="22">
        <v>44852</v>
      </c>
      <c r="D374" s="9" t="s">
        <v>764</v>
      </c>
      <c r="E374" s="10" t="s">
        <v>22</v>
      </c>
      <c r="F374" s="18"/>
      <c r="G374" s="12">
        <v>511</v>
      </c>
      <c r="H374" s="13"/>
      <c r="I374" s="23">
        <v>44852</v>
      </c>
      <c r="J374" s="28">
        <v>3</v>
      </c>
      <c r="K374" s="15">
        <v>511</v>
      </c>
      <c r="L374" s="15">
        <f t="shared" si="34"/>
        <v>1533</v>
      </c>
      <c r="M374" s="14">
        <v>2</v>
      </c>
      <c r="N374" s="14">
        <f t="shared" si="35"/>
        <v>1</v>
      </c>
      <c r="O374" s="31" t="s">
        <v>170</v>
      </c>
      <c r="P374" s="14" t="s">
        <v>59</v>
      </c>
      <c r="Q374" s="15">
        <f t="shared" si="32"/>
        <v>511</v>
      </c>
    </row>
    <row r="375" spans="2:17" s="24" customFormat="1" ht="15.75" x14ac:dyDescent="0.25">
      <c r="B375" s="7" t="s">
        <v>765</v>
      </c>
      <c r="C375" s="22">
        <v>44852</v>
      </c>
      <c r="D375" s="9" t="s">
        <v>766</v>
      </c>
      <c r="E375" s="10" t="s">
        <v>22</v>
      </c>
      <c r="F375" s="18"/>
      <c r="G375" s="12">
        <v>511</v>
      </c>
      <c r="H375" s="13"/>
      <c r="I375" s="23">
        <v>44852</v>
      </c>
      <c r="J375" s="28">
        <v>3</v>
      </c>
      <c r="K375" s="15">
        <v>511</v>
      </c>
      <c r="L375" s="15">
        <f t="shared" si="34"/>
        <v>1533</v>
      </c>
      <c r="M375" s="14"/>
      <c r="N375" s="14">
        <f t="shared" si="35"/>
        <v>3</v>
      </c>
      <c r="O375" s="31" t="s">
        <v>170</v>
      </c>
      <c r="P375" s="14" t="s">
        <v>59</v>
      </c>
      <c r="Q375" s="15">
        <f t="shared" si="32"/>
        <v>1533</v>
      </c>
    </row>
    <row r="376" spans="2:17" s="24" customFormat="1" ht="15.75" x14ac:dyDescent="0.25">
      <c r="B376" s="7" t="s">
        <v>767</v>
      </c>
      <c r="C376" s="22">
        <v>44852</v>
      </c>
      <c r="D376" s="9" t="s">
        <v>768</v>
      </c>
      <c r="E376" s="10" t="s">
        <v>22</v>
      </c>
      <c r="F376" s="18"/>
      <c r="G376" s="12">
        <v>511</v>
      </c>
      <c r="H376" s="13"/>
      <c r="I376" s="23">
        <v>44852</v>
      </c>
      <c r="J376" s="28">
        <v>3</v>
      </c>
      <c r="K376" s="15">
        <v>511</v>
      </c>
      <c r="L376" s="15">
        <f t="shared" si="34"/>
        <v>1533</v>
      </c>
      <c r="M376" s="14">
        <v>2</v>
      </c>
      <c r="N376" s="14">
        <f t="shared" si="35"/>
        <v>1</v>
      </c>
      <c r="O376" s="31" t="s">
        <v>170</v>
      </c>
      <c r="P376" s="14" t="s">
        <v>59</v>
      </c>
      <c r="Q376" s="15">
        <f t="shared" si="32"/>
        <v>511</v>
      </c>
    </row>
    <row r="377" spans="2:17" s="24" customFormat="1" ht="15.75" x14ac:dyDescent="0.25">
      <c r="B377" s="7" t="s">
        <v>769</v>
      </c>
      <c r="C377" s="22">
        <v>44852</v>
      </c>
      <c r="D377" s="9" t="s">
        <v>770</v>
      </c>
      <c r="E377" s="10" t="s">
        <v>22</v>
      </c>
      <c r="F377" s="18"/>
      <c r="G377" s="12">
        <v>511</v>
      </c>
      <c r="H377" s="13"/>
      <c r="I377" s="23">
        <v>44852</v>
      </c>
      <c r="J377" s="28">
        <v>3</v>
      </c>
      <c r="K377" s="15">
        <v>511</v>
      </c>
      <c r="L377" s="15">
        <f t="shared" si="34"/>
        <v>1533</v>
      </c>
      <c r="M377" s="14">
        <v>1</v>
      </c>
      <c r="N377" s="14">
        <f t="shared" si="35"/>
        <v>2</v>
      </c>
      <c r="O377" s="31" t="s">
        <v>170</v>
      </c>
      <c r="P377" s="14" t="s">
        <v>59</v>
      </c>
      <c r="Q377" s="15">
        <f t="shared" si="32"/>
        <v>1022</v>
      </c>
    </row>
    <row r="378" spans="2:17" s="24" customFormat="1" ht="15.75" x14ac:dyDescent="0.25">
      <c r="B378" s="7" t="s">
        <v>771</v>
      </c>
      <c r="C378" s="22">
        <v>44852</v>
      </c>
      <c r="D378" s="9" t="s">
        <v>772</v>
      </c>
      <c r="E378" s="10" t="s">
        <v>22</v>
      </c>
      <c r="F378" s="18">
        <v>32</v>
      </c>
      <c r="G378" s="12">
        <v>3.32</v>
      </c>
      <c r="H378" s="13"/>
      <c r="I378" s="23">
        <v>44852</v>
      </c>
      <c r="J378" s="28">
        <v>20</v>
      </c>
      <c r="K378" s="15">
        <v>3.32</v>
      </c>
      <c r="L378" s="15">
        <f t="shared" si="34"/>
        <v>66.399999999999991</v>
      </c>
      <c r="M378" s="14"/>
      <c r="N378" s="14">
        <f t="shared" si="35"/>
        <v>52</v>
      </c>
      <c r="O378" s="31" t="s">
        <v>170</v>
      </c>
      <c r="P378" s="14" t="s">
        <v>59</v>
      </c>
      <c r="Q378" s="15">
        <f t="shared" si="32"/>
        <v>172.64</v>
      </c>
    </row>
    <row r="379" spans="2:17" s="24" customFormat="1" ht="15.75" x14ac:dyDescent="0.25">
      <c r="B379" s="7" t="s">
        <v>773</v>
      </c>
      <c r="C379" s="22">
        <v>44852</v>
      </c>
      <c r="D379" s="9" t="s">
        <v>774</v>
      </c>
      <c r="E379" s="10" t="s">
        <v>22</v>
      </c>
      <c r="F379" s="18"/>
      <c r="G379" s="12">
        <v>64.900000000000006</v>
      </c>
      <c r="H379" s="13"/>
      <c r="I379" s="23">
        <v>44852</v>
      </c>
      <c r="J379" s="28">
        <v>5</v>
      </c>
      <c r="K379" s="15">
        <v>64.900000000000006</v>
      </c>
      <c r="L379" s="15">
        <f t="shared" si="34"/>
        <v>324.5</v>
      </c>
      <c r="M379" s="14"/>
      <c r="N379" s="14">
        <f t="shared" si="35"/>
        <v>5</v>
      </c>
      <c r="O379" s="31" t="s">
        <v>170</v>
      </c>
      <c r="P379" s="14" t="s">
        <v>59</v>
      </c>
      <c r="Q379" s="15">
        <f t="shared" si="32"/>
        <v>324.5</v>
      </c>
    </row>
    <row r="380" spans="2:17" s="24" customFormat="1" ht="15.75" x14ac:dyDescent="0.25">
      <c r="B380" s="7" t="s">
        <v>773</v>
      </c>
      <c r="C380" s="22">
        <v>44852</v>
      </c>
      <c r="D380" s="9" t="s">
        <v>774</v>
      </c>
      <c r="E380" s="10" t="s">
        <v>22</v>
      </c>
      <c r="F380" s="18"/>
      <c r="G380" s="12">
        <v>64.900000000000006</v>
      </c>
      <c r="H380" s="13"/>
      <c r="I380" s="23">
        <v>44852</v>
      </c>
      <c r="J380" s="28">
        <v>5</v>
      </c>
      <c r="K380" s="15">
        <v>64.900000000000006</v>
      </c>
      <c r="L380" s="15">
        <f t="shared" si="34"/>
        <v>324.5</v>
      </c>
      <c r="M380" s="14"/>
      <c r="N380" s="14">
        <f t="shared" si="35"/>
        <v>5</v>
      </c>
      <c r="O380" s="31" t="s">
        <v>170</v>
      </c>
      <c r="P380" s="14" t="s">
        <v>59</v>
      </c>
      <c r="Q380" s="15">
        <f t="shared" si="32"/>
        <v>324.5</v>
      </c>
    </row>
    <row r="381" spans="2:17" s="24" customFormat="1" ht="15.75" x14ac:dyDescent="0.25">
      <c r="B381" s="7" t="s">
        <v>775</v>
      </c>
      <c r="C381" s="22">
        <v>44865</v>
      </c>
      <c r="D381" s="9" t="s">
        <v>776</v>
      </c>
      <c r="E381" s="10" t="s">
        <v>22</v>
      </c>
      <c r="F381" s="18"/>
      <c r="G381" s="12">
        <v>8720.2000000000007</v>
      </c>
      <c r="H381" s="13"/>
      <c r="I381" s="23">
        <v>44865</v>
      </c>
      <c r="J381" s="28">
        <v>6</v>
      </c>
      <c r="K381" s="15">
        <v>8720.2000000000007</v>
      </c>
      <c r="L381" s="15">
        <f t="shared" si="34"/>
        <v>52321.200000000004</v>
      </c>
      <c r="M381" s="14">
        <v>1</v>
      </c>
      <c r="N381" s="14">
        <f t="shared" si="35"/>
        <v>5</v>
      </c>
      <c r="O381" s="31" t="s">
        <v>777</v>
      </c>
      <c r="P381" s="14" t="s">
        <v>59</v>
      </c>
      <c r="Q381" s="15">
        <f t="shared" si="32"/>
        <v>43601</v>
      </c>
    </row>
    <row r="382" spans="2:17" s="24" customFormat="1" ht="15.75" x14ac:dyDescent="0.25">
      <c r="B382" s="7" t="s">
        <v>778</v>
      </c>
      <c r="C382" s="22">
        <v>44865</v>
      </c>
      <c r="D382" s="9" t="s">
        <v>779</v>
      </c>
      <c r="E382" s="10" t="s">
        <v>22</v>
      </c>
      <c r="F382" s="18"/>
      <c r="G382" s="12">
        <v>7729</v>
      </c>
      <c r="H382" s="13"/>
      <c r="I382" s="23">
        <v>44865</v>
      </c>
      <c r="J382" s="28">
        <v>5</v>
      </c>
      <c r="K382" s="15">
        <v>7729</v>
      </c>
      <c r="L382" s="15">
        <f t="shared" si="34"/>
        <v>38645</v>
      </c>
      <c r="M382" s="14"/>
      <c r="N382" s="14">
        <f t="shared" si="35"/>
        <v>5</v>
      </c>
      <c r="O382" s="31" t="s">
        <v>777</v>
      </c>
      <c r="P382" s="14" t="s">
        <v>59</v>
      </c>
      <c r="Q382" s="15">
        <f t="shared" si="32"/>
        <v>38645</v>
      </c>
    </row>
    <row r="383" spans="2:17" s="24" customFormat="1" ht="15.75" x14ac:dyDescent="0.25">
      <c r="B383" s="7" t="s">
        <v>780</v>
      </c>
      <c r="C383" s="22">
        <v>44865</v>
      </c>
      <c r="D383" s="9" t="s">
        <v>781</v>
      </c>
      <c r="E383" s="10" t="s">
        <v>22</v>
      </c>
      <c r="F383" s="18"/>
      <c r="G383" s="12">
        <v>4897</v>
      </c>
      <c r="H383" s="13"/>
      <c r="I383" s="23">
        <v>44865</v>
      </c>
      <c r="J383" s="28">
        <v>10</v>
      </c>
      <c r="K383" s="15">
        <v>4897</v>
      </c>
      <c r="L383" s="15">
        <f t="shared" si="34"/>
        <v>48970</v>
      </c>
      <c r="M383" s="14"/>
      <c r="N383" s="14">
        <f t="shared" si="35"/>
        <v>10</v>
      </c>
      <c r="O383" s="31" t="s">
        <v>777</v>
      </c>
      <c r="P383" s="14" t="s">
        <v>59</v>
      </c>
      <c r="Q383" s="15">
        <f t="shared" si="32"/>
        <v>48970</v>
      </c>
    </row>
    <row r="384" spans="2:17" s="24" customFormat="1" ht="15.75" x14ac:dyDescent="0.25">
      <c r="B384" s="7" t="s">
        <v>782</v>
      </c>
      <c r="C384" s="22">
        <v>44879</v>
      </c>
      <c r="D384" s="9" t="s">
        <v>783</v>
      </c>
      <c r="E384" s="10" t="s">
        <v>22</v>
      </c>
      <c r="F384" s="18"/>
      <c r="G384" s="12">
        <v>3717</v>
      </c>
      <c r="H384" s="13"/>
      <c r="I384" s="23">
        <v>44879</v>
      </c>
      <c r="J384" s="28">
        <v>10</v>
      </c>
      <c r="K384" s="15">
        <v>3717</v>
      </c>
      <c r="L384" s="15">
        <f>+K384*J384</f>
        <v>37170</v>
      </c>
      <c r="M384" s="14"/>
      <c r="N384" s="14">
        <f t="shared" si="35"/>
        <v>10</v>
      </c>
      <c r="O384" s="31"/>
      <c r="P384" s="14" t="s">
        <v>23</v>
      </c>
      <c r="Q384" s="15">
        <f t="shared" si="32"/>
        <v>37170</v>
      </c>
    </row>
    <row r="385" spans="2:17" s="24" customFormat="1" ht="15.75" x14ac:dyDescent="0.25">
      <c r="B385" s="7" t="s">
        <v>784</v>
      </c>
      <c r="C385" s="8"/>
      <c r="D385" s="9" t="s">
        <v>785</v>
      </c>
      <c r="E385" s="10" t="s">
        <v>22</v>
      </c>
      <c r="F385" s="18"/>
      <c r="G385" s="12"/>
      <c r="H385" s="13"/>
      <c r="I385" s="23"/>
      <c r="J385" s="28"/>
      <c r="K385" s="15"/>
      <c r="L385" s="15"/>
      <c r="M385" s="14">
        <v>1</v>
      </c>
      <c r="N385" s="14">
        <f t="shared" si="35"/>
        <v>-1</v>
      </c>
      <c r="O385" s="31"/>
      <c r="P385" s="14" t="s">
        <v>59</v>
      </c>
      <c r="Q385" s="15">
        <f t="shared" si="32"/>
        <v>0</v>
      </c>
    </row>
    <row r="386" spans="2:17" s="24" customFormat="1" ht="15.75" x14ac:dyDescent="0.25">
      <c r="B386" s="7" t="s">
        <v>786</v>
      </c>
      <c r="C386" s="8"/>
      <c r="D386" s="9" t="s">
        <v>787</v>
      </c>
      <c r="E386" s="10" t="s">
        <v>22</v>
      </c>
      <c r="F386" s="18"/>
      <c r="G386" s="12"/>
      <c r="H386" s="13"/>
      <c r="I386" s="23"/>
      <c r="J386" s="28"/>
      <c r="K386" s="15"/>
      <c r="L386" s="15"/>
      <c r="M386" s="14">
        <v>1</v>
      </c>
      <c r="N386" s="14">
        <f t="shared" si="35"/>
        <v>-1</v>
      </c>
      <c r="O386" s="31"/>
      <c r="P386" s="14" t="s">
        <v>59</v>
      </c>
      <c r="Q386" s="15">
        <f t="shared" si="32"/>
        <v>0</v>
      </c>
    </row>
    <row r="387" spans="2:17" s="24" customFormat="1" ht="15.75" x14ac:dyDescent="0.25">
      <c r="B387" s="7" t="s">
        <v>788</v>
      </c>
      <c r="C387" s="8"/>
      <c r="D387" s="9" t="s">
        <v>789</v>
      </c>
      <c r="E387" s="10" t="s">
        <v>22</v>
      </c>
      <c r="F387" s="18"/>
      <c r="G387" s="12"/>
      <c r="H387" s="13"/>
      <c r="I387" s="23"/>
      <c r="J387" s="28"/>
      <c r="K387" s="15"/>
      <c r="L387" s="15"/>
      <c r="M387" s="14">
        <v>1</v>
      </c>
      <c r="N387" s="14">
        <f t="shared" si="35"/>
        <v>-1</v>
      </c>
      <c r="O387" s="31"/>
      <c r="P387" s="14" t="s">
        <v>23</v>
      </c>
      <c r="Q387" s="15">
        <f t="shared" si="32"/>
        <v>0</v>
      </c>
    </row>
    <row r="388" spans="2:17" s="24" customFormat="1" ht="31.5" x14ac:dyDescent="0.25">
      <c r="B388" s="7" t="s">
        <v>790</v>
      </c>
      <c r="C388" s="22">
        <v>44903</v>
      </c>
      <c r="D388" s="9" t="s">
        <v>791</v>
      </c>
      <c r="E388" s="10" t="s">
        <v>22</v>
      </c>
      <c r="F388" s="18"/>
      <c r="G388" s="12">
        <v>81.13</v>
      </c>
      <c r="H388" s="13"/>
      <c r="I388" s="23">
        <v>44903</v>
      </c>
      <c r="J388" s="28">
        <v>360</v>
      </c>
      <c r="K388" s="15">
        <v>81.13</v>
      </c>
      <c r="L388" s="15">
        <f>+K388*J388</f>
        <v>29206.799999999999</v>
      </c>
      <c r="M388" s="14">
        <v>360</v>
      </c>
      <c r="N388" s="14">
        <f t="shared" si="35"/>
        <v>0</v>
      </c>
      <c r="O388" s="31" t="s">
        <v>517</v>
      </c>
      <c r="P388" s="14" t="s">
        <v>19</v>
      </c>
      <c r="Q388" s="15">
        <f t="shared" si="32"/>
        <v>0</v>
      </c>
    </row>
    <row r="389" spans="2:17" s="24" customFormat="1" ht="15.75" x14ac:dyDescent="0.25">
      <c r="B389" s="7" t="s">
        <v>792</v>
      </c>
      <c r="C389" s="22">
        <v>45019</v>
      </c>
      <c r="D389" s="9" t="s">
        <v>793</v>
      </c>
      <c r="E389" s="10" t="s">
        <v>22</v>
      </c>
      <c r="F389" s="18"/>
      <c r="G389" s="12">
        <v>81.13</v>
      </c>
      <c r="H389" s="13"/>
      <c r="I389" s="23">
        <v>45019</v>
      </c>
      <c r="J389" s="28">
        <f>90*6</f>
        <v>540</v>
      </c>
      <c r="K389" s="15">
        <v>117.02</v>
      </c>
      <c r="L389" s="15">
        <f t="shared" ref="L389:L424" si="36">+K389*J389</f>
        <v>63190.799999999996</v>
      </c>
      <c r="M389" s="14">
        <f>410+24+3+18</f>
        <v>455</v>
      </c>
      <c r="N389" s="14">
        <f t="shared" si="35"/>
        <v>85</v>
      </c>
      <c r="O389" s="31"/>
      <c r="P389" s="14" t="s">
        <v>19</v>
      </c>
      <c r="Q389" s="15">
        <f t="shared" si="32"/>
        <v>6896.0499999999993</v>
      </c>
    </row>
    <row r="390" spans="2:17" s="24" customFormat="1" ht="15.75" x14ac:dyDescent="0.25">
      <c r="B390" s="7" t="s">
        <v>794</v>
      </c>
      <c r="C390" s="22">
        <v>45019</v>
      </c>
      <c r="D390" s="9" t="s">
        <v>795</v>
      </c>
      <c r="E390" s="10" t="s">
        <v>22</v>
      </c>
      <c r="F390" s="18"/>
      <c r="G390" s="12">
        <v>454.3</v>
      </c>
      <c r="H390" s="13"/>
      <c r="I390" s="23">
        <v>45019</v>
      </c>
      <c r="J390" s="28">
        <f>80+15</f>
        <v>95</v>
      </c>
      <c r="K390" s="15">
        <v>454.3</v>
      </c>
      <c r="L390" s="15">
        <f t="shared" si="36"/>
        <v>43158.5</v>
      </c>
      <c r="M390" s="14">
        <f>4+1+1+1+2</f>
        <v>9</v>
      </c>
      <c r="N390" s="14">
        <f t="shared" si="35"/>
        <v>86</v>
      </c>
      <c r="O390" s="31"/>
      <c r="P390" s="14" t="s">
        <v>19</v>
      </c>
      <c r="Q390" s="15">
        <f t="shared" si="32"/>
        <v>39069.800000000003</v>
      </c>
    </row>
    <row r="391" spans="2:17" s="24" customFormat="1" ht="31.5" x14ac:dyDescent="0.25">
      <c r="B391" s="7" t="s">
        <v>796</v>
      </c>
      <c r="C391" s="22">
        <v>44903</v>
      </c>
      <c r="D391" s="9" t="s">
        <v>797</v>
      </c>
      <c r="E391" s="10" t="s">
        <v>22</v>
      </c>
      <c r="F391" s="18"/>
      <c r="G391" s="12">
        <v>116.53</v>
      </c>
      <c r="H391" s="13"/>
      <c r="I391" s="23">
        <v>44903</v>
      </c>
      <c r="J391" s="28">
        <f>20*4</f>
        <v>80</v>
      </c>
      <c r="K391" s="15">
        <v>116.53</v>
      </c>
      <c r="L391" s="15">
        <f t="shared" si="36"/>
        <v>9322.4</v>
      </c>
      <c r="M391" s="14">
        <f>9+1+2+4+1+44+1+1+1+1+1+3+1+2</f>
        <v>72</v>
      </c>
      <c r="N391" s="14">
        <f t="shared" si="35"/>
        <v>8</v>
      </c>
      <c r="O391" s="31" t="s">
        <v>517</v>
      </c>
      <c r="P391" s="14" t="s">
        <v>19</v>
      </c>
      <c r="Q391" s="15">
        <f t="shared" si="32"/>
        <v>932.24</v>
      </c>
    </row>
    <row r="392" spans="2:17" s="24" customFormat="1" ht="31.5" x14ac:dyDescent="0.25">
      <c r="B392" s="7" t="s">
        <v>798</v>
      </c>
      <c r="C392" s="22">
        <v>44903</v>
      </c>
      <c r="D392" s="9" t="s">
        <v>799</v>
      </c>
      <c r="E392" s="10" t="s">
        <v>22</v>
      </c>
      <c r="F392" s="18"/>
      <c r="G392" s="12">
        <v>101.33</v>
      </c>
      <c r="H392" s="13"/>
      <c r="I392" s="23">
        <v>44903</v>
      </c>
      <c r="J392" s="28">
        <f>2*12</f>
        <v>24</v>
      </c>
      <c r="K392" s="15">
        <v>101.33</v>
      </c>
      <c r="L392" s="15">
        <f t="shared" si="36"/>
        <v>2431.92</v>
      </c>
      <c r="M392" s="14">
        <v>24</v>
      </c>
      <c r="N392" s="14">
        <f t="shared" si="35"/>
        <v>0</v>
      </c>
      <c r="O392" s="31" t="s">
        <v>517</v>
      </c>
      <c r="P392" s="14" t="s">
        <v>19</v>
      </c>
      <c r="Q392" s="15">
        <f t="shared" si="32"/>
        <v>0</v>
      </c>
    </row>
    <row r="393" spans="2:17" s="24" customFormat="1" ht="31.5" x14ac:dyDescent="0.25">
      <c r="B393" s="7" t="s">
        <v>800</v>
      </c>
      <c r="C393" s="22">
        <v>44903</v>
      </c>
      <c r="D393" s="9" t="s">
        <v>801</v>
      </c>
      <c r="E393" s="10" t="s">
        <v>22</v>
      </c>
      <c r="F393" s="18"/>
      <c r="G393" s="12">
        <v>101.33</v>
      </c>
      <c r="H393" s="13"/>
      <c r="I393" s="23">
        <v>44903</v>
      </c>
      <c r="J393" s="28">
        <f>2*12</f>
        <v>24</v>
      </c>
      <c r="K393" s="15">
        <v>101.33</v>
      </c>
      <c r="L393" s="15">
        <f t="shared" si="36"/>
        <v>2431.92</v>
      </c>
      <c r="M393" s="14">
        <v>24</v>
      </c>
      <c r="N393" s="14">
        <f t="shared" si="35"/>
        <v>0</v>
      </c>
      <c r="O393" s="31" t="s">
        <v>517</v>
      </c>
      <c r="P393" s="14" t="s">
        <v>19</v>
      </c>
      <c r="Q393" s="15">
        <f t="shared" si="32"/>
        <v>0</v>
      </c>
    </row>
    <row r="394" spans="2:17" s="24" customFormat="1" ht="31.5" x14ac:dyDescent="0.25">
      <c r="B394" s="7" t="s">
        <v>802</v>
      </c>
      <c r="C394" s="22">
        <v>44903</v>
      </c>
      <c r="D394" s="9" t="s">
        <v>803</v>
      </c>
      <c r="E394" s="10" t="s">
        <v>22</v>
      </c>
      <c r="F394" s="18"/>
      <c r="G394" s="12">
        <v>79.010000000000005</v>
      </c>
      <c r="H394" s="13"/>
      <c r="I394" s="23">
        <v>44903</v>
      </c>
      <c r="J394" s="28">
        <v>24</v>
      </c>
      <c r="K394" s="15">
        <v>79.010000000000005</v>
      </c>
      <c r="L394" s="15">
        <f t="shared" si="36"/>
        <v>1896.2400000000002</v>
      </c>
      <c r="M394" s="14">
        <v>24</v>
      </c>
      <c r="N394" s="14">
        <f t="shared" si="35"/>
        <v>0</v>
      </c>
      <c r="O394" s="31" t="s">
        <v>517</v>
      </c>
      <c r="P394" s="14" t="s">
        <v>19</v>
      </c>
      <c r="Q394" s="15">
        <f t="shared" si="32"/>
        <v>0</v>
      </c>
    </row>
    <row r="395" spans="2:17" s="24" customFormat="1" ht="31.5" x14ac:dyDescent="0.25">
      <c r="B395" s="7" t="s">
        <v>804</v>
      </c>
      <c r="C395" s="22">
        <v>44903</v>
      </c>
      <c r="D395" s="9" t="s">
        <v>805</v>
      </c>
      <c r="E395" s="10" t="s">
        <v>22</v>
      </c>
      <c r="F395" s="18"/>
      <c r="G395" s="12">
        <v>67.7</v>
      </c>
      <c r="H395" s="13"/>
      <c r="I395" s="23">
        <v>44903</v>
      </c>
      <c r="J395" s="28">
        <v>24</v>
      </c>
      <c r="K395" s="15">
        <v>67.7</v>
      </c>
      <c r="L395" s="15">
        <f t="shared" si="36"/>
        <v>1624.8000000000002</v>
      </c>
      <c r="M395" s="14">
        <v>24</v>
      </c>
      <c r="N395" s="14">
        <f t="shared" si="35"/>
        <v>0</v>
      </c>
      <c r="O395" s="31" t="s">
        <v>517</v>
      </c>
      <c r="P395" s="14" t="s">
        <v>19</v>
      </c>
      <c r="Q395" s="15">
        <f t="shared" si="32"/>
        <v>0</v>
      </c>
    </row>
    <row r="396" spans="2:17" s="24" customFormat="1" ht="31.5" x14ac:dyDescent="0.25">
      <c r="B396" s="7" t="s">
        <v>806</v>
      </c>
      <c r="C396" s="22">
        <v>44903</v>
      </c>
      <c r="D396" s="9" t="s">
        <v>807</v>
      </c>
      <c r="E396" s="10" t="s">
        <v>22</v>
      </c>
      <c r="F396" s="18"/>
      <c r="G396" s="12">
        <v>195.83</v>
      </c>
      <c r="H396" s="13"/>
      <c r="I396" s="23">
        <v>44903</v>
      </c>
      <c r="J396" s="28">
        <v>24</v>
      </c>
      <c r="K396" s="15">
        <v>195.83</v>
      </c>
      <c r="L396" s="15">
        <f t="shared" si="36"/>
        <v>4699.92</v>
      </c>
      <c r="M396" s="14">
        <v>24</v>
      </c>
      <c r="N396" s="14">
        <f t="shared" si="35"/>
        <v>0</v>
      </c>
      <c r="O396" s="31" t="s">
        <v>517</v>
      </c>
      <c r="P396" s="14" t="s">
        <v>19</v>
      </c>
      <c r="Q396" s="15">
        <f t="shared" si="32"/>
        <v>0</v>
      </c>
    </row>
    <row r="397" spans="2:17" s="24" customFormat="1" ht="31.5" x14ac:dyDescent="0.25">
      <c r="B397" s="7" t="s">
        <v>808</v>
      </c>
      <c r="C397" s="22">
        <v>44903</v>
      </c>
      <c r="D397" s="9" t="s">
        <v>809</v>
      </c>
      <c r="E397" s="10" t="s">
        <v>22</v>
      </c>
      <c r="F397" s="18"/>
      <c r="G397" s="12">
        <v>126.8</v>
      </c>
      <c r="H397" s="13"/>
      <c r="I397" s="23">
        <v>44903</v>
      </c>
      <c r="J397" s="28">
        <v>24</v>
      </c>
      <c r="K397" s="15">
        <v>126.8</v>
      </c>
      <c r="L397" s="15">
        <f t="shared" si="36"/>
        <v>3043.2</v>
      </c>
      <c r="M397" s="14">
        <v>24</v>
      </c>
      <c r="N397" s="14">
        <f t="shared" si="35"/>
        <v>0</v>
      </c>
      <c r="O397" s="31" t="s">
        <v>517</v>
      </c>
      <c r="P397" s="14" t="s">
        <v>19</v>
      </c>
      <c r="Q397" s="15">
        <f t="shared" si="32"/>
        <v>0</v>
      </c>
    </row>
    <row r="398" spans="2:17" s="24" customFormat="1" ht="31.5" x14ac:dyDescent="0.25">
      <c r="B398" s="7" t="s">
        <v>810</v>
      </c>
      <c r="C398" s="22">
        <v>44903</v>
      </c>
      <c r="D398" s="9" t="s">
        <v>811</v>
      </c>
      <c r="E398" s="10" t="s">
        <v>22</v>
      </c>
      <c r="F398" s="18"/>
      <c r="G398" s="12">
        <v>129.85</v>
      </c>
      <c r="H398" s="13"/>
      <c r="I398" s="23">
        <v>44903</v>
      </c>
      <c r="J398" s="28">
        <v>24</v>
      </c>
      <c r="K398" s="15">
        <v>129.85</v>
      </c>
      <c r="L398" s="15">
        <f t="shared" si="36"/>
        <v>3116.3999999999996</v>
      </c>
      <c r="M398" s="14">
        <v>24</v>
      </c>
      <c r="N398" s="14">
        <f t="shared" si="35"/>
        <v>0</v>
      </c>
      <c r="O398" s="31" t="s">
        <v>517</v>
      </c>
      <c r="P398" s="14" t="s">
        <v>19</v>
      </c>
      <c r="Q398" s="15">
        <f t="shared" si="32"/>
        <v>0</v>
      </c>
    </row>
    <row r="399" spans="2:17" s="24" customFormat="1" ht="31.5" x14ac:dyDescent="0.25">
      <c r="B399" s="7" t="s">
        <v>812</v>
      </c>
      <c r="C399" s="22">
        <v>44903</v>
      </c>
      <c r="D399" s="9" t="s">
        <v>813</v>
      </c>
      <c r="E399" s="10" t="s">
        <v>22</v>
      </c>
      <c r="F399" s="18"/>
      <c r="G399" s="12">
        <v>1606.5</v>
      </c>
      <c r="H399" s="13"/>
      <c r="I399" s="23">
        <v>44903</v>
      </c>
      <c r="J399" s="28">
        <v>4</v>
      </c>
      <c r="K399" s="15">
        <v>1606.5</v>
      </c>
      <c r="L399" s="15">
        <f t="shared" si="36"/>
        <v>6426</v>
      </c>
      <c r="M399" s="14">
        <v>4</v>
      </c>
      <c r="N399" s="14">
        <f t="shared" si="35"/>
        <v>0</v>
      </c>
      <c r="O399" s="31" t="s">
        <v>517</v>
      </c>
      <c r="P399" s="14" t="s">
        <v>19</v>
      </c>
      <c r="Q399" s="15">
        <f t="shared" si="32"/>
        <v>0</v>
      </c>
    </row>
    <row r="400" spans="2:17" s="24" customFormat="1" ht="31.5" x14ac:dyDescent="0.25">
      <c r="B400" s="7" t="s">
        <v>814</v>
      </c>
      <c r="C400" s="22">
        <v>44903</v>
      </c>
      <c r="D400" s="9" t="s">
        <v>815</v>
      </c>
      <c r="E400" s="10" t="s">
        <v>22</v>
      </c>
      <c r="F400" s="18"/>
      <c r="G400" s="12">
        <v>134.13</v>
      </c>
      <c r="H400" s="13"/>
      <c r="I400" s="23">
        <v>44903</v>
      </c>
      <c r="J400" s="28">
        <v>24</v>
      </c>
      <c r="K400" s="15">
        <v>134.13</v>
      </c>
      <c r="L400" s="15">
        <f t="shared" si="36"/>
        <v>3219.12</v>
      </c>
      <c r="M400" s="14">
        <v>24</v>
      </c>
      <c r="N400" s="14">
        <f t="shared" si="35"/>
        <v>0</v>
      </c>
      <c r="O400" s="31" t="s">
        <v>517</v>
      </c>
      <c r="P400" s="14" t="s">
        <v>19</v>
      </c>
      <c r="Q400" s="15">
        <f t="shared" si="32"/>
        <v>0</v>
      </c>
    </row>
    <row r="401" spans="2:17" s="24" customFormat="1" ht="31.5" x14ac:dyDescent="0.25">
      <c r="B401" s="7" t="s">
        <v>816</v>
      </c>
      <c r="C401" s="22">
        <v>44903</v>
      </c>
      <c r="D401" s="9" t="s">
        <v>817</v>
      </c>
      <c r="E401" s="10" t="s">
        <v>22</v>
      </c>
      <c r="F401" s="18"/>
      <c r="G401" s="12">
        <v>147.35</v>
      </c>
      <c r="H401" s="13"/>
      <c r="I401" s="23">
        <v>44903</v>
      </c>
      <c r="J401" s="28">
        <v>24</v>
      </c>
      <c r="K401" s="15">
        <v>147.35</v>
      </c>
      <c r="L401" s="15">
        <f t="shared" si="36"/>
        <v>3536.3999999999996</v>
      </c>
      <c r="M401" s="14">
        <v>24</v>
      </c>
      <c r="N401" s="14">
        <f t="shared" si="35"/>
        <v>0</v>
      </c>
      <c r="O401" s="31" t="s">
        <v>517</v>
      </c>
      <c r="P401" s="14" t="s">
        <v>19</v>
      </c>
      <c r="Q401" s="15">
        <f t="shared" si="32"/>
        <v>0</v>
      </c>
    </row>
    <row r="402" spans="2:17" s="24" customFormat="1" ht="31.5" x14ac:dyDescent="0.25">
      <c r="B402" s="7" t="s">
        <v>818</v>
      </c>
      <c r="C402" s="22">
        <v>44903</v>
      </c>
      <c r="D402" s="9" t="s">
        <v>819</v>
      </c>
      <c r="E402" s="10" t="s">
        <v>22</v>
      </c>
      <c r="F402" s="18"/>
      <c r="G402" s="12">
        <v>1100.5</v>
      </c>
      <c r="H402" s="13"/>
      <c r="I402" s="23">
        <v>44903</v>
      </c>
      <c r="J402" s="28">
        <v>2</v>
      </c>
      <c r="K402" s="15">
        <v>1100.5</v>
      </c>
      <c r="L402" s="15">
        <f t="shared" si="36"/>
        <v>2201</v>
      </c>
      <c r="M402" s="14">
        <v>2</v>
      </c>
      <c r="N402" s="14">
        <f t="shared" si="35"/>
        <v>0</v>
      </c>
      <c r="O402" s="31" t="s">
        <v>517</v>
      </c>
      <c r="P402" s="14" t="s">
        <v>19</v>
      </c>
      <c r="Q402" s="15">
        <f t="shared" si="32"/>
        <v>0</v>
      </c>
    </row>
    <row r="403" spans="2:17" s="24" customFormat="1" ht="15.75" x14ac:dyDescent="0.25">
      <c r="B403" s="7" t="s">
        <v>820</v>
      </c>
      <c r="C403" s="8"/>
      <c r="D403" s="9" t="s">
        <v>821</v>
      </c>
      <c r="E403" s="10" t="s">
        <v>22</v>
      </c>
      <c r="F403" s="18"/>
      <c r="G403" s="12"/>
      <c r="H403" s="13"/>
      <c r="I403" s="23"/>
      <c r="J403" s="28"/>
      <c r="K403" s="15"/>
      <c r="L403" s="15">
        <f t="shared" si="36"/>
        <v>0</v>
      </c>
      <c r="M403" s="14">
        <v>22</v>
      </c>
      <c r="N403" s="14">
        <f t="shared" si="35"/>
        <v>-22</v>
      </c>
      <c r="O403" s="31"/>
      <c r="P403" s="14" t="s">
        <v>23</v>
      </c>
      <c r="Q403" s="15">
        <f t="shared" si="32"/>
        <v>0</v>
      </c>
    </row>
    <row r="404" spans="2:17" s="24" customFormat="1" ht="31.5" x14ac:dyDescent="0.25">
      <c r="B404" s="7" t="s">
        <v>822</v>
      </c>
      <c r="C404" s="8">
        <v>45020</v>
      </c>
      <c r="D404" s="9" t="s">
        <v>823</v>
      </c>
      <c r="E404" s="10" t="s">
        <v>22</v>
      </c>
      <c r="F404" s="25">
        <v>50</v>
      </c>
      <c r="G404" s="12"/>
      <c r="H404" s="13"/>
      <c r="I404" s="23"/>
      <c r="J404" s="28"/>
      <c r="K404" s="15"/>
      <c r="L404" s="15">
        <f t="shared" si="36"/>
        <v>0</v>
      </c>
      <c r="M404" s="14">
        <v>5</v>
      </c>
      <c r="N404" s="14">
        <f t="shared" si="35"/>
        <v>45</v>
      </c>
      <c r="O404" s="31" t="s">
        <v>824</v>
      </c>
      <c r="P404" s="14" t="s">
        <v>23</v>
      </c>
      <c r="Q404" s="15">
        <f t="shared" si="32"/>
        <v>0</v>
      </c>
    </row>
    <row r="405" spans="2:17" s="24" customFormat="1" ht="31.5" x14ac:dyDescent="0.25">
      <c r="B405" s="7" t="s">
        <v>825</v>
      </c>
      <c r="C405" s="8">
        <v>45020</v>
      </c>
      <c r="D405" s="9" t="s">
        <v>826</v>
      </c>
      <c r="E405" s="10"/>
      <c r="F405" s="25"/>
      <c r="G405" s="12"/>
      <c r="H405" s="13"/>
      <c r="I405" s="23"/>
      <c r="J405" s="28"/>
      <c r="K405" s="15"/>
      <c r="L405" s="15">
        <f t="shared" si="36"/>
        <v>0</v>
      </c>
      <c r="M405" s="14"/>
      <c r="N405" s="14">
        <f t="shared" si="35"/>
        <v>0</v>
      </c>
      <c r="O405" s="31" t="s">
        <v>824</v>
      </c>
      <c r="P405" s="14" t="s">
        <v>23</v>
      </c>
      <c r="Q405" s="15">
        <f t="shared" si="32"/>
        <v>0</v>
      </c>
    </row>
    <row r="406" spans="2:17" s="24" customFormat="1" ht="31.5" x14ac:dyDescent="0.25">
      <c r="B406" s="7" t="s">
        <v>827</v>
      </c>
      <c r="C406" s="8">
        <v>45020</v>
      </c>
      <c r="D406" s="9" t="s">
        <v>828</v>
      </c>
      <c r="E406" s="10" t="s">
        <v>22</v>
      </c>
      <c r="F406" s="25">
        <v>40</v>
      </c>
      <c r="G406" s="12">
        <v>17.7</v>
      </c>
      <c r="H406" s="13"/>
      <c r="I406" s="8">
        <v>45020</v>
      </c>
      <c r="J406" s="28">
        <v>40</v>
      </c>
      <c r="K406" s="15">
        <v>17.7</v>
      </c>
      <c r="L406" s="15">
        <f t="shared" si="36"/>
        <v>708</v>
      </c>
      <c r="M406" s="14"/>
      <c r="N406" s="14">
        <v>76</v>
      </c>
      <c r="O406" s="31" t="s">
        <v>824</v>
      </c>
      <c r="P406" s="14" t="s">
        <v>23</v>
      </c>
      <c r="Q406" s="15">
        <f t="shared" si="32"/>
        <v>1345.2</v>
      </c>
    </row>
    <row r="407" spans="2:17" s="24" customFormat="1" ht="15.75" x14ac:dyDescent="0.25">
      <c r="B407" s="7" t="s">
        <v>829</v>
      </c>
      <c r="C407" s="8">
        <v>45020</v>
      </c>
      <c r="D407" s="9" t="s">
        <v>830</v>
      </c>
      <c r="E407" s="10" t="s">
        <v>22</v>
      </c>
      <c r="F407" s="25">
        <v>10</v>
      </c>
      <c r="G407" s="12">
        <v>206.61</v>
      </c>
      <c r="H407" s="13"/>
      <c r="I407" s="8">
        <v>45020</v>
      </c>
      <c r="J407" s="28">
        <v>10</v>
      </c>
      <c r="K407" s="15">
        <v>206.61</v>
      </c>
      <c r="L407" s="15">
        <f t="shared" si="36"/>
        <v>2066.1000000000004</v>
      </c>
      <c r="M407" s="14"/>
      <c r="N407" s="14">
        <f t="shared" si="35"/>
        <v>20</v>
      </c>
      <c r="O407" s="31"/>
      <c r="P407" s="14" t="s">
        <v>23</v>
      </c>
      <c r="Q407" s="15">
        <f t="shared" si="32"/>
        <v>4132.2000000000007</v>
      </c>
    </row>
    <row r="408" spans="2:17" s="24" customFormat="1" ht="15.75" x14ac:dyDescent="0.25">
      <c r="B408" s="7" t="s">
        <v>831</v>
      </c>
      <c r="C408" s="8">
        <v>45020</v>
      </c>
      <c r="D408" s="9" t="s">
        <v>832</v>
      </c>
      <c r="E408" s="10" t="s">
        <v>22</v>
      </c>
      <c r="F408" s="25">
        <v>10</v>
      </c>
      <c r="G408" s="12">
        <v>377.6</v>
      </c>
      <c r="H408" s="13"/>
      <c r="I408" s="8">
        <v>45020</v>
      </c>
      <c r="J408" s="28">
        <v>10</v>
      </c>
      <c r="K408" s="15">
        <v>377.6</v>
      </c>
      <c r="L408" s="15">
        <f t="shared" si="36"/>
        <v>3776</v>
      </c>
      <c r="M408" s="14"/>
      <c r="N408" s="14">
        <f t="shared" si="35"/>
        <v>20</v>
      </c>
      <c r="O408" s="31"/>
      <c r="P408" s="14" t="s">
        <v>23</v>
      </c>
      <c r="Q408" s="15">
        <f t="shared" si="32"/>
        <v>7552</v>
      </c>
    </row>
    <row r="409" spans="2:17" s="24" customFormat="1" ht="15.75" x14ac:dyDescent="0.25">
      <c r="B409" s="7" t="s">
        <v>833</v>
      </c>
      <c r="C409" s="8">
        <v>45020</v>
      </c>
      <c r="D409" s="9" t="s">
        <v>834</v>
      </c>
      <c r="E409" s="10" t="s">
        <v>22</v>
      </c>
      <c r="F409" s="25">
        <v>10</v>
      </c>
      <c r="G409" s="12">
        <v>2619.6</v>
      </c>
      <c r="H409" s="13"/>
      <c r="I409" s="8">
        <v>45020</v>
      </c>
      <c r="J409" s="28">
        <v>10</v>
      </c>
      <c r="K409" s="15">
        <v>2619.6</v>
      </c>
      <c r="L409" s="15">
        <f t="shared" si="36"/>
        <v>26196</v>
      </c>
      <c r="M409" s="14"/>
      <c r="N409" s="14">
        <f t="shared" si="35"/>
        <v>20</v>
      </c>
      <c r="O409" s="31"/>
      <c r="P409" s="14" t="s">
        <v>23</v>
      </c>
      <c r="Q409" s="15">
        <f t="shared" ref="Q409:Q439" si="37">+G409*N409</f>
        <v>52392</v>
      </c>
    </row>
    <row r="410" spans="2:17" s="24" customFormat="1" ht="15.75" x14ac:dyDescent="0.25">
      <c r="B410" s="7" t="s">
        <v>835</v>
      </c>
      <c r="C410" s="8">
        <v>45020</v>
      </c>
      <c r="D410" s="9" t="s">
        <v>836</v>
      </c>
      <c r="E410" s="10" t="s">
        <v>22</v>
      </c>
      <c r="F410" s="25">
        <v>5</v>
      </c>
      <c r="G410" s="12">
        <v>354</v>
      </c>
      <c r="H410" s="13"/>
      <c r="I410" s="8">
        <v>45020</v>
      </c>
      <c r="J410" s="28">
        <v>5</v>
      </c>
      <c r="K410" s="15">
        <v>354</v>
      </c>
      <c r="L410" s="15">
        <f t="shared" si="36"/>
        <v>1770</v>
      </c>
      <c r="M410" s="14"/>
      <c r="N410" s="14">
        <f t="shared" si="35"/>
        <v>10</v>
      </c>
      <c r="O410" s="31"/>
      <c r="P410" s="14" t="s">
        <v>23</v>
      </c>
      <c r="Q410" s="15">
        <f t="shared" si="37"/>
        <v>3540</v>
      </c>
    </row>
    <row r="411" spans="2:17" s="24" customFormat="1" ht="15.75" x14ac:dyDescent="0.25">
      <c r="B411" s="7" t="s">
        <v>837</v>
      </c>
      <c r="C411" s="8">
        <v>45020</v>
      </c>
      <c r="D411" s="9" t="s">
        <v>838</v>
      </c>
      <c r="E411" s="10" t="s">
        <v>22</v>
      </c>
      <c r="F411" s="25">
        <v>12</v>
      </c>
      <c r="G411" s="12">
        <v>1829</v>
      </c>
      <c r="H411" s="13"/>
      <c r="I411" s="8">
        <v>45020</v>
      </c>
      <c r="J411" s="28">
        <v>12</v>
      </c>
      <c r="K411" s="15">
        <v>1829</v>
      </c>
      <c r="L411" s="15">
        <f t="shared" si="36"/>
        <v>21948</v>
      </c>
      <c r="M411" s="14"/>
      <c r="N411" s="14">
        <f t="shared" si="35"/>
        <v>24</v>
      </c>
      <c r="O411" s="31"/>
      <c r="P411" s="14" t="s">
        <v>23</v>
      </c>
      <c r="Q411" s="15">
        <f t="shared" si="37"/>
        <v>43896</v>
      </c>
    </row>
    <row r="412" spans="2:17" s="24" customFormat="1" ht="15.75" x14ac:dyDescent="0.25">
      <c r="B412" s="7" t="s">
        <v>839</v>
      </c>
      <c r="C412" s="8">
        <v>45020</v>
      </c>
      <c r="D412" s="9" t="s">
        <v>840</v>
      </c>
      <c r="E412" s="10" t="s">
        <v>22</v>
      </c>
      <c r="F412" s="25">
        <v>3</v>
      </c>
      <c r="G412" s="12">
        <v>4543</v>
      </c>
      <c r="H412" s="13"/>
      <c r="I412" s="8">
        <v>45020</v>
      </c>
      <c r="J412" s="28">
        <v>3</v>
      </c>
      <c r="K412" s="15">
        <v>4543</v>
      </c>
      <c r="L412" s="15">
        <f t="shared" si="36"/>
        <v>13629</v>
      </c>
      <c r="M412" s="14"/>
      <c r="N412" s="14">
        <f t="shared" si="35"/>
        <v>6</v>
      </c>
      <c r="O412" s="31"/>
      <c r="P412" s="14" t="s">
        <v>23</v>
      </c>
      <c r="Q412" s="15">
        <f t="shared" si="37"/>
        <v>27258</v>
      </c>
    </row>
    <row r="413" spans="2:17" s="24" customFormat="1" ht="15.75" x14ac:dyDescent="0.25">
      <c r="B413" s="7" t="s">
        <v>841</v>
      </c>
      <c r="C413" s="8">
        <v>45020</v>
      </c>
      <c r="D413" s="9" t="s">
        <v>842</v>
      </c>
      <c r="E413" s="10" t="s">
        <v>22</v>
      </c>
      <c r="F413" s="25">
        <v>10</v>
      </c>
      <c r="G413" s="12">
        <v>153.4</v>
      </c>
      <c r="H413" s="13"/>
      <c r="I413" s="8">
        <v>45020</v>
      </c>
      <c r="J413" s="28">
        <v>10</v>
      </c>
      <c r="K413" s="15">
        <v>153.4</v>
      </c>
      <c r="L413" s="15">
        <f t="shared" si="36"/>
        <v>1534</v>
      </c>
      <c r="M413" s="14"/>
      <c r="N413" s="14">
        <f t="shared" si="35"/>
        <v>20</v>
      </c>
      <c r="O413" s="31"/>
      <c r="P413" s="14" t="s">
        <v>23</v>
      </c>
      <c r="Q413" s="15">
        <f t="shared" si="37"/>
        <v>3068</v>
      </c>
    </row>
    <row r="414" spans="2:17" s="24" customFormat="1" ht="15.75" x14ac:dyDescent="0.25">
      <c r="B414" s="7" t="s">
        <v>843</v>
      </c>
      <c r="C414" s="8">
        <v>45020</v>
      </c>
      <c r="D414" s="9" t="s">
        <v>844</v>
      </c>
      <c r="E414" s="10" t="s">
        <v>22</v>
      </c>
      <c r="F414" s="25">
        <v>3</v>
      </c>
      <c r="G414" s="12">
        <v>4425</v>
      </c>
      <c r="H414" s="13"/>
      <c r="I414" s="8">
        <v>45020</v>
      </c>
      <c r="J414" s="28">
        <v>3</v>
      </c>
      <c r="K414" s="15">
        <v>4425</v>
      </c>
      <c r="L414" s="15">
        <f t="shared" si="36"/>
        <v>13275</v>
      </c>
      <c r="M414" s="14">
        <v>3</v>
      </c>
      <c r="N414" s="14">
        <f t="shared" si="35"/>
        <v>3</v>
      </c>
      <c r="O414" s="31"/>
      <c r="P414" s="14" t="s">
        <v>19</v>
      </c>
      <c r="Q414" s="15">
        <f t="shared" si="37"/>
        <v>13275</v>
      </c>
    </row>
    <row r="415" spans="2:17" s="24" customFormat="1" ht="15.75" x14ac:dyDescent="0.25">
      <c r="B415" s="7" t="s">
        <v>845</v>
      </c>
      <c r="C415" s="8">
        <v>45020</v>
      </c>
      <c r="D415" s="9" t="s">
        <v>846</v>
      </c>
      <c r="E415" s="10" t="s">
        <v>22</v>
      </c>
      <c r="F415" s="25">
        <v>10</v>
      </c>
      <c r="G415" s="12">
        <v>276.12</v>
      </c>
      <c r="H415" s="13"/>
      <c r="I415" s="8">
        <v>45020</v>
      </c>
      <c r="J415" s="28">
        <v>10</v>
      </c>
      <c r="K415" s="15">
        <v>276.12</v>
      </c>
      <c r="L415" s="15">
        <f t="shared" si="36"/>
        <v>2761.2</v>
      </c>
      <c r="M415" s="14"/>
      <c r="N415" s="14">
        <f t="shared" si="35"/>
        <v>20</v>
      </c>
      <c r="O415" s="31"/>
      <c r="P415" s="14" t="s">
        <v>23</v>
      </c>
      <c r="Q415" s="15">
        <f t="shared" si="37"/>
        <v>5522.4</v>
      </c>
    </row>
    <row r="416" spans="2:17" s="24" customFormat="1" ht="15.75" x14ac:dyDescent="0.25">
      <c r="B416" s="7" t="s">
        <v>847</v>
      </c>
      <c r="C416" s="8">
        <v>45020</v>
      </c>
      <c r="D416" s="9" t="s">
        <v>848</v>
      </c>
      <c r="E416" s="10" t="s">
        <v>22</v>
      </c>
      <c r="F416" s="25">
        <v>10</v>
      </c>
      <c r="G416" s="12">
        <v>348.1</v>
      </c>
      <c r="H416" s="13"/>
      <c r="I416" s="8">
        <v>45020</v>
      </c>
      <c r="J416" s="28">
        <v>10</v>
      </c>
      <c r="K416" s="15">
        <v>348.1</v>
      </c>
      <c r="L416" s="15">
        <f t="shared" si="36"/>
        <v>3481</v>
      </c>
      <c r="M416" s="14"/>
      <c r="N416" s="14">
        <f t="shared" si="35"/>
        <v>20</v>
      </c>
      <c r="O416" s="31"/>
      <c r="P416" s="14" t="s">
        <v>23</v>
      </c>
      <c r="Q416" s="15">
        <f t="shared" si="37"/>
        <v>6962</v>
      </c>
    </row>
    <row r="417" spans="2:17" s="24" customFormat="1" ht="15.75" x14ac:dyDescent="0.25">
      <c r="B417" s="7" t="s">
        <v>849</v>
      </c>
      <c r="C417" s="8">
        <v>45020</v>
      </c>
      <c r="D417" s="9" t="s">
        <v>850</v>
      </c>
      <c r="E417" s="10" t="s">
        <v>22</v>
      </c>
      <c r="F417" s="25">
        <v>12</v>
      </c>
      <c r="G417" s="12">
        <v>165.16</v>
      </c>
      <c r="H417" s="13"/>
      <c r="I417" s="8">
        <v>45020</v>
      </c>
      <c r="J417" s="28">
        <v>12</v>
      </c>
      <c r="K417" s="15">
        <v>165.16</v>
      </c>
      <c r="L417" s="15">
        <f t="shared" si="36"/>
        <v>1981.92</v>
      </c>
      <c r="M417" s="14"/>
      <c r="N417" s="14">
        <f t="shared" si="35"/>
        <v>24</v>
      </c>
      <c r="O417" s="31"/>
      <c r="P417" s="14" t="s">
        <v>23</v>
      </c>
      <c r="Q417" s="15">
        <f t="shared" si="37"/>
        <v>3963.84</v>
      </c>
    </row>
    <row r="418" spans="2:17" s="24" customFormat="1" ht="15.75" x14ac:dyDescent="0.25">
      <c r="B418" s="7" t="s">
        <v>851</v>
      </c>
      <c r="C418" s="8">
        <v>45020</v>
      </c>
      <c r="D418" s="9" t="s">
        <v>852</v>
      </c>
      <c r="E418" s="10" t="s">
        <v>22</v>
      </c>
      <c r="F418" s="25">
        <v>1</v>
      </c>
      <c r="G418" s="12">
        <v>48675</v>
      </c>
      <c r="H418" s="13"/>
      <c r="I418" s="8">
        <v>45020</v>
      </c>
      <c r="J418" s="28">
        <v>1</v>
      </c>
      <c r="K418" s="15">
        <v>48675</v>
      </c>
      <c r="L418" s="15">
        <f t="shared" si="36"/>
        <v>48675</v>
      </c>
      <c r="M418" s="14"/>
      <c r="N418" s="14">
        <f t="shared" si="35"/>
        <v>2</v>
      </c>
      <c r="O418" s="31"/>
      <c r="P418" s="14" t="s">
        <v>23</v>
      </c>
      <c r="Q418" s="15">
        <f t="shared" si="37"/>
        <v>97350</v>
      </c>
    </row>
    <row r="419" spans="2:17" s="24" customFormat="1" ht="15.75" x14ac:dyDescent="0.25">
      <c r="B419" s="7" t="s">
        <v>853</v>
      </c>
      <c r="C419" s="8">
        <v>45020</v>
      </c>
      <c r="D419" s="9" t="s">
        <v>854</v>
      </c>
      <c r="E419" s="10" t="s">
        <v>22</v>
      </c>
      <c r="F419" s="25">
        <v>1</v>
      </c>
      <c r="G419" s="12">
        <v>67571.820000000007</v>
      </c>
      <c r="H419" s="13"/>
      <c r="I419" s="8">
        <v>45020</v>
      </c>
      <c r="J419" s="28">
        <v>1</v>
      </c>
      <c r="K419" s="15">
        <v>67571.820000000007</v>
      </c>
      <c r="L419" s="15">
        <f t="shared" si="36"/>
        <v>67571.820000000007</v>
      </c>
      <c r="M419" s="14"/>
      <c r="N419" s="14">
        <f t="shared" si="35"/>
        <v>2</v>
      </c>
      <c r="O419" s="31"/>
      <c r="P419" s="14" t="s">
        <v>23</v>
      </c>
      <c r="Q419" s="15">
        <f t="shared" si="37"/>
        <v>135143.64000000001</v>
      </c>
    </row>
    <row r="420" spans="2:17" s="24" customFormat="1" ht="15.75" x14ac:dyDescent="0.25">
      <c r="B420" s="7" t="s">
        <v>855</v>
      </c>
      <c r="C420" s="8">
        <v>45020</v>
      </c>
      <c r="D420" s="9" t="s">
        <v>856</v>
      </c>
      <c r="E420" s="10" t="s">
        <v>22</v>
      </c>
      <c r="F420" s="25">
        <v>15</v>
      </c>
      <c r="G420" s="12">
        <v>873.2</v>
      </c>
      <c r="H420" s="13"/>
      <c r="I420" s="8">
        <v>45020</v>
      </c>
      <c r="J420" s="28">
        <v>15</v>
      </c>
      <c r="K420" s="15">
        <v>873.2</v>
      </c>
      <c r="L420" s="15">
        <f t="shared" si="36"/>
        <v>13098</v>
      </c>
      <c r="M420" s="14"/>
      <c r="N420" s="14">
        <f t="shared" si="35"/>
        <v>30</v>
      </c>
      <c r="O420" s="31"/>
      <c r="P420" s="14" t="s">
        <v>23</v>
      </c>
      <c r="Q420" s="15">
        <f t="shared" si="37"/>
        <v>26196</v>
      </c>
    </row>
    <row r="421" spans="2:17" s="24" customFormat="1" ht="15.75" x14ac:dyDescent="0.25">
      <c r="B421" s="7" t="s">
        <v>857</v>
      </c>
      <c r="C421" s="8">
        <v>45020</v>
      </c>
      <c r="D421" s="9" t="s">
        <v>858</v>
      </c>
      <c r="E421" s="10" t="s">
        <v>22</v>
      </c>
      <c r="F421" s="18">
        <v>20</v>
      </c>
      <c r="G421" s="12">
        <v>324.5</v>
      </c>
      <c r="H421" s="13"/>
      <c r="I421" s="8">
        <v>45020</v>
      </c>
      <c r="J421" s="28">
        <v>20</v>
      </c>
      <c r="K421" s="15">
        <v>324.5</v>
      </c>
      <c r="L421" s="15">
        <f t="shared" si="36"/>
        <v>6490</v>
      </c>
      <c r="M421" s="14"/>
      <c r="N421" s="14">
        <f t="shared" si="35"/>
        <v>40</v>
      </c>
      <c r="O421" s="31"/>
      <c r="P421" s="14" t="s">
        <v>23</v>
      </c>
      <c r="Q421" s="15">
        <f t="shared" si="37"/>
        <v>12980</v>
      </c>
    </row>
    <row r="422" spans="2:17" s="24" customFormat="1" ht="15.75" x14ac:dyDescent="0.25">
      <c r="B422" s="7" t="s">
        <v>859</v>
      </c>
      <c r="C422" s="8">
        <v>45020</v>
      </c>
      <c r="D422" s="9" t="s">
        <v>860</v>
      </c>
      <c r="E422" s="10" t="s">
        <v>22</v>
      </c>
      <c r="F422" s="18">
        <v>300</v>
      </c>
      <c r="G422" s="12">
        <v>3.48</v>
      </c>
      <c r="H422" s="13"/>
      <c r="I422" s="8">
        <v>45020</v>
      </c>
      <c r="J422" s="28">
        <v>300</v>
      </c>
      <c r="K422" s="15">
        <v>3.48</v>
      </c>
      <c r="L422" s="15">
        <f t="shared" si="36"/>
        <v>1044</v>
      </c>
      <c r="M422" s="14"/>
      <c r="N422" s="14">
        <f t="shared" si="35"/>
        <v>600</v>
      </c>
      <c r="O422" s="31"/>
      <c r="P422" s="14" t="s">
        <v>23</v>
      </c>
      <c r="Q422" s="15">
        <f t="shared" si="37"/>
        <v>2088</v>
      </c>
    </row>
    <row r="423" spans="2:17" s="24" customFormat="1" ht="15.75" x14ac:dyDescent="0.25">
      <c r="B423" s="7" t="s">
        <v>861</v>
      </c>
      <c r="C423" s="8">
        <v>45020</v>
      </c>
      <c r="D423" s="9" t="s">
        <v>862</v>
      </c>
      <c r="E423" s="10" t="s">
        <v>22</v>
      </c>
      <c r="F423" s="18">
        <v>3</v>
      </c>
      <c r="G423" s="12">
        <v>1062</v>
      </c>
      <c r="H423" s="13"/>
      <c r="I423" s="8">
        <v>45020</v>
      </c>
      <c r="J423" s="28">
        <v>3</v>
      </c>
      <c r="K423" s="35">
        <v>1062</v>
      </c>
      <c r="L423" s="15">
        <f t="shared" si="36"/>
        <v>3186</v>
      </c>
      <c r="M423" s="14"/>
      <c r="N423" s="14">
        <f t="shared" si="35"/>
        <v>6</v>
      </c>
      <c r="O423" s="31"/>
      <c r="P423" s="14" t="s">
        <v>23</v>
      </c>
      <c r="Q423" s="15">
        <f t="shared" si="37"/>
        <v>6372</v>
      </c>
    </row>
    <row r="424" spans="2:17" s="24" customFormat="1" ht="15.75" x14ac:dyDescent="0.25">
      <c r="B424" s="7" t="s">
        <v>863</v>
      </c>
      <c r="C424" s="8">
        <v>45020</v>
      </c>
      <c r="D424" s="9" t="s">
        <v>864</v>
      </c>
      <c r="E424" s="10" t="s">
        <v>22</v>
      </c>
      <c r="F424" s="18">
        <v>7</v>
      </c>
      <c r="G424" s="12">
        <v>1298</v>
      </c>
      <c r="H424" s="13"/>
      <c r="I424" s="8">
        <v>45020</v>
      </c>
      <c r="J424" s="28">
        <v>7</v>
      </c>
      <c r="K424" s="35">
        <v>1298</v>
      </c>
      <c r="L424" s="15">
        <f t="shared" si="36"/>
        <v>9086</v>
      </c>
      <c r="M424" s="14"/>
      <c r="N424" s="14">
        <f t="shared" si="35"/>
        <v>14</v>
      </c>
      <c r="O424" s="31"/>
      <c r="P424" s="14" t="s">
        <v>23</v>
      </c>
      <c r="Q424" s="15">
        <f t="shared" si="37"/>
        <v>18172</v>
      </c>
    </row>
    <row r="425" spans="2:17" s="24" customFormat="1" ht="15.75" x14ac:dyDescent="0.25">
      <c r="B425" s="7" t="s">
        <v>865</v>
      </c>
      <c r="C425" s="8">
        <v>45019</v>
      </c>
      <c r="D425" s="9" t="s">
        <v>866</v>
      </c>
      <c r="E425" s="10" t="s">
        <v>867</v>
      </c>
      <c r="F425" s="18"/>
      <c r="G425" s="12">
        <v>3540</v>
      </c>
      <c r="H425" s="13"/>
      <c r="I425" s="8">
        <v>45019</v>
      </c>
      <c r="J425" s="28">
        <v>15</v>
      </c>
      <c r="K425" s="35">
        <v>3540</v>
      </c>
      <c r="L425" s="15">
        <f>+K425*J425</f>
        <v>53100</v>
      </c>
      <c r="M425" s="14">
        <v>1</v>
      </c>
      <c r="N425" s="14">
        <f t="shared" si="35"/>
        <v>14</v>
      </c>
      <c r="O425" s="31"/>
      <c r="P425" s="14" t="s">
        <v>19</v>
      </c>
      <c r="Q425" s="15">
        <f>+G425*N425</f>
        <v>49560</v>
      </c>
    </row>
    <row r="426" spans="2:17" s="24" customFormat="1" ht="15.75" x14ac:dyDescent="0.25">
      <c r="B426" s="7" t="s">
        <v>868</v>
      </c>
      <c r="C426" s="8">
        <v>45019</v>
      </c>
      <c r="D426" s="9" t="s">
        <v>869</v>
      </c>
      <c r="E426" s="10" t="s">
        <v>374</v>
      </c>
      <c r="F426" s="18">
        <v>6</v>
      </c>
      <c r="G426" s="12">
        <v>1500.96</v>
      </c>
      <c r="H426" s="13"/>
      <c r="I426" s="8">
        <v>45019</v>
      </c>
      <c r="J426" s="28">
        <f>16*6</f>
        <v>96</v>
      </c>
      <c r="K426" s="35">
        <v>1500.96</v>
      </c>
      <c r="L426" s="15">
        <f>+K426*J426</f>
        <v>144092.16</v>
      </c>
      <c r="M426" s="14">
        <f>11+1</f>
        <v>12</v>
      </c>
      <c r="N426" s="14">
        <f t="shared" si="35"/>
        <v>90</v>
      </c>
      <c r="O426" s="31"/>
      <c r="P426" s="14" t="s">
        <v>19</v>
      </c>
      <c r="Q426" s="15">
        <f t="shared" si="37"/>
        <v>135086.39999999999</v>
      </c>
    </row>
    <row r="427" spans="2:17" s="24" customFormat="1" ht="15.75" x14ac:dyDescent="0.25">
      <c r="B427" s="7" t="s">
        <v>870</v>
      </c>
      <c r="C427" s="8">
        <v>45019</v>
      </c>
      <c r="D427" s="9" t="s">
        <v>871</v>
      </c>
      <c r="E427" s="10" t="s">
        <v>872</v>
      </c>
      <c r="F427" s="18">
        <f>12*7</f>
        <v>84</v>
      </c>
      <c r="G427" s="12">
        <v>181.92</v>
      </c>
      <c r="H427" s="13"/>
      <c r="I427" s="8">
        <v>45019</v>
      </c>
      <c r="J427" s="28"/>
      <c r="K427" s="35">
        <v>181.92</v>
      </c>
      <c r="L427" s="15">
        <f>+K427*J427</f>
        <v>0</v>
      </c>
      <c r="M427" s="14">
        <v>84</v>
      </c>
      <c r="N427" s="14">
        <f>+F427+J427-M427</f>
        <v>0</v>
      </c>
      <c r="O427" s="31"/>
      <c r="P427" s="14" t="s">
        <v>19</v>
      </c>
      <c r="Q427" s="15">
        <f t="shared" si="37"/>
        <v>0</v>
      </c>
    </row>
    <row r="428" spans="2:17" s="24" customFormat="1" ht="15.75" x14ac:dyDescent="0.25">
      <c r="B428" s="7" t="s">
        <v>873</v>
      </c>
      <c r="C428" s="8">
        <v>45019</v>
      </c>
      <c r="D428" s="9" t="s">
        <v>874</v>
      </c>
      <c r="E428" s="10" t="s">
        <v>22</v>
      </c>
      <c r="F428" s="18">
        <v>5</v>
      </c>
      <c r="G428" s="12">
        <v>223.06</v>
      </c>
      <c r="H428" s="13"/>
      <c r="I428" s="8">
        <v>45019</v>
      </c>
      <c r="J428" s="28">
        <v>12</v>
      </c>
      <c r="K428" s="35">
        <v>223.06</v>
      </c>
      <c r="L428" s="15">
        <f t="shared" ref="L428:L439" si="38">+K428*J428</f>
        <v>2676.7200000000003</v>
      </c>
      <c r="M428" s="14"/>
      <c r="N428" s="14">
        <f>+F428+J428-M428</f>
        <v>17</v>
      </c>
      <c r="O428" s="31"/>
      <c r="P428" s="14" t="s">
        <v>19</v>
      </c>
      <c r="Q428" s="15">
        <f t="shared" si="37"/>
        <v>3792.02</v>
      </c>
    </row>
    <row r="429" spans="2:17" s="24" customFormat="1" ht="15.75" x14ac:dyDescent="0.25">
      <c r="B429" s="7" t="s">
        <v>875</v>
      </c>
      <c r="C429" s="8">
        <v>45019</v>
      </c>
      <c r="D429" s="9" t="s">
        <v>876</v>
      </c>
      <c r="E429" s="10" t="s">
        <v>22</v>
      </c>
      <c r="F429" s="18"/>
      <c r="G429" s="12">
        <v>236</v>
      </c>
      <c r="H429" s="13"/>
      <c r="I429" s="8">
        <v>45019</v>
      </c>
      <c r="J429" s="28">
        <v>12</v>
      </c>
      <c r="K429" s="35">
        <v>236</v>
      </c>
      <c r="L429" s="15">
        <f t="shared" si="38"/>
        <v>2832</v>
      </c>
      <c r="M429" s="14"/>
      <c r="N429" s="14">
        <f t="shared" ref="N429:N469" si="39">+F429+J429-M429</f>
        <v>12</v>
      </c>
      <c r="O429" s="31"/>
      <c r="P429" s="14" t="s">
        <v>19</v>
      </c>
      <c r="Q429" s="15">
        <f t="shared" si="37"/>
        <v>2832</v>
      </c>
    </row>
    <row r="430" spans="2:17" s="24" customFormat="1" ht="15.75" x14ac:dyDescent="0.25">
      <c r="B430" s="7" t="s">
        <v>877</v>
      </c>
      <c r="C430" s="8">
        <v>45019</v>
      </c>
      <c r="D430" s="9" t="s">
        <v>878</v>
      </c>
      <c r="E430" s="10" t="s">
        <v>22</v>
      </c>
      <c r="F430" s="18"/>
      <c r="G430" s="12">
        <v>248.52</v>
      </c>
      <c r="H430" s="13"/>
      <c r="I430" s="8">
        <v>45019</v>
      </c>
      <c r="J430" s="28">
        <v>12</v>
      </c>
      <c r="K430" s="35">
        <v>248.52</v>
      </c>
      <c r="L430" s="15">
        <f t="shared" si="38"/>
        <v>2982.2400000000002</v>
      </c>
      <c r="M430" s="14">
        <v>6</v>
      </c>
      <c r="N430" s="14">
        <f t="shared" si="39"/>
        <v>6</v>
      </c>
      <c r="O430" s="31"/>
      <c r="P430" s="14" t="s">
        <v>19</v>
      </c>
      <c r="Q430" s="15">
        <f t="shared" si="37"/>
        <v>1491.1200000000001</v>
      </c>
    </row>
    <row r="431" spans="2:17" s="24" customFormat="1" ht="15.75" x14ac:dyDescent="0.25">
      <c r="B431" s="7" t="s">
        <v>879</v>
      </c>
      <c r="C431" s="8">
        <v>45019</v>
      </c>
      <c r="D431" s="9" t="s">
        <v>880</v>
      </c>
      <c r="E431" s="10" t="s">
        <v>22</v>
      </c>
      <c r="F431" s="18">
        <v>1900</v>
      </c>
      <c r="G431" s="12">
        <v>4.01</v>
      </c>
      <c r="H431" s="13"/>
      <c r="I431" s="8">
        <v>45019</v>
      </c>
      <c r="J431" s="28">
        <v>700</v>
      </c>
      <c r="K431" s="35">
        <v>4.01</v>
      </c>
      <c r="L431" s="15">
        <f t="shared" si="38"/>
        <v>2807</v>
      </c>
      <c r="M431" s="14">
        <v>300</v>
      </c>
      <c r="N431" s="29">
        <f>+F431+J431-M431-4</f>
        <v>2296</v>
      </c>
      <c r="O431" s="31"/>
      <c r="P431" s="14" t="s">
        <v>19</v>
      </c>
      <c r="Q431" s="15">
        <f t="shared" si="37"/>
        <v>9206.9599999999991</v>
      </c>
    </row>
    <row r="432" spans="2:17" s="24" customFormat="1" ht="15.75" x14ac:dyDescent="0.25">
      <c r="B432" s="7" t="s">
        <v>881</v>
      </c>
      <c r="C432" s="8">
        <v>45019</v>
      </c>
      <c r="D432" s="9" t="s">
        <v>882</v>
      </c>
      <c r="E432" s="10" t="s">
        <v>22</v>
      </c>
      <c r="F432" s="18">
        <v>50</v>
      </c>
      <c r="G432" s="12">
        <v>66.67</v>
      </c>
      <c r="H432" s="13">
        <f>+F432*G432</f>
        <v>3333.5</v>
      </c>
      <c r="I432" s="8">
        <v>45019</v>
      </c>
      <c r="J432" s="28"/>
      <c r="K432" s="35">
        <v>66.67</v>
      </c>
      <c r="L432" s="15">
        <f t="shared" si="38"/>
        <v>0</v>
      </c>
      <c r="M432" s="14">
        <v>3</v>
      </c>
      <c r="N432" s="14">
        <f t="shared" si="39"/>
        <v>47</v>
      </c>
      <c r="O432" s="31"/>
      <c r="P432" s="14" t="s">
        <v>19</v>
      </c>
      <c r="Q432" s="15">
        <f t="shared" si="37"/>
        <v>3133.4900000000002</v>
      </c>
    </row>
    <row r="433" spans="2:17" s="24" customFormat="1" ht="15.75" x14ac:dyDescent="0.25">
      <c r="B433" s="7" t="s">
        <v>883</v>
      </c>
      <c r="C433" s="8">
        <v>45016</v>
      </c>
      <c r="D433" s="9" t="s">
        <v>884</v>
      </c>
      <c r="E433" s="10" t="s">
        <v>22</v>
      </c>
      <c r="F433" s="18">
        <v>8</v>
      </c>
      <c r="G433" s="12">
        <v>3371.25</v>
      </c>
      <c r="H433" s="13"/>
      <c r="I433" s="8">
        <v>45016</v>
      </c>
      <c r="J433" s="28">
        <v>8</v>
      </c>
      <c r="K433" s="35">
        <v>3371.25</v>
      </c>
      <c r="L433" s="15">
        <f t="shared" si="38"/>
        <v>26970</v>
      </c>
      <c r="M433" s="14"/>
      <c r="N433" s="14">
        <f t="shared" si="39"/>
        <v>16</v>
      </c>
      <c r="O433" s="31"/>
      <c r="P433" s="14" t="s">
        <v>19</v>
      </c>
      <c r="Q433" s="15">
        <f t="shared" si="37"/>
        <v>53940</v>
      </c>
    </row>
    <row r="434" spans="2:17" s="24" customFormat="1" ht="15.75" x14ac:dyDescent="0.25">
      <c r="B434" s="7" t="s">
        <v>885</v>
      </c>
      <c r="C434" s="8">
        <v>45016</v>
      </c>
      <c r="D434" s="9" t="s">
        <v>886</v>
      </c>
      <c r="E434" s="10" t="s">
        <v>22</v>
      </c>
      <c r="F434" s="18"/>
      <c r="G434" s="12">
        <v>510.94</v>
      </c>
      <c r="H434" s="13"/>
      <c r="I434" s="8">
        <v>45016</v>
      </c>
      <c r="J434" s="28">
        <v>5</v>
      </c>
      <c r="K434" s="35">
        <v>510.94</v>
      </c>
      <c r="L434" s="15">
        <f t="shared" si="38"/>
        <v>2554.6999999999998</v>
      </c>
      <c r="M434" s="14"/>
      <c r="N434" s="14">
        <f t="shared" si="39"/>
        <v>5</v>
      </c>
      <c r="O434" s="31"/>
      <c r="P434" s="14" t="s">
        <v>19</v>
      </c>
      <c r="Q434" s="15">
        <f>+G434*N434</f>
        <v>2554.6999999999998</v>
      </c>
    </row>
    <row r="435" spans="2:17" s="24" customFormat="1" ht="15.75" x14ac:dyDescent="0.25">
      <c r="B435" s="7" t="s">
        <v>887</v>
      </c>
      <c r="C435" s="8">
        <v>45016</v>
      </c>
      <c r="D435" s="9" t="s">
        <v>888</v>
      </c>
      <c r="E435" s="10" t="s">
        <v>22</v>
      </c>
      <c r="F435" s="18">
        <v>0</v>
      </c>
      <c r="G435" s="12">
        <v>7003.3</v>
      </c>
      <c r="H435" s="13"/>
      <c r="I435" s="8">
        <v>45016</v>
      </c>
      <c r="J435" s="28">
        <v>4</v>
      </c>
      <c r="K435" s="35">
        <v>7003.3</v>
      </c>
      <c r="L435" s="15">
        <f t="shared" si="38"/>
        <v>28013.200000000001</v>
      </c>
      <c r="M435" s="14">
        <v>4</v>
      </c>
      <c r="N435" s="14">
        <f t="shared" si="39"/>
        <v>0</v>
      </c>
      <c r="O435" s="31"/>
      <c r="P435" s="14" t="s">
        <v>19</v>
      </c>
      <c r="Q435" s="15">
        <f>+G435*N435</f>
        <v>0</v>
      </c>
    </row>
    <row r="436" spans="2:17" s="24" customFormat="1" ht="15.75" x14ac:dyDescent="0.25">
      <c r="B436" s="7" t="s">
        <v>889</v>
      </c>
      <c r="C436" s="8">
        <v>45016</v>
      </c>
      <c r="D436" s="9" t="s">
        <v>890</v>
      </c>
      <c r="E436" s="10" t="s">
        <v>22</v>
      </c>
      <c r="F436" s="18"/>
      <c r="G436" s="12">
        <v>55.61</v>
      </c>
      <c r="H436" s="13"/>
      <c r="I436" s="8">
        <v>45016</v>
      </c>
      <c r="J436" s="28">
        <v>80</v>
      </c>
      <c r="K436" s="35">
        <v>55.61</v>
      </c>
      <c r="L436" s="15">
        <f t="shared" si="38"/>
        <v>4448.8</v>
      </c>
      <c r="M436" s="14">
        <v>1</v>
      </c>
      <c r="N436" s="14">
        <f t="shared" si="39"/>
        <v>79</v>
      </c>
      <c r="O436" s="31"/>
      <c r="P436" s="14" t="s">
        <v>23</v>
      </c>
      <c r="Q436" s="15">
        <f t="shared" si="37"/>
        <v>4393.1899999999996</v>
      </c>
    </row>
    <row r="437" spans="2:17" s="24" customFormat="1" ht="15.75" x14ac:dyDescent="0.25">
      <c r="B437" s="7" t="s">
        <v>891</v>
      </c>
      <c r="C437" s="8">
        <v>45016</v>
      </c>
      <c r="D437" s="9" t="s">
        <v>892</v>
      </c>
      <c r="E437" s="10" t="s">
        <v>22</v>
      </c>
      <c r="F437" s="18"/>
      <c r="G437" s="12">
        <v>21.82</v>
      </c>
      <c r="H437" s="13"/>
      <c r="I437" s="8">
        <v>45016</v>
      </c>
      <c r="J437" s="28">
        <v>80</v>
      </c>
      <c r="K437" s="35">
        <v>21.82</v>
      </c>
      <c r="L437" s="15">
        <f t="shared" si="38"/>
        <v>1745.6</v>
      </c>
      <c r="M437" s="14"/>
      <c r="N437" s="14">
        <f t="shared" si="39"/>
        <v>80</v>
      </c>
      <c r="O437" s="31"/>
      <c r="P437" s="14" t="s">
        <v>23</v>
      </c>
      <c r="Q437" s="15">
        <f t="shared" si="37"/>
        <v>1745.6</v>
      </c>
    </row>
    <row r="438" spans="2:17" s="24" customFormat="1" ht="15.75" x14ac:dyDescent="0.25">
      <c r="B438" s="7" t="s">
        <v>893</v>
      </c>
      <c r="C438" s="8">
        <v>45016</v>
      </c>
      <c r="D438" s="9" t="s">
        <v>894</v>
      </c>
      <c r="E438" s="10" t="s">
        <v>22</v>
      </c>
      <c r="F438" s="18"/>
      <c r="G438" s="12">
        <v>35240.699999999997</v>
      </c>
      <c r="H438" s="13"/>
      <c r="I438" s="8">
        <v>45016</v>
      </c>
      <c r="J438" s="28">
        <v>4</v>
      </c>
      <c r="K438" s="35">
        <v>35240.699999999997</v>
      </c>
      <c r="L438" s="15">
        <f t="shared" si="38"/>
        <v>140962.79999999999</v>
      </c>
      <c r="M438" s="14">
        <v>4</v>
      </c>
      <c r="N438" s="14">
        <f t="shared" si="39"/>
        <v>0</v>
      </c>
      <c r="O438" s="31"/>
      <c r="P438" s="14" t="s">
        <v>23</v>
      </c>
      <c r="Q438" s="15">
        <f t="shared" si="37"/>
        <v>0</v>
      </c>
    </row>
    <row r="439" spans="2:17" s="24" customFormat="1" ht="15.75" x14ac:dyDescent="0.25">
      <c r="B439" s="7" t="s">
        <v>895</v>
      </c>
      <c r="C439" s="8">
        <v>45016</v>
      </c>
      <c r="D439" s="9" t="s">
        <v>896</v>
      </c>
      <c r="E439" s="10" t="s">
        <v>22</v>
      </c>
      <c r="F439" s="18"/>
      <c r="G439" s="12">
        <v>1770</v>
      </c>
      <c r="H439" s="13"/>
      <c r="I439" s="8">
        <v>45016</v>
      </c>
      <c r="J439" s="28">
        <v>30</v>
      </c>
      <c r="K439" s="35">
        <v>1770</v>
      </c>
      <c r="L439" s="15">
        <f t="shared" si="38"/>
        <v>53100</v>
      </c>
      <c r="M439" s="14">
        <v>30</v>
      </c>
      <c r="N439" s="14">
        <f t="shared" si="39"/>
        <v>0</v>
      </c>
      <c r="O439" s="31"/>
      <c r="P439" s="14" t="s">
        <v>59</v>
      </c>
      <c r="Q439" s="15">
        <f t="shared" si="37"/>
        <v>0</v>
      </c>
    </row>
    <row r="440" spans="2:17" s="24" customFormat="1" ht="15.75" x14ac:dyDescent="0.25">
      <c r="B440" s="7" t="s">
        <v>897</v>
      </c>
      <c r="C440" s="8"/>
      <c r="D440" s="9" t="s">
        <v>898</v>
      </c>
      <c r="E440" s="10" t="s">
        <v>22</v>
      </c>
      <c r="F440" s="18"/>
      <c r="G440" s="12"/>
      <c r="H440" s="13"/>
      <c r="I440" s="23"/>
      <c r="J440" s="28"/>
      <c r="K440" s="35"/>
      <c r="L440" s="15"/>
      <c r="M440" s="14">
        <v>12</v>
      </c>
      <c r="N440" s="14">
        <f t="shared" si="39"/>
        <v>-12</v>
      </c>
      <c r="O440" s="31"/>
      <c r="P440" s="14" t="s">
        <v>59</v>
      </c>
      <c r="Q440" s="15"/>
    </row>
    <row r="441" spans="2:17" s="24" customFormat="1" ht="15.75" x14ac:dyDescent="0.25">
      <c r="B441" s="7" t="s">
        <v>899</v>
      </c>
      <c r="C441" s="8"/>
      <c r="D441" s="9" t="s">
        <v>900</v>
      </c>
      <c r="E441" s="10" t="s">
        <v>22</v>
      </c>
      <c r="F441" s="18"/>
      <c r="G441" s="12"/>
      <c r="H441" s="13"/>
      <c r="I441" s="23"/>
      <c r="J441" s="28">
        <v>310</v>
      </c>
      <c r="K441" s="35"/>
      <c r="L441" s="15"/>
      <c r="M441" s="14">
        <v>24</v>
      </c>
      <c r="N441" s="14">
        <f t="shared" si="39"/>
        <v>286</v>
      </c>
      <c r="O441" s="31"/>
      <c r="P441" s="14" t="s">
        <v>59</v>
      </c>
      <c r="Q441" s="15"/>
    </row>
    <row r="442" spans="2:17" s="24" customFormat="1" ht="15.75" x14ac:dyDescent="0.25">
      <c r="B442" s="7" t="s">
        <v>901</v>
      </c>
      <c r="C442" s="8"/>
      <c r="D442" s="9" t="s">
        <v>902</v>
      </c>
      <c r="E442" s="10" t="s">
        <v>22</v>
      </c>
      <c r="F442" s="18"/>
      <c r="G442" s="12"/>
      <c r="H442" s="13"/>
      <c r="I442" s="23"/>
      <c r="J442" s="28">
        <v>101</v>
      </c>
      <c r="K442" s="35"/>
      <c r="L442" s="15"/>
      <c r="M442" s="14">
        <v>15</v>
      </c>
      <c r="N442" s="14">
        <f t="shared" si="39"/>
        <v>86</v>
      </c>
      <c r="O442" s="31"/>
      <c r="P442" s="14" t="s">
        <v>59</v>
      </c>
      <c r="Q442" s="15"/>
    </row>
    <row r="443" spans="2:17" s="24" customFormat="1" ht="15.75" x14ac:dyDescent="0.25">
      <c r="B443" s="7" t="s">
        <v>903</v>
      </c>
      <c r="C443" s="8"/>
      <c r="D443" s="9" t="s">
        <v>904</v>
      </c>
      <c r="E443" s="10" t="s">
        <v>22</v>
      </c>
      <c r="F443" s="18"/>
      <c r="G443" s="12"/>
      <c r="H443" s="13"/>
      <c r="I443" s="23"/>
      <c r="J443" s="28">
        <v>500</v>
      </c>
      <c r="K443" s="35"/>
      <c r="L443" s="15"/>
      <c r="M443" s="14">
        <f>15+54</f>
        <v>69</v>
      </c>
      <c r="N443" s="14">
        <f t="shared" si="39"/>
        <v>431</v>
      </c>
      <c r="O443" s="31"/>
      <c r="P443" s="14" t="s">
        <v>59</v>
      </c>
      <c r="Q443" s="15"/>
    </row>
    <row r="444" spans="2:17" s="24" customFormat="1" ht="15.75" x14ac:dyDescent="0.25">
      <c r="B444" s="7" t="s">
        <v>905</v>
      </c>
      <c r="C444" s="8"/>
      <c r="D444" s="9" t="s">
        <v>906</v>
      </c>
      <c r="E444" s="10" t="s">
        <v>22</v>
      </c>
      <c r="F444" s="18"/>
      <c r="G444" s="12"/>
      <c r="H444" s="13"/>
      <c r="I444" s="23"/>
      <c r="J444" s="28">
        <v>300</v>
      </c>
      <c r="K444" s="35"/>
      <c r="L444" s="15"/>
      <c r="M444" s="14">
        <v>100</v>
      </c>
      <c r="N444" s="14">
        <f>+F444+J444-M444</f>
        <v>200</v>
      </c>
      <c r="O444" s="31"/>
      <c r="P444" s="14" t="s">
        <v>59</v>
      </c>
      <c r="Q444" s="15"/>
    </row>
    <row r="445" spans="2:17" s="24" customFormat="1" ht="15.75" x14ac:dyDescent="0.25">
      <c r="B445" s="7" t="s">
        <v>907</v>
      </c>
      <c r="C445" s="8"/>
      <c r="D445" s="9" t="s">
        <v>908</v>
      </c>
      <c r="E445" s="10" t="s">
        <v>22</v>
      </c>
      <c r="F445" s="18"/>
      <c r="G445" s="12"/>
      <c r="H445" s="13"/>
      <c r="I445" s="23"/>
      <c r="J445" s="28">
        <v>99</v>
      </c>
      <c r="K445" s="35"/>
      <c r="L445" s="15"/>
      <c r="M445" s="14">
        <v>3</v>
      </c>
      <c r="N445" s="14">
        <f t="shared" si="39"/>
        <v>96</v>
      </c>
      <c r="O445" s="31"/>
      <c r="P445" s="14" t="s">
        <v>59</v>
      </c>
      <c r="Q445" s="15"/>
    </row>
    <row r="446" spans="2:17" s="24" customFormat="1" ht="15.75" x14ac:dyDescent="0.25">
      <c r="B446" s="7" t="s">
        <v>909</v>
      </c>
      <c r="C446" s="8"/>
      <c r="D446" s="9" t="s">
        <v>910</v>
      </c>
      <c r="E446" s="10" t="s">
        <v>22</v>
      </c>
      <c r="F446" s="18"/>
      <c r="G446" s="12"/>
      <c r="H446" s="13"/>
      <c r="I446" s="23"/>
      <c r="J446" s="28"/>
      <c r="K446" s="35"/>
      <c r="L446" s="15"/>
      <c r="M446" s="14">
        <v>4</v>
      </c>
      <c r="N446" s="14">
        <f t="shared" si="39"/>
        <v>-4</v>
      </c>
      <c r="O446" s="31"/>
      <c r="P446" s="14" t="s">
        <v>23</v>
      </c>
      <c r="Q446" s="15"/>
    </row>
    <row r="447" spans="2:17" s="24" customFormat="1" ht="15.75" x14ac:dyDescent="0.25">
      <c r="B447" s="7" t="s">
        <v>911</v>
      </c>
      <c r="C447" s="8"/>
      <c r="D447" s="9" t="s">
        <v>912</v>
      </c>
      <c r="E447" s="10" t="s">
        <v>22</v>
      </c>
      <c r="F447" s="18"/>
      <c r="G447" s="12"/>
      <c r="H447" s="13"/>
      <c r="I447" s="23"/>
      <c r="J447" s="28"/>
      <c r="K447" s="35"/>
      <c r="L447" s="15"/>
      <c r="M447" s="14">
        <v>1</v>
      </c>
      <c r="N447" s="14">
        <f t="shared" si="39"/>
        <v>-1</v>
      </c>
      <c r="O447" s="31"/>
      <c r="P447" s="14" t="s">
        <v>23</v>
      </c>
      <c r="Q447" s="15"/>
    </row>
    <row r="448" spans="2:17" s="24" customFormat="1" ht="15.75" x14ac:dyDescent="0.25">
      <c r="B448" s="7" t="s">
        <v>913</v>
      </c>
      <c r="C448" s="8"/>
      <c r="D448" s="9" t="s">
        <v>914</v>
      </c>
      <c r="E448" s="10" t="s">
        <v>22</v>
      </c>
      <c r="F448" s="18"/>
      <c r="G448" s="12"/>
      <c r="H448" s="13"/>
      <c r="I448" s="23"/>
      <c r="J448" s="28">
        <v>10</v>
      </c>
      <c r="K448" s="35">
        <v>361.99</v>
      </c>
      <c r="L448" s="15">
        <f t="shared" ref="L448" si="40">+K448*J448</f>
        <v>3619.9</v>
      </c>
      <c r="M448" s="14">
        <v>1</v>
      </c>
      <c r="N448" s="14">
        <f t="shared" si="39"/>
        <v>9</v>
      </c>
      <c r="O448" s="31"/>
      <c r="P448" s="14" t="s">
        <v>19</v>
      </c>
      <c r="Q448" s="15"/>
    </row>
    <row r="449" spans="2:17" s="24" customFormat="1" ht="15.75" x14ac:dyDescent="0.25">
      <c r="B449" s="7" t="s">
        <v>915</v>
      </c>
      <c r="C449" s="8"/>
      <c r="D449" s="9" t="s">
        <v>916</v>
      </c>
      <c r="E449" s="10" t="s">
        <v>22</v>
      </c>
      <c r="F449" s="18"/>
      <c r="G449" s="12"/>
      <c r="H449" s="13"/>
      <c r="I449" s="23"/>
      <c r="J449" s="28">
        <v>6</v>
      </c>
      <c r="K449" s="35"/>
      <c r="L449" s="15"/>
      <c r="M449" s="14"/>
      <c r="N449" s="14">
        <f t="shared" si="39"/>
        <v>6</v>
      </c>
      <c r="O449" s="31"/>
      <c r="P449" s="14" t="s">
        <v>59</v>
      </c>
      <c r="Q449" s="15"/>
    </row>
    <row r="450" spans="2:17" s="24" customFormat="1" ht="15.75" x14ac:dyDescent="0.25">
      <c r="B450" s="7" t="s">
        <v>917</v>
      </c>
      <c r="C450" s="8">
        <v>45042</v>
      </c>
      <c r="D450" s="9" t="s">
        <v>918</v>
      </c>
      <c r="E450" s="10" t="s">
        <v>22</v>
      </c>
      <c r="F450" s="18">
        <f>12*4</f>
        <v>48</v>
      </c>
      <c r="G450" s="12"/>
      <c r="H450" s="13"/>
      <c r="I450" s="8">
        <v>45042</v>
      </c>
      <c r="J450" s="28"/>
      <c r="K450" s="35"/>
      <c r="L450" s="15"/>
      <c r="M450" s="14">
        <f>48-33</f>
        <v>15</v>
      </c>
      <c r="N450" s="14">
        <f t="shared" si="39"/>
        <v>33</v>
      </c>
      <c r="O450" s="31"/>
      <c r="P450" s="14" t="s">
        <v>59</v>
      </c>
      <c r="Q450" s="15"/>
    </row>
    <row r="451" spans="2:17" s="24" customFormat="1" ht="15.75" x14ac:dyDescent="0.25">
      <c r="B451" s="7" t="s">
        <v>919</v>
      </c>
      <c r="C451" s="8">
        <v>45042</v>
      </c>
      <c r="D451" s="9" t="s">
        <v>920</v>
      </c>
      <c r="E451" s="10" t="s">
        <v>22</v>
      </c>
      <c r="F451" s="18">
        <v>10</v>
      </c>
      <c r="G451" s="12">
        <v>38.29</v>
      </c>
      <c r="H451" s="13"/>
      <c r="I451" s="8">
        <v>45042</v>
      </c>
      <c r="J451" s="28">
        <v>10</v>
      </c>
      <c r="K451" s="35">
        <v>38.29</v>
      </c>
      <c r="L451" s="15">
        <f t="shared" ref="L451" si="41">+K451*J451</f>
        <v>382.9</v>
      </c>
      <c r="M451" s="14"/>
      <c r="N451" s="14">
        <f t="shared" si="39"/>
        <v>20</v>
      </c>
      <c r="O451" s="31"/>
      <c r="P451" s="14" t="s">
        <v>59</v>
      </c>
      <c r="Q451" s="15">
        <f>+G451*N451</f>
        <v>765.8</v>
      </c>
    </row>
    <row r="452" spans="2:17" s="24" customFormat="1" ht="15.75" x14ac:dyDescent="0.25">
      <c r="B452" s="7" t="s">
        <v>921</v>
      </c>
      <c r="C452" s="8"/>
      <c r="D452" s="9" t="s">
        <v>922</v>
      </c>
      <c r="E452" s="10" t="s">
        <v>22</v>
      </c>
      <c r="F452" s="18"/>
      <c r="G452" s="12"/>
      <c r="H452" s="13"/>
      <c r="I452" s="8"/>
      <c r="J452" s="28">
        <v>100</v>
      </c>
      <c r="K452" s="35"/>
      <c r="L452" s="15"/>
      <c r="M452" s="14">
        <v>50</v>
      </c>
      <c r="N452" s="14">
        <f t="shared" si="39"/>
        <v>50</v>
      </c>
      <c r="O452" s="31"/>
      <c r="P452" s="14" t="s">
        <v>59</v>
      </c>
      <c r="Q452" s="15">
        <f t="shared" ref="Q452:Q469" si="42">+G452*N452</f>
        <v>0</v>
      </c>
    </row>
    <row r="453" spans="2:17" s="24" customFormat="1" ht="15.75" x14ac:dyDescent="0.25">
      <c r="B453" s="7" t="s">
        <v>923</v>
      </c>
      <c r="C453" s="8"/>
      <c r="D453" s="9" t="s">
        <v>924</v>
      </c>
      <c r="E453" s="10" t="s">
        <v>22</v>
      </c>
      <c r="F453" s="18"/>
      <c r="G453" s="12">
        <v>71.650000000000006</v>
      </c>
      <c r="H453" s="13"/>
      <c r="I453" s="8"/>
      <c r="J453" s="28">
        <v>10</v>
      </c>
      <c r="K453" s="35">
        <v>71.650000000000006</v>
      </c>
      <c r="L453" s="15">
        <f t="shared" ref="L453:L469" si="43">+K453*J453</f>
        <v>716.5</v>
      </c>
      <c r="M453" s="14">
        <v>1</v>
      </c>
      <c r="N453" s="14">
        <v>8</v>
      </c>
      <c r="O453" s="31"/>
      <c r="P453" s="14" t="s">
        <v>59</v>
      </c>
      <c r="Q453" s="15">
        <f t="shared" si="42"/>
        <v>573.20000000000005</v>
      </c>
    </row>
    <row r="454" spans="2:17" s="24" customFormat="1" ht="15.75" x14ac:dyDescent="0.25">
      <c r="B454" s="7" t="s">
        <v>925</v>
      </c>
      <c r="C454" s="8"/>
      <c r="D454" s="9" t="s">
        <v>926</v>
      </c>
      <c r="E454" s="10" t="s">
        <v>927</v>
      </c>
      <c r="F454" s="18"/>
      <c r="G454" s="12"/>
      <c r="H454" s="13"/>
      <c r="I454" s="8"/>
      <c r="J454" s="28">
        <v>13</v>
      </c>
      <c r="K454" s="35"/>
      <c r="L454" s="15">
        <f t="shared" si="43"/>
        <v>0</v>
      </c>
      <c r="M454" s="14"/>
      <c r="N454" s="14">
        <f t="shared" si="39"/>
        <v>13</v>
      </c>
      <c r="O454" s="31"/>
      <c r="P454" s="14" t="s">
        <v>59</v>
      </c>
      <c r="Q454" s="15">
        <f t="shared" si="42"/>
        <v>0</v>
      </c>
    </row>
    <row r="455" spans="2:17" s="24" customFormat="1" ht="15.75" x14ac:dyDescent="0.25">
      <c r="B455" s="7" t="s">
        <v>928</v>
      </c>
      <c r="C455" s="8">
        <v>44193</v>
      </c>
      <c r="D455" s="10" t="s">
        <v>929</v>
      </c>
      <c r="E455" s="10" t="s">
        <v>22</v>
      </c>
      <c r="F455" s="18"/>
      <c r="G455" s="12"/>
      <c r="H455" s="13"/>
      <c r="I455" s="8">
        <v>44193</v>
      </c>
      <c r="J455" s="28">
        <v>186</v>
      </c>
      <c r="K455" s="35"/>
      <c r="L455" s="15">
        <f t="shared" si="43"/>
        <v>0</v>
      </c>
      <c r="M455" s="14"/>
      <c r="N455" s="14">
        <f t="shared" si="39"/>
        <v>186</v>
      </c>
      <c r="O455" s="31"/>
      <c r="P455" s="14" t="s">
        <v>59</v>
      </c>
      <c r="Q455" s="15">
        <f t="shared" si="42"/>
        <v>0</v>
      </c>
    </row>
    <row r="456" spans="2:17" s="24" customFormat="1" ht="15.75" x14ac:dyDescent="0.25">
      <c r="B456" s="7" t="s">
        <v>930</v>
      </c>
      <c r="C456" s="8"/>
      <c r="D456" s="9" t="s">
        <v>931</v>
      </c>
      <c r="E456" s="10" t="s">
        <v>22</v>
      </c>
      <c r="F456" s="18"/>
      <c r="G456" s="12"/>
      <c r="H456" s="13"/>
      <c r="I456" s="8"/>
      <c r="J456" s="28">
        <v>2</v>
      </c>
      <c r="K456" s="35"/>
      <c r="L456" s="15">
        <f t="shared" si="43"/>
        <v>0</v>
      </c>
      <c r="M456" s="14">
        <v>1</v>
      </c>
      <c r="N456" s="14">
        <f t="shared" si="39"/>
        <v>1</v>
      </c>
      <c r="O456" s="31"/>
      <c r="P456" s="14" t="s">
        <v>59</v>
      </c>
      <c r="Q456" s="15">
        <f t="shared" si="42"/>
        <v>0</v>
      </c>
    </row>
    <row r="457" spans="2:17" s="24" customFormat="1" ht="15.75" x14ac:dyDescent="0.25">
      <c r="B457" s="7" t="s">
        <v>932</v>
      </c>
      <c r="C457" s="8"/>
      <c r="D457" s="9" t="s">
        <v>933</v>
      </c>
      <c r="E457" s="10" t="s">
        <v>22</v>
      </c>
      <c r="F457" s="18"/>
      <c r="G457" s="12"/>
      <c r="H457" s="13"/>
      <c r="I457" s="23"/>
      <c r="J457" s="28">
        <v>3</v>
      </c>
      <c r="K457" s="35"/>
      <c r="L457" s="15">
        <f t="shared" si="43"/>
        <v>0</v>
      </c>
      <c r="M457" s="14">
        <v>1</v>
      </c>
      <c r="N457" s="14">
        <f t="shared" si="39"/>
        <v>2</v>
      </c>
      <c r="O457" s="31"/>
      <c r="P457" s="14" t="s">
        <v>59</v>
      </c>
      <c r="Q457" s="15">
        <f t="shared" si="42"/>
        <v>0</v>
      </c>
    </row>
    <row r="458" spans="2:17" s="24" customFormat="1" ht="15.75" x14ac:dyDescent="0.25">
      <c r="B458" s="7" t="s">
        <v>934</v>
      </c>
      <c r="C458" s="8"/>
      <c r="D458" s="9" t="s">
        <v>935</v>
      </c>
      <c r="E458" s="10" t="s">
        <v>22</v>
      </c>
      <c r="F458" s="18"/>
      <c r="G458" s="12"/>
      <c r="H458" s="13"/>
      <c r="I458" s="23"/>
      <c r="J458" s="28">
        <v>2</v>
      </c>
      <c r="K458" s="35"/>
      <c r="L458" s="15">
        <f t="shared" si="43"/>
        <v>0</v>
      </c>
      <c r="M458" s="14">
        <v>1</v>
      </c>
      <c r="N458" s="14">
        <f t="shared" si="39"/>
        <v>1</v>
      </c>
      <c r="O458" s="31"/>
      <c r="P458" s="14" t="s">
        <v>59</v>
      </c>
      <c r="Q458" s="15">
        <f t="shared" si="42"/>
        <v>0</v>
      </c>
    </row>
    <row r="459" spans="2:17" s="24" customFormat="1" ht="15.75" x14ac:dyDescent="0.25">
      <c r="B459" s="7" t="s">
        <v>936</v>
      </c>
      <c r="C459" s="8"/>
      <c r="D459" s="10" t="s">
        <v>937</v>
      </c>
      <c r="E459" s="10" t="s">
        <v>22</v>
      </c>
      <c r="F459" s="18"/>
      <c r="G459" s="12"/>
      <c r="H459" s="13"/>
      <c r="I459" s="23"/>
      <c r="J459" s="28">
        <v>405</v>
      </c>
      <c r="K459" s="35"/>
      <c r="L459" s="15">
        <f t="shared" si="43"/>
        <v>0</v>
      </c>
      <c r="M459" s="14"/>
      <c r="N459" s="14">
        <f t="shared" si="39"/>
        <v>405</v>
      </c>
      <c r="O459" s="31"/>
      <c r="P459" s="14" t="s">
        <v>59</v>
      </c>
      <c r="Q459" s="15">
        <f t="shared" si="42"/>
        <v>0</v>
      </c>
    </row>
    <row r="460" spans="2:17" s="24" customFormat="1" ht="15.75" x14ac:dyDescent="0.25">
      <c r="B460" s="7" t="s">
        <v>938</v>
      </c>
      <c r="C460" s="8"/>
      <c r="D460" s="10" t="s">
        <v>939</v>
      </c>
      <c r="E460" s="10" t="s">
        <v>927</v>
      </c>
      <c r="F460" s="18"/>
      <c r="G460" s="12"/>
      <c r="H460" s="13"/>
      <c r="I460" s="23"/>
      <c r="J460" s="28">
        <v>3</v>
      </c>
      <c r="K460" s="35"/>
      <c r="L460" s="15">
        <f t="shared" si="43"/>
        <v>0</v>
      </c>
      <c r="M460" s="14"/>
      <c r="N460" s="14">
        <f t="shared" si="39"/>
        <v>3</v>
      </c>
      <c r="O460" s="31"/>
      <c r="P460" s="14" t="s">
        <v>59</v>
      </c>
      <c r="Q460" s="15">
        <f t="shared" si="42"/>
        <v>0</v>
      </c>
    </row>
    <row r="461" spans="2:17" s="24" customFormat="1" ht="15.75" x14ac:dyDescent="0.25">
      <c r="B461" s="7" t="s">
        <v>940</v>
      </c>
      <c r="C461" s="22">
        <v>45042</v>
      </c>
      <c r="D461" s="10" t="s">
        <v>941</v>
      </c>
      <c r="E461" s="10" t="s">
        <v>22</v>
      </c>
      <c r="F461" s="18"/>
      <c r="G461" s="12">
        <v>355.33</v>
      </c>
      <c r="H461" s="13"/>
      <c r="I461" s="23">
        <v>45042</v>
      </c>
      <c r="J461" s="28">
        <v>10</v>
      </c>
      <c r="K461" s="35">
        <v>355.33</v>
      </c>
      <c r="L461" s="15">
        <f t="shared" si="43"/>
        <v>3553.2999999999997</v>
      </c>
      <c r="M461" s="14">
        <v>2</v>
      </c>
      <c r="N461" s="14">
        <f t="shared" si="39"/>
        <v>8</v>
      </c>
      <c r="O461" s="31"/>
      <c r="P461" s="14" t="s">
        <v>59</v>
      </c>
      <c r="Q461" s="15">
        <f>+G461*N461</f>
        <v>2842.64</v>
      </c>
    </row>
    <row r="462" spans="2:17" s="24" customFormat="1" ht="15.75" x14ac:dyDescent="0.25">
      <c r="B462" s="7" t="s">
        <v>942</v>
      </c>
      <c r="C462" s="22">
        <v>45042</v>
      </c>
      <c r="D462" s="10" t="s">
        <v>943</v>
      </c>
      <c r="E462" s="10" t="s">
        <v>22</v>
      </c>
      <c r="F462" s="18"/>
      <c r="G462" s="12">
        <v>24.95</v>
      </c>
      <c r="H462" s="13"/>
      <c r="I462" s="23">
        <v>45042</v>
      </c>
      <c r="J462" s="28">
        <v>28</v>
      </c>
      <c r="K462" s="35">
        <v>24.95</v>
      </c>
      <c r="L462" s="15">
        <f t="shared" si="43"/>
        <v>698.6</v>
      </c>
      <c r="M462" s="14">
        <v>3</v>
      </c>
      <c r="N462" s="14">
        <f t="shared" si="39"/>
        <v>25</v>
      </c>
      <c r="O462" s="31"/>
      <c r="P462" s="14" t="s">
        <v>59</v>
      </c>
      <c r="Q462" s="15">
        <f t="shared" si="42"/>
        <v>623.75</v>
      </c>
    </row>
    <row r="463" spans="2:17" s="24" customFormat="1" ht="15.75" x14ac:dyDescent="0.25">
      <c r="B463" s="7" t="s">
        <v>944</v>
      </c>
      <c r="C463" s="22">
        <v>45042</v>
      </c>
      <c r="D463" s="10" t="s">
        <v>945</v>
      </c>
      <c r="E463" s="10" t="s">
        <v>22</v>
      </c>
      <c r="F463" s="18"/>
      <c r="G463" s="12">
        <v>29</v>
      </c>
      <c r="H463" s="13"/>
      <c r="I463" s="23">
        <v>45042</v>
      </c>
      <c r="J463" s="28">
        <v>15</v>
      </c>
      <c r="K463" s="35">
        <v>29</v>
      </c>
      <c r="L463" s="15">
        <f t="shared" si="43"/>
        <v>435</v>
      </c>
      <c r="M463" s="14">
        <v>8</v>
      </c>
      <c r="N463" s="14">
        <f t="shared" si="39"/>
        <v>7</v>
      </c>
      <c r="O463" s="31"/>
      <c r="P463" s="14" t="s">
        <v>59</v>
      </c>
      <c r="Q463" s="15">
        <f t="shared" si="42"/>
        <v>203</v>
      </c>
    </row>
    <row r="464" spans="2:17" s="24" customFormat="1" ht="15.75" x14ac:dyDescent="0.25">
      <c r="B464" s="7" t="s">
        <v>946</v>
      </c>
      <c r="C464" s="22">
        <v>45042</v>
      </c>
      <c r="D464" s="10" t="s">
        <v>947</v>
      </c>
      <c r="E464" s="10" t="s">
        <v>22</v>
      </c>
      <c r="F464" s="18"/>
      <c r="G464" s="12">
        <v>17</v>
      </c>
      <c r="H464" s="13"/>
      <c r="I464" s="23">
        <v>45042</v>
      </c>
      <c r="J464" s="28">
        <v>36</v>
      </c>
      <c r="K464" s="35">
        <v>17</v>
      </c>
      <c r="L464" s="15">
        <f t="shared" si="43"/>
        <v>612</v>
      </c>
      <c r="M464" s="14"/>
      <c r="N464" s="14">
        <f t="shared" si="39"/>
        <v>36</v>
      </c>
      <c r="O464" s="31"/>
      <c r="P464" s="14" t="s">
        <v>59</v>
      </c>
      <c r="Q464" s="15">
        <f t="shared" si="42"/>
        <v>612</v>
      </c>
    </row>
    <row r="465" spans="2:18" s="24" customFormat="1" ht="15.75" x14ac:dyDescent="0.25">
      <c r="B465" s="7" t="s">
        <v>948</v>
      </c>
      <c r="C465" s="22">
        <v>45042</v>
      </c>
      <c r="D465" s="10" t="s">
        <v>949</v>
      </c>
      <c r="E465" s="10" t="s">
        <v>22</v>
      </c>
      <c r="F465" s="18"/>
      <c r="G465" s="12">
        <v>4204</v>
      </c>
      <c r="H465" s="13"/>
      <c r="I465" s="23">
        <v>45042</v>
      </c>
      <c r="J465" s="28">
        <v>2</v>
      </c>
      <c r="K465" s="35">
        <v>4204</v>
      </c>
      <c r="L465" s="15">
        <f t="shared" si="43"/>
        <v>8408</v>
      </c>
      <c r="M465" s="14"/>
      <c r="N465" s="14">
        <f t="shared" si="39"/>
        <v>2</v>
      </c>
      <c r="O465" s="31"/>
      <c r="P465" s="14" t="s">
        <v>59</v>
      </c>
      <c r="Q465" s="15">
        <f t="shared" si="42"/>
        <v>8408</v>
      </c>
    </row>
    <row r="466" spans="2:18" s="24" customFormat="1" ht="15.75" x14ac:dyDescent="0.25">
      <c r="B466" s="7" t="s">
        <v>950</v>
      </c>
      <c r="C466" s="22">
        <v>45042</v>
      </c>
      <c r="D466" s="10" t="s">
        <v>951</v>
      </c>
      <c r="E466" s="10" t="s">
        <v>22</v>
      </c>
      <c r="F466" s="18"/>
      <c r="G466" s="12">
        <v>4917.0600000000004</v>
      </c>
      <c r="H466" s="13"/>
      <c r="I466" s="23">
        <v>45042</v>
      </c>
      <c r="J466" s="28">
        <v>2</v>
      </c>
      <c r="K466" s="35">
        <v>4917.0600000000004</v>
      </c>
      <c r="L466" s="15">
        <f t="shared" si="43"/>
        <v>9834.1200000000008</v>
      </c>
      <c r="M466" s="14"/>
      <c r="N466" s="14">
        <f t="shared" si="39"/>
        <v>2</v>
      </c>
      <c r="O466" s="31"/>
      <c r="P466" s="14" t="s">
        <v>59</v>
      </c>
      <c r="Q466" s="15">
        <f t="shared" si="42"/>
        <v>9834.1200000000008</v>
      </c>
    </row>
    <row r="467" spans="2:18" s="24" customFormat="1" ht="15.75" x14ac:dyDescent="0.25">
      <c r="B467" s="7" t="s">
        <v>952</v>
      </c>
      <c r="C467" s="22">
        <v>45042</v>
      </c>
      <c r="D467" s="10" t="s">
        <v>953</v>
      </c>
      <c r="E467" s="10" t="s">
        <v>22</v>
      </c>
      <c r="F467" s="18"/>
      <c r="G467" s="12">
        <v>4917.0600000000004</v>
      </c>
      <c r="H467" s="13"/>
      <c r="I467" s="23">
        <v>45042</v>
      </c>
      <c r="J467" s="28">
        <v>2</v>
      </c>
      <c r="K467" s="35">
        <v>4917.0600000000004</v>
      </c>
      <c r="L467" s="15">
        <f t="shared" si="43"/>
        <v>9834.1200000000008</v>
      </c>
      <c r="M467" s="14"/>
      <c r="N467" s="14">
        <f t="shared" si="39"/>
        <v>2</v>
      </c>
      <c r="O467" s="31"/>
      <c r="P467" s="14" t="s">
        <v>59</v>
      </c>
      <c r="Q467" s="15">
        <f t="shared" si="42"/>
        <v>9834.1200000000008</v>
      </c>
    </row>
    <row r="468" spans="2:18" s="24" customFormat="1" ht="15.75" x14ac:dyDescent="0.25">
      <c r="B468" s="7" t="s">
        <v>954</v>
      </c>
      <c r="C468" s="22">
        <v>45042</v>
      </c>
      <c r="D468" s="10" t="s">
        <v>955</v>
      </c>
      <c r="E468" s="10" t="s">
        <v>22</v>
      </c>
      <c r="F468" s="18"/>
      <c r="G468" s="12">
        <v>4917.0600000000004</v>
      </c>
      <c r="H468" s="13"/>
      <c r="I468" s="23">
        <v>45042</v>
      </c>
      <c r="J468" s="28">
        <v>2</v>
      </c>
      <c r="K468" s="35">
        <v>4917.0600000000004</v>
      </c>
      <c r="L468" s="15">
        <f t="shared" si="43"/>
        <v>9834.1200000000008</v>
      </c>
      <c r="M468" s="14"/>
      <c r="N468" s="14">
        <f t="shared" si="39"/>
        <v>2</v>
      </c>
      <c r="O468" s="31"/>
      <c r="P468" s="14" t="s">
        <v>59</v>
      </c>
      <c r="Q468" s="15">
        <f t="shared" si="42"/>
        <v>9834.1200000000008</v>
      </c>
    </row>
    <row r="469" spans="2:18" s="24" customFormat="1" ht="15.75" x14ac:dyDescent="0.25">
      <c r="B469" s="7" t="s">
        <v>956</v>
      </c>
      <c r="C469" s="22">
        <v>45051</v>
      </c>
      <c r="D469" s="10" t="s">
        <v>957</v>
      </c>
      <c r="E469" s="10" t="s">
        <v>22</v>
      </c>
      <c r="F469" s="18"/>
      <c r="G469" s="12">
        <v>1298</v>
      </c>
      <c r="H469" s="13"/>
      <c r="I469" s="23">
        <v>45051</v>
      </c>
      <c r="J469" s="28">
        <v>3</v>
      </c>
      <c r="K469" s="35">
        <v>1298</v>
      </c>
      <c r="L469" s="15">
        <f t="shared" si="43"/>
        <v>3894</v>
      </c>
      <c r="M469" s="14">
        <v>3</v>
      </c>
      <c r="N469" s="14">
        <f t="shared" si="39"/>
        <v>0</v>
      </c>
      <c r="O469" s="31"/>
      <c r="P469" s="14" t="s">
        <v>59</v>
      </c>
      <c r="Q469" s="15">
        <f t="shared" si="42"/>
        <v>0</v>
      </c>
    </row>
    <row r="470" spans="2:18" s="24" customFormat="1" ht="15.75" x14ac:dyDescent="0.25">
      <c r="B470" s="7" t="s">
        <v>965</v>
      </c>
      <c r="C470" s="22">
        <v>45051</v>
      </c>
      <c r="D470" s="10" t="s">
        <v>964</v>
      </c>
      <c r="E470" s="10" t="s">
        <v>22</v>
      </c>
      <c r="F470" s="18"/>
      <c r="G470" s="12">
        <v>1608317</v>
      </c>
      <c r="H470" s="13"/>
      <c r="I470" s="23">
        <v>45051</v>
      </c>
      <c r="J470" s="28">
        <v>3</v>
      </c>
      <c r="K470" s="35">
        <v>1298</v>
      </c>
      <c r="L470" s="15">
        <f t="shared" ref="L470" si="44">+K470*J470</f>
        <v>3894</v>
      </c>
      <c r="M470" s="14">
        <v>3</v>
      </c>
      <c r="N470" s="14">
        <v>1</v>
      </c>
      <c r="O470" s="31"/>
      <c r="P470" s="14" t="s">
        <v>59</v>
      </c>
      <c r="Q470" s="15">
        <f>+G470*N470</f>
        <v>1608317</v>
      </c>
    </row>
    <row r="471" spans="2:18" x14ac:dyDescent="0.3">
      <c r="B471" s="44" t="s">
        <v>958</v>
      </c>
      <c r="C471" s="53"/>
      <c r="D471" s="53"/>
      <c r="E471" s="53"/>
      <c r="F471" s="53"/>
      <c r="G471" s="53"/>
      <c r="H471" s="45">
        <f>SUM(H8:H378)</f>
        <v>1539940.1403600003</v>
      </c>
      <c r="I471" s="45"/>
      <c r="J471" s="45"/>
      <c r="K471" s="45">
        <f>SUM(K8:K449)</f>
        <v>319390.70866666664</v>
      </c>
      <c r="L471" s="45">
        <f>SUM(L8:L449)</f>
        <v>2556959.8948000004</v>
      </c>
      <c r="M471" s="45">
        <f>SUM(M8:M449)</f>
        <v>21828</v>
      </c>
      <c r="N471" s="45">
        <f>SUM(N8:N457)</f>
        <v>20738.560000000001</v>
      </c>
      <c r="O471" s="45"/>
      <c r="P471" s="45"/>
      <c r="Q471" s="46">
        <f>SUM(Q8:Q470)</f>
        <v>5057414.8082300024</v>
      </c>
    </row>
    <row r="472" spans="2:18" x14ac:dyDescent="0.3">
      <c r="D472" s="37"/>
      <c r="E472" s="37"/>
      <c r="H472" s="2"/>
      <c r="Q472" s="40"/>
    </row>
    <row r="473" spans="2:18" x14ac:dyDescent="0.3">
      <c r="B473" s="4" t="s">
        <v>959</v>
      </c>
      <c r="D473" s="37"/>
      <c r="E473" s="37"/>
      <c r="Q473" s="41"/>
      <c r="R473" s="42"/>
    </row>
    <row r="474" spans="2:18" x14ac:dyDescent="0.3">
      <c r="D474" s="37"/>
      <c r="E474" s="37"/>
    </row>
    <row r="475" spans="2:18" x14ac:dyDescent="0.3">
      <c r="C475" s="4" t="s">
        <v>960</v>
      </c>
      <c r="D475" s="37"/>
      <c r="E475" s="37"/>
    </row>
    <row r="476" spans="2:18" x14ac:dyDescent="0.3">
      <c r="D476" s="37"/>
      <c r="E476" s="37"/>
    </row>
    <row r="477" spans="2:18" x14ac:dyDescent="0.3">
      <c r="B477" s="38" t="s">
        <v>961</v>
      </c>
      <c r="D477" s="37"/>
      <c r="E477" s="37"/>
    </row>
    <row r="478" spans="2:18" x14ac:dyDescent="0.3">
      <c r="D478" s="37"/>
      <c r="E478" s="37"/>
    </row>
    <row r="479" spans="2:18" x14ac:dyDescent="0.3">
      <c r="B479" s="38"/>
      <c r="D479" s="37"/>
      <c r="E479" s="37"/>
    </row>
    <row r="480" spans="2:18" x14ac:dyDescent="0.3">
      <c r="B480" s="39" t="s">
        <v>962</v>
      </c>
      <c r="D480" s="37"/>
      <c r="E480" s="37"/>
    </row>
    <row r="481" spans="2:5" x14ac:dyDescent="0.3">
      <c r="B481" s="4" t="s">
        <v>963</v>
      </c>
      <c r="D481" s="37"/>
      <c r="E481" s="37"/>
    </row>
    <row r="482" spans="2:5" x14ac:dyDescent="0.3">
      <c r="D482" s="37" t="s">
        <v>187</v>
      </c>
      <c r="E482" s="37"/>
    </row>
    <row r="483" spans="2:5" x14ac:dyDescent="0.3">
      <c r="D483" s="37"/>
      <c r="E483" s="37"/>
    </row>
    <row r="484" spans="2:5" x14ac:dyDescent="0.3">
      <c r="D484" s="37"/>
      <c r="E484" s="37"/>
    </row>
    <row r="485" spans="2:5" x14ac:dyDescent="0.3">
      <c r="D485" s="37"/>
      <c r="E485" s="37"/>
    </row>
    <row r="486" spans="2:5" x14ac:dyDescent="0.3">
      <c r="D486" s="37"/>
      <c r="E486" s="37"/>
    </row>
    <row r="487" spans="2:5" x14ac:dyDescent="0.3">
      <c r="D487" s="37"/>
      <c r="E487" s="37"/>
    </row>
    <row r="488" spans="2:5" x14ac:dyDescent="0.3">
      <c r="D488" s="37"/>
      <c r="E488" s="37"/>
    </row>
    <row r="489" spans="2:5" x14ac:dyDescent="0.3">
      <c r="D489" s="37"/>
      <c r="E489" s="37"/>
    </row>
  </sheetData>
  <mergeCells count="4">
    <mergeCell ref="B3:H3"/>
    <mergeCell ref="B4:H4"/>
    <mergeCell ref="B5:H5"/>
    <mergeCell ref="C471:G471"/>
  </mergeCells>
  <pageMargins left="0.7" right="0.7" top="0.75" bottom="0.75" header="0.3" footer="0.3"/>
  <pageSetup scale="6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Mejia</dc:creator>
  <cp:lastModifiedBy>Josue Reinoso</cp:lastModifiedBy>
  <cp:lastPrinted>2023-07-17T17:56:47Z</cp:lastPrinted>
  <dcterms:created xsi:type="dcterms:W3CDTF">2023-07-12T15:05:05Z</dcterms:created>
  <dcterms:modified xsi:type="dcterms:W3CDTF">2023-07-17T17:57:47Z</dcterms:modified>
</cp:coreProperties>
</file>